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Dome\Finansu_nodala\Budzeta dokumenti\2017\04_26.10.2017\"/>
    </mc:Choice>
  </mc:AlternateContent>
  <bookViews>
    <workbookView xWindow="0" yWindow="0" windowWidth="24150" windowHeight="9915" activeTab="1"/>
  </bookViews>
  <sheets>
    <sheet name="1.pielikums" sheetId="1" r:id="rId1"/>
    <sheet name="2.pielikums" sheetId="2" r:id="rId2"/>
    <sheet name="3.pielikums" sheetId="3" r:id="rId3"/>
    <sheet name="4.pielikums" sheetId="13" r:id="rId4"/>
    <sheet name="5.pielikums" sheetId="10" r:id="rId5"/>
    <sheet name="6.pielikums" sheetId="9" r:id="rId6"/>
    <sheet name="7.pielikums" sheetId="12" r:id="rId7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'5.pielikums'!$A:$A,'5.pielikums'!$6:$7</definedName>
    <definedName name="_xlnm.Print_Titles" localSheetId="6">'7.pielikums'!$6:$6</definedName>
  </definedNames>
  <calcPr calcId="152511"/>
</workbook>
</file>

<file path=xl/calcChain.xml><?xml version="1.0" encoding="utf-8"?>
<calcChain xmlns="http://schemas.openxmlformats.org/spreadsheetml/2006/main">
  <c r="E79" i="3" l="1"/>
  <c r="D46" i="1"/>
  <c r="H185" i="10" l="1"/>
  <c r="H184" i="10"/>
  <c r="E30" i="3" l="1"/>
  <c r="E37" i="3" l="1"/>
  <c r="F37" i="3"/>
  <c r="G37" i="3"/>
  <c r="H37" i="3"/>
  <c r="I37" i="3"/>
  <c r="J37" i="3"/>
  <c r="K37" i="3"/>
  <c r="L37" i="3"/>
  <c r="D37" i="3"/>
  <c r="C41" i="3"/>
  <c r="I106" i="3"/>
  <c r="I61" i="3"/>
  <c r="E42" i="3"/>
  <c r="F42" i="3"/>
  <c r="G42" i="3"/>
  <c r="H42" i="3"/>
  <c r="I42" i="3"/>
  <c r="J42" i="3"/>
  <c r="K42" i="3"/>
  <c r="L42" i="3"/>
  <c r="D42" i="3"/>
  <c r="C45" i="3"/>
  <c r="E46" i="1" l="1"/>
  <c r="E45" i="1" s="1"/>
  <c r="D45" i="1"/>
  <c r="C45" i="1"/>
  <c r="I27" i="9"/>
  <c r="G27" i="9"/>
  <c r="I26" i="9"/>
  <c r="H26" i="9"/>
  <c r="G26" i="9"/>
  <c r="H17" i="9"/>
  <c r="I25" i="9"/>
  <c r="H25" i="9"/>
  <c r="G25" i="9"/>
  <c r="H23" i="9"/>
  <c r="V166" i="10" l="1"/>
  <c r="J196" i="10" l="1"/>
  <c r="H198" i="10" l="1"/>
  <c r="W173" i="10" l="1"/>
  <c r="W172" i="10"/>
  <c r="W169" i="10"/>
  <c r="W168" i="10"/>
  <c r="W177" i="10"/>
  <c r="W176" i="10"/>
  <c r="E32" i="9" l="1"/>
  <c r="G10" i="9"/>
  <c r="H151" i="3"/>
  <c r="D157" i="3"/>
  <c r="D155" i="3"/>
  <c r="H143" i="3"/>
  <c r="D146" i="3"/>
  <c r="D138" i="3"/>
  <c r="H131" i="3"/>
  <c r="H130" i="3"/>
  <c r="H118" i="3"/>
  <c r="F117" i="3"/>
  <c r="H114" i="3"/>
  <c r="D113" i="3"/>
  <c r="H112" i="3"/>
  <c r="F112" i="3"/>
  <c r="D112" i="3"/>
  <c r="D107" i="3"/>
  <c r="D106" i="3"/>
  <c r="D103" i="3"/>
  <c r="D97" i="3"/>
  <c r="H93" i="3"/>
  <c r="H87" i="3"/>
  <c r="H90" i="3"/>
  <c r="H89" i="3"/>
  <c r="F90" i="3"/>
  <c r="H85" i="3"/>
  <c r="D83" i="3"/>
  <c r="D79" i="3"/>
  <c r="H59" i="3"/>
  <c r="H43" i="3"/>
  <c r="D38" i="3"/>
  <c r="D30" i="3"/>
  <c r="H23" i="3"/>
  <c r="H16" i="3"/>
  <c r="C62" i="1"/>
  <c r="C77" i="1"/>
  <c r="C74" i="1"/>
  <c r="C73" i="1"/>
  <c r="C65" i="1"/>
  <c r="C60" i="1"/>
  <c r="C57" i="1"/>
  <c r="C58" i="1"/>
  <c r="C54" i="1"/>
  <c r="D65" i="1" l="1"/>
  <c r="E67" i="1"/>
  <c r="L21" i="3" l="1"/>
  <c r="K21" i="3"/>
  <c r="J21" i="3"/>
  <c r="I21" i="3"/>
  <c r="H21" i="3"/>
  <c r="G21" i="3"/>
  <c r="F21" i="3"/>
  <c r="E21" i="3"/>
  <c r="D21" i="3"/>
  <c r="C23" i="3"/>
  <c r="C22" i="3"/>
  <c r="L82" i="3" l="1"/>
  <c r="K82" i="3"/>
  <c r="J82" i="3"/>
  <c r="I82" i="3"/>
  <c r="H82" i="3"/>
  <c r="G82" i="3"/>
  <c r="F82" i="3"/>
  <c r="E82" i="3"/>
  <c r="D82" i="3"/>
  <c r="C85" i="3"/>
  <c r="L105" i="3"/>
  <c r="K105" i="3"/>
  <c r="J105" i="3"/>
  <c r="I105" i="3"/>
  <c r="H105" i="3"/>
  <c r="G105" i="3"/>
  <c r="E105" i="3"/>
  <c r="D105" i="3"/>
  <c r="C107" i="3"/>
  <c r="L70" i="3"/>
  <c r="K70" i="3"/>
  <c r="J70" i="3"/>
  <c r="I70" i="3"/>
  <c r="H70" i="3"/>
  <c r="G70" i="3"/>
  <c r="F70" i="3"/>
  <c r="E70" i="3"/>
  <c r="D70" i="3"/>
  <c r="C75" i="3"/>
  <c r="C44" i="3"/>
  <c r="I184" i="10" l="1"/>
  <c r="J184" i="10"/>
  <c r="K184" i="10"/>
  <c r="L184" i="10"/>
  <c r="N184" i="10"/>
  <c r="O184" i="10"/>
  <c r="P184" i="10"/>
  <c r="Q184" i="10"/>
  <c r="R184" i="10"/>
  <c r="S184" i="10"/>
  <c r="T184" i="10"/>
  <c r="U184" i="10"/>
  <c r="V184" i="10"/>
  <c r="I185" i="10"/>
  <c r="J185" i="10"/>
  <c r="K185" i="10"/>
  <c r="L185" i="10"/>
  <c r="M185" i="10"/>
  <c r="N185" i="10"/>
  <c r="O185" i="10"/>
  <c r="P185" i="10"/>
  <c r="Q185" i="10"/>
  <c r="R185" i="10"/>
  <c r="S185" i="10"/>
  <c r="T185" i="10"/>
  <c r="U185" i="10"/>
  <c r="W183" i="10"/>
  <c r="W182" i="10"/>
  <c r="W181" i="10"/>
  <c r="W180" i="10"/>
  <c r="W179" i="10"/>
  <c r="W178" i="10"/>
  <c r="W175" i="10"/>
  <c r="W174" i="10"/>
  <c r="W170" i="10"/>
  <c r="W171" i="10"/>
  <c r="W166" i="10"/>
  <c r="W167" i="10"/>
  <c r="W165" i="10"/>
  <c r="W164" i="10"/>
  <c r="W159" i="10"/>
  <c r="W158" i="10"/>
  <c r="W161" i="10"/>
  <c r="W160" i="10"/>
  <c r="C185" i="12" l="1"/>
  <c r="C184" i="12"/>
  <c r="C183" i="12"/>
  <c r="C182" i="12"/>
  <c r="C129" i="12"/>
  <c r="C128" i="12"/>
  <c r="C127" i="12"/>
  <c r="C51" i="12"/>
  <c r="C50" i="12"/>
  <c r="C33" i="12"/>
  <c r="C32" i="12"/>
  <c r="E34" i="9"/>
  <c r="F122" i="3"/>
  <c r="H150" i="3"/>
  <c r="F150" i="3"/>
  <c r="F130" i="3"/>
  <c r="D129" i="3"/>
  <c r="D126" i="3"/>
  <c r="F106" i="3"/>
  <c r="F105" i="3" s="1"/>
  <c r="D93" i="3"/>
  <c r="D90" i="3"/>
  <c r="D89" i="3"/>
  <c r="F64" i="3"/>
  <c r="D66" i="3"/>
  <c r="D65" i="3"/>
  <c r="D54" i="3"/>
  <c r="D52" i="3"/>
  <c r="D49" i="3"/>
  <c r="D48" i="3"/>
  <c r="D32" i="3"/>
  <c r="D28" i="3"/>
  <c r="D24" i="3"/>
  <c r="D18" i="3"/>
  <c r="H13" i="3"/>
  <c r="I13" i="3"/>
  <c r="C70" i="1"/>
  <c r="C32" i="1"/>
  <c r="W163" i="10" l="1"/>
  <c r="W162" i="10"/>
  <c r="W198" i="10" l="1"/>
  <c r="F212" i="10" l="1"/>
  <c r="V205" i="10"/>
  <c r="U205" i="10"/>
  <c r="U210" i="10" s="1"/>
  <c r="T205" i="10"/>
  <c r="S205" i="10"/>
  <c r="R205" i="10"/>
  <c r="Q205" i="10"/>
  <c r="Q210" i="10" s="1"/>
  <c r="P205" i="10"/>
  <c r="O205" i="10"/>
  <c r="N205" i="10"/>
  <c r="M205" i="10"/>
  <c r="M210" i="10" s="1"/>
  <c r="L205" i="10"/>
  <c r="K205" i="10"/>
  <c r="J205" i="10"/>
  <c r="I205" i="10"/>
  <c r="H205" i="10"/>
  <c r="H210" i="10" s="1"/>
  <c r="V204" i="10"/>
  <c r="U204" i="10"/>
  <c r="T204" i="10"/>
  <c r="S204" i="10"/>
  <c r="S206" i="10" s="1"/>
  <c r="R204" i="10"/>
  <c r="Q204" i="10"/>
  <c r="P204" i="10"/>
  <c r="O204" i="10"/>
  <c r="O206" i="10" s="1"/>
  <c r="N204" i="10"/>
  <c r="M204" i="10"/>
  <c r="L204" i="10"/>
  <c r="L209" i="10" s="1"/>
  <c r="K204" i="10"/>
  <c r="K206" i="10" s="1"/>
  <c r="J204" i="10"/>
  <c r="J209" i="10" s="1"/>
  <c r="I204" i="10"/>
  <c r="H204" i="10"/>
  <c r="W203" i="10"/>
  <c r="W202" i="10"/>
  <c r="W201" i="10"/>
  <c r="W200" i="10"/>
  <c r="W199" i="10"/>
  <c r="W197" i="10"/>
  <c r="W196" i="10"/>
  <c r="W195" i="10"/>
  <c r="W194" i="10"/>
  <c r="S210" i="10"/>
  <c r="R210" i="10"/>
  <c r="O210" i="10"/>
  <c r="N210" i="10"/>
  <c r="K210" i="10"/>
  <c r="V209" i="10"/>
  <c r="R209" i="10"/>
  <c r="N209" i="10"/>
  <c r="V157" i="10"/>
  <c r="W156" i="10"/>
  <c r="W155" i="10"/>
  <c r="W154" i="10"/>
  <c r="W153" i="10"/>
  <c r="W152" i="10"/>
  <c r="W151" i="10"/>
  <c r="W150" i="10"/>
  <c r="W149" i="10"/>
  <c r="W148" i="10"/>
  <c r="W147" i="10"/>
  <c r="W146" i="10"/>
  <c r="W145" i="10"/>
  <c r="W144" i="10"/>
  <c r="W143" i="10"/>
  <c r="W142" i="10"/>
  <c r="W141" i="10"/>
  <c r="W140" i="10"/>
  <c r="W139" i="10"/>
  <c r="W138" i="10"/>
  <c r="W137" i="10"/>
  <c r="W136" i="10"/>
  <c r="W135" i="10"/>
  <c r="W134" i="10"/>
  <c r="W133" i="10"/>
  <c r="W132" i="10"/>
  <c r="W131" i="10"/>
  <c r="W130" i="10"/>
  <c r="W129" i="10"/>
  <c r="W128" i="10"/>
  <c r="W127" i="10"/>
  <c r="W126" i="10"/>
  <c r="W125" i="10"/>
  <c r="W124" i="10"/>
  <c r="W123" i="10"/>
  <c r="W122" i="10"/>
  <c r="W121" i="10"/>
  <c r="W120" i="10"/>
  <c r="W119" i="10"/>
  <c r="W118" i="10"/>
  <c r="W117" i="10"/>
  <c r="W116" i="10"/>
  <c r="W115" i="10"/>
  <c r="W114" i="10"/>
  <c r="W113" i="10"/>
  <c r="W112" i="10"/>
  <c r="W111" i="10"/>
  <c r="W110" i="10"/>
  <c r="W109" i="10"/>
  <c r="W108" i="10"/>
  <c r="W107" i="10"/>
  <c r="W106" i="10"/>
  <c r="W105" i="10"/>
  <c r="W104" i="10"/>
  <c r="W103" i="10"/>
  <c r="W102" i="10"/>
  <c r="W101" i="10"/>
  <c r="W100" i="10"/>
  <c r="W99" i="10"/>
  <c r="W98" i="10"/>
  <c r="W97" i="10"/>
  <c r="W96" i="10"/>
  <c r="W95" i="10"/>
  <c r="W94" i="10"/>
  <c r="W93" i="10"/>
  <c r="W92" i="10"/>
  <c r="W91" i="10"/>
  <c r="W90" i="10"/>
  <c r="W89" i="10"/>
  <c r="W88" i="10"/>
  <c r="W87" i="10"/>
  <c r="W86" i="10"/>
  <c r="W85" i="10"/>
  <c r="W84" i="10"/>
  <c r="W83" i="10"/>
  <c r="W82" i="10"/>
  <c r="W81" i="10"/>
  <c r="W80" i="10"/>
  <c r="W79" i="10"/>
  <c r="W78" i="10"/>
  <c r="W77" i="10"/>
  <c r="W76" i="10"/>
  <c r="W75" i="10"/>
  <c r="W74" i="10"/>
  <c r="W73" i="10"/>
  <c r="W72" i="10"/>
  <c r="W71" i="10"/>
  <c r="W70" i="10"/>
  <c r="W69" i="10"/>
  <c r="W68" i="10"/>
  <c r="W67" i="10"/>
  <c r="W66" i="10"/>
  <c r="W65" i="10"/>
  <c r="W64" i="10"/>
  <c r="W63" i="10"/>
  <c r="W62" i="10"/>
  <c r="W61" i="10"/>
  <c r="W60" i="10"/>
  <c r="W59" i="10"/>
  <c r="W58" i="10"/>
  <c r="W57" i="10"/>
  <c r="W56" i="10"/>
  <c r="W55" i="10"/>
  <c r="W54" i="10"/>
  <c r="W53" i="10"/>
  <c r="W52" i="10"/>
  <c r="W51" i="10"/>
  <c r="W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M20" i="10"/>
  <c r="M184" i="10" s="1"/>
  <c r="H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I7" i="10"/>
  <c r="J7" i="10" s="1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185" i="10" l="1"/>
  <c r="V210" i="10" s="1"/>
  <c r="V211" i="10" s="1"/>
  <c r="V212" i="10" s="1"/>
  <c r="W20" i="10"/>
  <c r="W184" i="10" s="1"/>
  <c r="I189" i="10"/>
  <c r="Q206" i="10"/>
  <c r="M206" i="10"/>
  <c r="U206" i="10"/>
  <c r="N206" i="10"/>
  <c r="R206" i="10"/>
  <c r="V206" i="10"/>
  <c r="P210" i="10"/>
  <c r="T210" i="10"/>
  <c r="P206" i="10"/>
  <c r="T206" i="10"/>
  <c r="O209" i="10"/>
  <c r="O211" i="10" s="1"/>
  <c r="O212" i="10" s="1"/>
  <c r="S209" i="10"/>
  <c r="S211" i="10" s="1"/>
  <c r="S212" i="10" s="1"/>
  <c r="K209" i="10"/>
  <c r="K211" i="10" s="1"/>
  <c r="K212" i="10" s="1"/>
  <c r="P189" i="10"/>
  <c r="T186" i="10"/>
  <c r="T187" i="10" s="1"/>
  <c r="J189" i="10"/>
  <c r="U189" i="10"/>
  <c r="R189" i="10"/>
  <c r="Q189" i="10"/>
  <c r="V189" i="10"/>
  <c r="L210" i="10"/>
  <c r="L211" i="10" s="1"/>
  <c r="L212" i="10" s="1"/>
  <c r="L206" i="10"/>
  <c r="J210" i="10"/>
  <c r="I210" i="10"/>
  <c r="J206" i="10"/>
  <c r="I206" i="10"/>
  <c r="H206" i="10"/>
  <c r="W205" i="10"/>
  <c r="W204" i="10"/>
  <c r="N211" i="10"/>
  <c r="N212" i="10" s="1"/>
  <c r="R211" i="10"/>
  <c r="R212" i="10" s="1"/>
  <c r="M189" i="10"/>
  <c r="N189" i="10"/>
  <c r="M209" i="10"/>
  <c r="M211" i="10" s="1"/>
  <c r="M212" i="10" s="1"/>
  <c r="M186" i="10"/>
  <c r="M187" i="10" s="1"/>
  <c r="L186" i="10"/>
  <c r="L187" i="10" s="1"/>
  <c r="T209" i="10"/>
  <c r="W157" i="10"/>
  <c r="W185" i="10" s="1"/>
  <c r="I186" i="10"/>
  <c r="I187" i="10" s="1"/>
  <c r="Q186" i="10"/>
  <c r="Q187" i="10" s="1"/>
  <c r="U186" i="10"/>
  <c r="U187" i="10" s="1"/>
  <c r="K189" i="10"/>
  <c r="O189" i="10"/>
  <c r="S189" i="10"/>
  <c r="I209" i="10"/>
  <c r="Q209" i="10"/>
  <c r="Q211" i="10" s="1"/>
  <c r="Q212" i="10" s="1"/>
  <c r="U209" i="10"/>
  <c r="U211" i="10" s="1"/>
  <c r="U212" i="10" s="1"/>
  <c r="P186" i="10"/>
  <c r="P187" i="10" s="1"/>
  <c r="P209" i="10"/>
  <c r="J186" i="10"/>
  <c r="J187" i="10" s="1"/>
  <c r="N186" i="10"/>
  <c r="N187" i="10" s="1"/>
  <c r="R186" i="10"/>
  <c r="R187" i="10" s="1"/>
  <c r="L189" i="10"/>
  <c r="T189" i="10"/>
  <c r="K186" i="10"/>
  <c r="K187" i="10" s="1"/>
  <c r="O186" i="10"/>
  <c r="O187" i="10" s="1"/>
  <c r="S186" i="10"/>
  <c r="S187" i="10" s="1"/>
  <c r="E66" i="1"/>
  <c r="V186" i="10" l="1"/>
  <c r="V187" i="10" s="1"/>
  <c r="H209" i="10"/>
  <c r="H211" i="10" s="1"/>
  <c r="H212" i="10" s="1"/>
  <c r="H186" i="10"/>
  <c r="H187" i="10" s="1"/>
  <c r="P211" i="10"/>
  <c r="P212" i="10" s="1"/>
  <c r="T211" i="10"/>
  <c r="T212" i="10" s="1"/>
  <c r="W186" i="10"/>
  <c r="W210" i="10"/>
  <c r="J211" i="10"/>
  <c r="J212" i="10" s="1"/>
  <c r="I211" i="10"/>
  <c r="I212" i="10" s="1"/>
  <c r="W206" i="10"/>
  <c r="E119" i="3"/>
  <c r="F119" i="3"/>
  <c r="G119" i="3"/>
  <c r="H119" i="3"/>
  <c r="I119" i="3"/>
  <c r="J119" i="3"/>
  <c r="K119" i="3"/>
  <c r="L119" i="3"/>
  <c r="D119" i="3"/>
  <c r="C124" i="3"/>
  <c r="E109" i="3"/>
  <c r="F109" i="3"/>
  <c r="G109" i="3"/>
  <c r="H109" i="3"/>
  <c r="I109" i="3"/>
  <c r="J109" i="3"/>
  <c r="K109" i="3"/>
  <c r="L109" i="3"/>
  <c r="D109" i="3"/>
  <c r="C115" i="3"/>
  <c r="E63" i="3"/>
  <c r="F63" i="3"/>
  <c r="G63" i="3"/>
  <c r="H63" i="3"/>
  <c r="I63" i="3"/>
  <c r="J63" i="3"/>
  <c r="K63" i="3"/>
  <c r="L63" i="3"/>
  <c r="D63" i="3"/>
  <c r="C69" i="3"/>
  <c r="W209" i="10" l="1"/>
  <c r="W211" i="10" s="1"/>
  <c r="C63" i="3"/>
  <c r="G18" i="9"/>
  <c r="I18" i="9" s="1"/>
  <c r="G19" i="9"/>
  <c r="I19" i="9" s="1"/>
  <c r="G20" i="9"/>
  <c r="I20" i="9" s="1"/>
  <c r="G21" i="9"/>
  <c r="I21" i="9" s="1"/>
  <c r="G22" i="9"/>
  <c r="I22" i="9" s="1"/>
  <c r="G23" i="9"/>
  <c r="I23" i="9" s="1"/>
  <c r="G24" i="9"/>
  <c r="I24" i="9" s="1"/>
  <c r="G28" i="9"/>
  <c r="I28" i="9" s="1"/>
  <c r="D17" i="9"/>
  <c r="F17" i="9"/>
  <c r="C17" i="9"/>
  <c r="G17" i="9" l="1"/>
  <c r="I17" i="9" s="1"/>
  <c r="C40" i="3"/>
  <c r="E51" i="1"/>
  <c r="D48" i="1"/>
  <c r="C48" i="1"/>
  <c r="G33" i="9"/>
  <c r="I33" i="9" l="1"/>
  <c r="G32" i="9"/>
  <c r="G31" i="9"/>
  <c r="I31" i="9" s="1"/>
  <c r="G30" i="9"/>
  <c r="I30" i="9" s="1"/>
  <c r="H29" i="9"/>
  <c r="H34" i="9" s="1"/>
  <c r="F29" i="9"/>
  <c r="F34" i="9" s="1"/>
  <c r="D29" i="9"/>
  <c r="D34" i="9" s="1"/>
  <c r="C29" i="9"/>
  <c r="H12" i="9"/>
  <c r="G12" i="9"/>
  <c r="I11" i="9"/>
  <c r="I10" i="9"/>
  <c r="I9" i="9"/>
  <c r="I8" i="9"/>
  <c r="I32" i="9" l="1"/>
  <c r="G29" i="9"/>
  <c r="I29" i="9" s="1"/>
  <c r="I12" i="9"/>
  <c r="C34" i="9"/>
  <c r="G34" i="9" l="1"/>
  <c r="I34" i="9"/>
  <c r="C173" i="3" l="1"/>
  <c r="C53" i="1" l="1"/>
  <c r="D53" i="1"/>
  <c r="E137" i="3" l="1"/>
  <c r="F137" i="3"/>
  <c r="G137" i="3"/>
  <c r="H137" i="3"/>
  <c r="I137" i="3"/>
  <c r="J137" i="3"/>
  <c r="K137" i="3"/>
  <c r="L137" i="3"/>
  <c r="D137" i="3"/>
  <c r="C143" i="3"/>
  <c r="E128" i="3"/>
  <c r="F128" i="3"/>
  <c r="G128" i="3"/>
  <c r="H128" i="3"/>
  <c r="I128" i="3"/>
  <c r="J128" i="3"/>
  <c r="K128" i="3"/>
  <c r="L128" i="3"/>
  <c r="D128" i="3"/>
  <c r="C131" i="3"/>
  <c r="E54" i="1" l="1"/>
  <c r="E53" i="1" s="1"/>
  <c r="C166" i="3" l="1"/>
  <c r="C59" i="3"/>
  <c r="G28" i="2" l="1"/>
  <c r="F28" i="2"/>
  <c r="E28" i="2"/>
  <c r="D28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67" i="3"/>
  <c r="E165" i="3" s="1"/>
  <c r="F167" i="3"/>
  <c r="F165" i="3" s="1"/>
  <c r="G167" i="3"/>
  <c r="G165" i="3" s="1"/>
  <c r="H167" i="3"/>
  <c r="H165" i="3" s="1"/>
  <c r="I167" i="3"/>
  <c r="I165" i="3" s="1"/>
  <c r="J167" i="3"/>
  <c r="J165" i="3" s="1"/>
  <c r="K167" i="3"/>
  <c r="K165" i="3" s="1"/>
  <c r="L167" i="3"/>
  <c r="L165" i="3" s="1"/>
  <c r="D167" i="3"/>
  <c r="D165" i="3" s="1"/>
  <c r="C172" i="3"/>
  <c r="C171" i="3"/>
  <c r="C170" i="3"/>
  <c r="C169" i="3"/>
  <c r="C168" i="3"/>
  <c r="C165" i="3" l="1"/>
  <c r="H28" i="2"/>
  <c r="C167" i="3"/>
  <c r="E160" i="3" l="1"/>
  <c r="F160" i="3"/>
  <c r="G160" i="3"/>
  <c r="H160" i="3"/>
  <c r="I160" i="3"/>
  <c r="J160" i="3"/>
  <c r="K160" i="3"/>
  <c r="L160" i="3"/>
  <c r="D160" i="3"/>
  <c r="C162" i="3"/>
  <c r="C163" i="3"/>
  <c r="C164" i="3"/>
  <c r="C161" i="3"/>
  <c r="E153" i="3"/>
  <c r="F153" i="3"/>
  <c r="G153" i="3"/>
  <c r="H153" i="3"/>
  <c r="I153" i="3"/>
  <c r="J153" i="3"/>
  <c r="K153" i="3"/>
  <c r="L153" i="3"/>
  <c r="D153" i="3"/>
  <c r="C155" i="3"/>
  <c r="C156" i="3"/>
  <c r="C157" i="3"/>
  <c r="C158" i="3"/>
  <c r="C159" i="3"/>
  <c r="C154" i="3"/>
  <c r="C152" i="3"/>
  <c r="C151" i="3"/>
  <c r="E147" i="3"/>
  <c r="F147" i="3"/>
  <c r="G147" i="3"/>
  <c r="H147" i="3"/>
  <c r="I147" i="3"/>
  <c r="J147" i="3"/>
  <c r="K147" i="3"/>
  <c r="L147" i="3"/>
  <c r="D147" i="3"/>
  <c r="C149" i="3"/>
  <c r="C150" i="3"/>
  <c r="C148" i="3"/>
  <c r="E144" i="3"/>
  <c r="F144" i="3"/>
  <c r="G144" i="3"/>
  <c r="H144" i="3"/>
  <c r="I144" i="3"/>
  <c r="J144" i="3"/>
  <c r="K144" i="3"/>
  <c r="L144" i="3"/>
  <c r="D144" i="3"/>
  <c r="C146" i="3"/>
  <c r="C145" i="3"/>
  <c r="C139" i="3"/>
  <c r="C140" i="3"/>
  <c r="C141" i="3"/>
  <c r="C142" i="3"/>
  <c r="C138" i="3"/>
  <c r="J136" i="3" l="1"/>
  <c r="K136" i="3"/>
  <c r="G19" i="2" s="1"/>
  <c r="G136" i="3"/>
  <c r="E19" i="2" s="1"/>
  <c r="E136" i="3"/>
  <c r="D19" i="2" s="1"/>
  <c r="I136" i="3"/>
  <c r="F19" i="2" s="1"/>
  <c r="H136" i="3"/>
  <c r="L136" i="3"/>
  <c r="F136" i="3"/>
  <c r="C160" i="3"/>
  <c r="C153" i="3"/>
  <c r="C147" i="3"/>
  <c r="C144" i="3"/>
  <c r="E132" i="3"/>
  <c r="F132" i="3"/>
  <c r="G132" i="3"/>
  <c r="H132" i="3"/>
  <c r="I132" i="3"/>
  <c r="J132" i="3"/>
  <c r="K132" i="3"/>
  <c r="L132" i="3"/>
  <c r="D132" i="3"/>
  <c r="C135" i="3"/>
  <c r="C134" i="3"/>
  <c r="C133" i="3"/>
  <c r="C130" i="3"/>
  <c r="C129" i="3"/>
  <c r="C127" i="3"/>
  <c r="C126" i="3"/>
  <c r="E125" i="3"/>
  <c r="F125" i="3"/>
  <c r="G125" i="3"/>
  <c r="H125" i="3"/>
  <c r="I125" i="3"/>
  <c r="J125" i="3"/>
  <c r="K125" i="3"/>
  <c r="L125" i="3"/>
  <c r="D125" i="3"/>
  <c r="C123" i="3"/>
  <c r="C122" i="3"/>
  <c r="C121" i="3"/>
  <c r="C120" i="3"/>
  <c r="E116" i="3"/>
  <c r="F116" i="3"/>
  <c r="G116" i="3"/>
  <c r="H116" i="3"/>
  <c r="I116" i="3"/>
  <c r="J116" i="3"/>
  <c r="K116" i="3"/>
  <c r="L116" i="3"/>
  <c r="D116" i="3"/>
  <c r="C118" i="3"/>
  <c r="C117" i="3"/>
  <c r="C111" i="3"/>
  <c r="C112" i="3"/>
  <c r="C113" i="3"/>
  <c r="C114" i="3"/>
  <c r="C110" i="3"/>
  <c r="C106" i="3"/>
  <c r="E99" i="3"/>
  <c r="F99" i="3"/>
  <c r="G99" i="3"/>
  <c r="H99" i="3"/>
  <c r="I99" i="3"/>
  <c r="J99" i="3"/>
  <c r="K99" i="3"/>
  <c r="L99" i="3"/>
  <c r="D99" i="3"/>
  <c r="C101" i="3"/>
  <c r="C102" i="3"/>
  <c r="C103" i="3"/>
  <c r="C100" i="3"/>
  <c r="C98" i="3"/>
  <c r="E95" i="3"/>
  <c r="F95" i="3"/>
  <c r="G95" i="3"/>
  <c r="H95" i="3"/>
  <c r="I95" i="3"/>
  <c r="J95" i="3"/>
  <c r="K95" i="3"/>
  <c r="L95" i="3"/>
  <c r="D95" i="3"/>
  <c r="C97" i="3"/>
  <c r="C96" i="3"/>
  <c r="E91" i="3"/>
  <c r="F91" i="3"/>
  <c r="G91" i="3"/>
  <c r="H91" i="3"/>
  <c r="I91" i="3"/>
  <c r="J91" i="3"/>
  <c r="K91" i="3"/>
  <c r="L91" i="3"/>
  <c r="D91" i="3"/>
  <c r="C94" i="3"/>
  <c r="C93" i="3"/>
  <c r="C92" i="3"/>
  <c r="E88" i="3"/>
  <c r="F88" i="3"/>
  <c r="G88" i="3"/>
  <c r="H88" i="3"/>
  <c r="I88" i="3"/>
  <c r="J88" i="3"/>
  <c r="K88" i="3"/>
  <c r="L88" i="3"/>
  <c r="D88" i="3"/>
  <c r="C90" i="3"/>
  <c r="C89" i="3"/>
  <c r="E86" i="3"/>
  <c r="F86" i="3"/>
  <c r="G86" i="3"/>
  <c r="H86" i="3"/>
  <c r="I86" i="3"/>
  <c r="J86" i="3"/>
  <c r="K86" i="3"/>
  <c r="L86" i="3"/>
  <c r="D86" i="3"/>
  <c r="C87" i="3"/>
  <c r="C84" i="3"/>
  <c r="C83" i="3"/>
  <c r="E77" i="3"/>
  <c r="F77" i="3"/>
  <c r="G77" i="3"/>
  <c r="H77" i="3"/>
  <c r="I77" i="3"/>
  <c r="J77" i="3"/>
  <c r="K77" i="3"/>
  <c r="L77" i="3"/>
  <c r="D77" i="3"/>
  <c r="C80" i="3"/>
  <c r="C79" i="3"/>
  <c r="C78" i="3"/>
  <c r="J108" i="3" l="1"/>
  <c r="J104" i="3" s="1"/>
  <c r="F108" i="3"/>
  <c r="F104" i="3" s="1"/>
  <c r="K108" i="3"/>
  <c r="G108" i="3"/>
  <c r="G104" i="3" s="1"/>
  <c r="E18" i="2" s="1"/>
  <c r="L81" i="3"/>
  <c r="L76" i="3" s="1"/>
  <c r="H81" i="3"/>
  <c r="H76" i="3" s="1"/>
  <c r="J81" i="3"/>
  <c r="J76" i="3" s="1"/>
  <c r="F81" i="3"/>
  <c r="F76" i="3" s="1"/>
  <c r="C88" i="3"/>
  <c r="C116" i="3"/>
  <c r="K81" i="3"/>
  <c r="K76" i="3" s="1"/>
  <c r="G17" i="2" s="1"/>
  <c r="G81" i="3"/>
  <c r="G76" i="3" s="1"/>
  <c r="E17" i="2" s="1"/>
  <c r="L108" i="3"/>
  <c r="L104" i="3" s="1"/>
  <c r="H108" i="3"/>
  <c r="H104" i="3" s="1"/>
  <c r="K104" i="3"/>
  <c r="G18" i="2" s="1"/>
  <c r="D108" i="3"/>
  <c r="D104" i="3" s="1"/>
  <c r="I108" i="3"/>
  <c r="I104" i="3" s="1"/>
  <c r="F18" i="2" s="1"/>
  <c r="E108" i="3"/>
  <c r="E104" i="3" s="1"/>
  <c r="D18" i="2" s="1"/>
  <c r="C95" i="3"/>
  <c r="C86" i="3"/>
  <c r="C125" i="3"/>
  <c r="C132" i="3"/>
  <c r="D81" i="3"/>
  <c r="D76" i="3" s="1"/>
  <c r="I81" i="3"/>
  <c r="I76" i="3" s="1"/>
  <c r="F17" i="2" s="1"/>
  <c r="E81" i="3"/>
  <c r="C128" i="3"/>
  <c r="C119" i="3"/>
  <c r="C109" i="3"/>
  <c r="C105" i="3"/>
  <c r="C77" i="3"/>
  <c r="C91" i="3"/>
  <c r="C99" i="3"/>
  <c r="C82" i="3"/>
  <c r="C72" i="3"/>
  <c r="C73" i="3"/>
  <c r="C74" i="3"/>
  <c r="C71" i="3"/>
  <c r="D16" i="2"/>
  <c r="E16" i="2"/>
  <c r="F16" i="2"/>
  <c r="G16" i="2"/>
  <c r="E60" i="3"/>
  <c r="D15" i="2" s="1"/>
  <c r="F60" i="3"/>
  <c r="G60" i="3"/>
  <c r="E15" i="2" s="1"/>
  <c r="H60" i="3"/>
  <c r="I60" i="3"/>
  <c r="F15" i="2" s="1"/>
  <c r="J60" i="3"/>
  <c r="K60" i="3"/>
  <c r="G15" i="2" s="1"/>
  <c r="L60" i="3"/>
  <c r="D60" i="3"/>
  <c r="C65" i="3"/>
  <c r="C66" i="3"/>
  <c r="C67" i="3"/>
  <c r="C68" i="3"/>
  <c r="C64" i="3"/>
  <c r="C62" i="3"/>
  <c r="C61" i="3"/>
  <c r="C60" i="3" l="1"/>
  <c r="C104" i="3"/>
  <c r="C108" i="3"/>
  <c r="C81" i="3"/>
  <c r="E76" i="3"/>
  <c r="C70" i="3"/>
  <c r="C76" i="3" l="1"/>
  <c r="D17" i="2"/>
  <c r="E51" i="3"/>
  <c r="F51" i="3"/>
  <c r="G51" i="3"/>
  <c r="H51" i="3"/>
  <c r="I51" i="3"/>
  <c r="J51" i="3"/>
  <c r="K51" i="3"/>
  <c r="L51" i="3"/>
  <c r="D51" i="3"/>
  <c r="E55" i="3"/>
  <c r="F55" i="3"/>
  <c r="G55" i="3"/>
  <c r="H55" i="3"/>
  <c r="I55" i="3"/>
  <c r="J55" i="3"/>
  <c r="K55" i="3"/>
  <c r="L55" i="3"/>
  <c r="D55" i="3"/>
  <c r="E57" i="3"/>
  <c r="F57" i="3"/>
  <c r="G57" i="3"/>
  <c r="H57" i="3"/>
  <c r="I57" i="3"/>
  <c r="J57" i="3"/>
  <c r="K57" i="3"/>
  <c r="L57" i="3"/>
  <c r="D57" i="3"/>
  <c r="C58" i="3"/>
  <c r="C56" i="3"/>
  <c r="C54" i="3"/>
  <c r="C53" i="3"/>
  <c r="C52" i="3"/>
  <c r="E46" i="3"/>
  <c r="F46" i="3"/>
  <c r="G46" i="3"/>
  <c r="H46" i="3"/>
  <c r="I46" i="3"/>
  <c r="J46" i="3"/>
  <c r="K46" i="3"/>
  <c r="L46" i="3"/>
  <c r="D46" i="3"/>
  <c r="C48" i="3"/>
  <c r="C49" i="3"/>
  <c r="C47" i="3"/>
  <c r="C43" i="3"/>
  <c r="C39" i="3"/>
  <c r="C38" i="3"/>
  <c r="C35" i="3"/>
  <c r="C34" i="3"/>
  <c r="E33" i="3"/>
  <c r="E31" i="3" s="1"/>
  <c r="F33" i="3"/>
  <c r="F31" i="3" s="1"/>
  <c r="G33" i="3"/>
  <c r="G31" i="3" s="1"/>
  <c r="E12" i="2" s="1"/>
  <c r="H33" i="3"/>
  <c r="H31" i="3" s="1"/>
  <c r="I33" i="3"/>
  <c r="I31" i="3" s="1"/>
  <c r="F12" i="2" s="1"/>
  <c r="J33" i="3"/>
  <c r="J31" i="3" s="1"/>
  <c r="K33" i="3"/>
  <c r="K31" i="3" s="1"/>
  <c r="G12" i="2" s="1"/>
  <c r="L33" i="3"/>
  <c r="L31" i="3" s="1"/>
  <c r="D33" i="3"/>
  <c r="D31" i="3" s="1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36" i="3" l="1"/>
  <c r="D12" i="2"/>
  <c r="L36" i="3"/>
  <c r="H36" i="3"/>
  <c r="K36" i="3"/>
  <c r="G36" i="3"/>
  <c r="C17" i="3"/>
  <c r="J50" i="3"/>
  <c r="F50" i="3"/>
  <c r="F36" i="3"/>
  <c r="J36" i="3"/>
  <c r="D50" i="3"/>
  <c r="E50" i="3"/>
  <c r="D14" i="2" s="1"/>
  <c r="C37" i="3"/>
  <c r="I36" i="3"/>
  <c r="E36" i="3"/>
  <c r="D13" i="2" s="1"/>
  <c r="C57" i="3"/>
  <c r="K50" i="3"/>
  <c r="G14" i="2" s="1"/>
  <c r="L50" i="3"/>
  <c r="H50" i="3"/>
  <c r="C42" i="3"/>
  <c r="I50" i="3"/>
  <c r="F14" i="2" s="1"/>
  <c r="G50" i="3"/>
  <c r="E14" i="2" s="1"/>
  <c r="C51" i="3"/>
  <c r="C55" i="3"/>
  <c r="C46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F11" i="2" s="1"/>
  <c r="J13" i="3"/>
  <c r="J12" i="3" s="1"/>
  <c r="K13" i="3"/>
  <c r="K12" i="3" s="1"/>
  <c r="G11" i="2" s="1"/>
  <c r="L13" i="3"/>
  <c r="L12" i="3" s="1"/>
  <c r="D13" i="3"/>
  <c r="L11" i="3" l="1"/>
  <c r="L174" i="3" s="1"/>
  <c r="E12" i="3"/>
  <c r="E11" i="3" s="1"/>
  <c r="E174" i="3" s="1"/>
  <c r="J11" i="3"/>
  <c r="J174" i="3" s="1"/>
  <c r="G13" i="2"/>
  <c r="G10" i="2" s="1"/>
  <c r="K11" i="3"/>
  <c r="K174" i="3" s="1"/>
  <c r="F13" i="2"/>
  <c r="F10" i="2" s="1"/>
  <c r="I11" i="3"/>
  <c r="I174" i="3" s="1"/>
  <c r="G11" i="3"/>
  <c r="G174" i="3" s="1"/>
  <c r="E13" i="2"/>
  <c r="E10" i="2" s="1"/>
  <c r="H11" i="3"/>
  <c r="H174" i="3" s="1"/>
  <c r="F11" i="3"/>
  <c r="F174" i="3" s="1"/>
  <c r="C36" i="3"/>
  <c r="C50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7" i="1"/>
  <c r="E76" i="1"/>
  <c r="D75" i="1"/>
  <c r="C75" i="1"/>
  <c r="E74" i="1"/>
  <c r="E70" i="1"/>
  <c r="E71" i="1"/>
  <c r="E72" i="1"/>
  <c r="E73" i="1"/>
  <c r="E69" i="1"/>
  <c r="E65" i="1"/>
  <c r="D68" i="1"/>
  <c r="D64" i="1" s="1"/>
  <c r="D63" i="1" s="1"/>
  <c r="C68" i="1"/>
  <c r="C64" i="1" l="1"/>
  <c r="C63" i="1" s="1"/>
  <c r="D11" i="2"/>
  <c r="C29" i="2"/>
  <c r="H13" i="2"/>
  <c r="E68" i="1"/>
  <c r="E64" i="1" s="1"/>
  <c r="E63" i="1" s="1"/>
  <c r="C12" i="3"/>
  <c r="G29" i="2"/>
  <c r="F29" i="2"/>
  <c r="E29" i="2"/>
  <c r="H22" i="2"/>
  <c r="H20" i="2"/>
  <c r="E75" i="1"/>
  <c r="E58" i="1"/>
  <c r="E59" i="1"/>
  <c r="E60" i="1"/>
  <c r="E57" i="1"/>
  <c r="D56" i="1"/>
  <c r="D55" i="1" s="1"/>
  <c r="C56" i="1"/>
  <c r="C55" i="1" s="1"/>
  <c r="E62" i="1"/>
  <c r="E61" i="1" s="1"/>
  <c r="D61" i="1"/>
  <c r="C61" i="1"/>
  <c r="E50" i="1"/>
  <c r="E49" i="1"/>
  <c r="E47" i="1"/>
  <c r="E43" i="1"/>
  <c r="E44" i="1"/>
  <c r="E42" i="1"/>
  <c r="D41" i="1"/>
  <c r="D40" i="1" s="1"/>
  <c r="C41" i="1"/>
  <c r="C40" i="1" s="1"/>
  <c r="E39" i="1"/>
  <c r="E38" i="1"/>
  <c r="D37" i="1"/>
  <c r="D36" i="1" s="1"/>
  <c r="C37" i="1"/>
  <c r="C36" i="1" s="1"/>
  <c r="E30" i="1"/>
  <c r="E31" i="1"/>
  <c r="E32" i="1"/>
  <c r="E33" i="1"/>
  <c r="E34" i="1"/>
  <c r="E35" i="1"/>
  <c r="E29" i="1"/>
  <c r="E25" i="1"/>
  <c r="E26" i="1"/>
  <c r="E27" i="1"/>
  <c r="E24" i="1"/>
  <c r="E21" i="1"/>
  <c r="E20" i="1" s="1"/>
  <c r="E18" i="1"/>
  <c r="E17" i="1"/>
  <c r="E16" i="1"/>
  <c r="E15" i="1"/>
  <c r="E13" i="1"/>
  <c r="E12" i="1"/>
  <c r="D23" i="1"/>
  <c r="C23" i="1"/>
  <c r="D28" i="1"/>
  <c r="C28" i="1"/>
  <c r="D20" i="1"/>
  <c r="C20" i="1"/>
  <c r="D14" i="1"/>
  <c r="C14" i="1"/>
  <c r="D11" i="1"/>
  <c r="C11" i="1"/>
  <c r="E48" i="1" l="1"/>
  <c r="H11" i="2"/>
  <c r="D10" i="2"/>
  <c r="C52" i="1"/>
  <c r="D52" i="1"/>
  <c r="D10" i="1"/>
  <c r="D22" i="1"/>
  <c r="D19" i="1" s="1"/>
  <c r="E56" i="1"/>
  <c r="E55" i="1" s="1"/>
  <c r="E52" i="1" s="1"/>
  <c r="C22" i="1"/>
  <c r="C19" i="1" s="1"/>
  <c r="E28" i="1"/>
  <c r="E23" i="1"/>
  <c r="C10" i="1"/>
  <c r="E11" i="1"/>
  <c r="E41" i="1"/>
  <c r="E40" i="1" s="1"/>
  <c r="E37" i="1"/>
  <c r="E36" i="1" s="1"/>
  <c r="E14" i="1"/>
  <c r="D29" i="2" l="1"/>
  <c r="H29" i="2" s="1"/>
  <c r="H10" i="2"/>
  <c r="D9" i="1"/>
  <c r="D78" i="1" s="1"/>
  <c r="E22" i="1"/>
  <c r="E19" i="1" s="1"/>
  <c r="C9" i="1"/>
  <c r="C78" i="1" s="1"/>
  <c r="E10" i="1"/>
  <c r="E9" i="1" l="1"/>
  <c r="E78" i="1" s="1"/>
  <c r="C137" i="3" l="1"/>
  <c r="D136" i="3"/>
  <c r="C136" i="3" l="1"/>
  <c r="D11" i="3"/>
  <c r="C11" i="3" s="1"/>
  <c r="C174" i="3" s="1"/>
  <c r="D174" i="3" l="1"/>
</calcChain>
</file>

<file path=xl/sharedStrings.xml><?xml version="1.0" encoding="utf-8"?>
<sst xmlns="http://schemas.openxmlformats.org/spreadsheetml/2006/main" count="2389" uniqueCount="964">
  <si>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</si>
  <si>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</si>
  <si>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</si>
  <si>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</si>
  <si>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</si>
  <si>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</si>
  <si>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</si>
  <si>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</si>
  <si>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</si>
  <si>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</si>
  <si>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</si>
  <si>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</si>
  <si>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</si>
  <si>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</si>
  <si>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</si>
  <si>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</si>
  <si>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</si>
  <si>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</si>
  <si>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</si>
  <si>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</si>
  <si>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</si>
  <si>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</si>
  <si>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</si>
  <si>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</si>
  <si>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</si>
  <si>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</si>
  <si>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</si>
  <si>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</si>
  <si>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</si>
  <si>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</si>
  <si>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</si>
  <si>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</si>
  <si>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</si>
  <si>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</si>
  <si>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</si>
  <si>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</si>
  <si>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</si>
  <si>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</si>
  <si>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09.460.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</si>
  <si>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</si>
  <si>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</si>
  <si>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</si>
  <si>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</si>
  <si>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</si>
  <si>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</si>
  <si>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</si>
  <si>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</si>
  <si>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</si>
  <si>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</si>
  <si>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</si>
  <si>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</si>
  <si>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</si>
  <si>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</si>
  <si>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</si>
  <si>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</si>
  <si>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</si>
  <si>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</si>
  <si>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</si>
  <si>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</si>
  <si>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</si>
  <si>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</si>
  <si>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</si>
  <si>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</si>
  <si>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</si>
  <si>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</si>
  <si>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</si>
  <si>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</si>
  <si>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</si>
  <si>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</si>
  <si>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</si>
  <si>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</si>
  <si>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</si>
  <si>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</si>
  <si>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</si>
  <si>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</si>
  <si>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</si>
  <si>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</si>
  <si>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</si>
  <si>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</si>
  <si>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</si>
  <si>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</si>
  <si>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</si>
  <si>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</si>
  <si>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</si>
  <si>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</si>
  <si>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</si>
  <si>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</si>
  <si>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</si>
  <si>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</si>
  <si>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</si>
  <si>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</si>
  <si>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</si>
  <si>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</si>
  <si>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</si>
  <si>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</si>
  <si>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</si>
  <si>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</si>
  <si>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</si>
  <si>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</si>
  <si>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</si>
  <si>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</si>
  <si>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</si>
  <si>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</si>
  <si>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</si>
  <si>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</si>
  <si>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</si>
  <si>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</si>
  <si>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</si>
  <si>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</si>
  <si>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21.490.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</si>
  <si>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</si>
  <si>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</si>
  <si>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</si>
  <si>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Citi iepriekš neklasificētie pašu ieņēmumi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</si>
  <si>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</si>
  <si>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</si>
  <si>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</si>
  <si>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</si>
  <si>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</si>
  <si>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</si>
  <si>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</si>
  <si>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</si>
  <si>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</si>
  <si>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</si>
  <si>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</si>
  <si>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</si>
  <si>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</si>
  <si>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</si>
  <si>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</si>
  <si>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</si>
  <si>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</si>
  <si>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</si>
  <si>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</si>
  <si>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</si>
  <si>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</si>
  <si>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</si>
  <si>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</si>
  <si>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</si>
  <si>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</si>
  <si>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</si>
  <si>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</si>
  <si>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</si>
  <si>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</si>
  <si>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</si>
  <si>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</si>
  <si>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</si>
  <si>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</si>
  <si>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</si>
  <si>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</si>
  <si>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</si>
  <si>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</si>
  <si>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</si>
  <si>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</si>
  <si>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</si>
  <si>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</si>
  <si>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</si>
  <si>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</si>
  <si>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</si>
  <si>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</si>
  <si>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</si>
  <si>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</si>
  <si>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</si>
  <si>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</si>
  <si>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</si>
  <si>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</si>
  <si>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</si>
  <si>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</si>
  <si>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</si>
  <si>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</si>
  <si>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</si>
  <si>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</si>
  <si>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</si>
  <si>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</si>
  <si>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</si>
  <si>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</si>
  <si>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</si>
  <si>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</si>
  <si>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</si>
  <si>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</si>
  <si>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</si>
  <si>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</si>
  <si>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</si>
  <si>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</si>
  <si>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</si>
  <si>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</si>
  <si>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</si>
  <si>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</si>
  <si>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</si>
  <si>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</si>
  <si>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</si>
  <si>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</si>
  <si>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</si>
  <si>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</si>
  <si>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</si>
  <si>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</si>
  <si>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</si>
  <si>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</si>
  <si>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</si>
  <si>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</si>
  <si>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</si>
  <si>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</si>
  <si>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</si>
  <si>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</si>
  <si>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</si>
  <si>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</si>
  <si>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</si>
  <si>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</si>
  <si>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</si>
  <si>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</si>
  <si>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</si>
  <si>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</si>
  <si>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</si>
  <si>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</si>
  <si>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</si>
  <si>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</si>
  <si>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</si>
  <si>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</si>
  <si>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</si>
  <si>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05.xxx</t>
  </si>
  <si>
    <t>Pārējā nekur citur neklasificētā vides aizsardzība</t>
  </si>
  <si>
    <t>Projekts "Integrēta lietus ūdens pārvaldība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</si>
  <si>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</si>
  <si>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</si>
  <si>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</si>
  <si>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</si>
  <si>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</si>
  <si>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</si>
  <si>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</si>
  <si>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</si>
  <si>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</si>
  <si>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</si>
  <si>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</si>
  <si>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</si>
  <si>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</si>
  <si>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</si>
  <si>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</si>
  <si>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</si>
  <si>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</si>
  <si>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</si>
  <si>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</si>
  <si>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</si>
  <si>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</si>
  <si>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</si>
  <si>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</si>
  <si>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</si>
  <si>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</si>
  <si>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</si>
  <si>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</si>
  <si>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</si>
  <si>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</si>
  <si>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</si>
  <si>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</si>
  <si>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</si>
  <si>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</si>
  <si>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</si>
  <si>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</si>
  <si>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</si>
  <si>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</si>
  <si>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</si>
  <si>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</si>
  <si>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</si>
  <si>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</si>
  <si>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</si>
  <si>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</si>
  <si>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</si>
  <si>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</si>
  <si>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</si>
  <si>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</si>
  <si>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</si>
  <si>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</si>
  <si>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</si>
  <si>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</si>
  <si>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</si>
  <si>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</si>
  <si>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</si>
  <si>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</si>
  <si>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</si>
  <si>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</si>
  <si>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</si>
  <si>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</si>
  <si>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</si>
  <si>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</si>
  <si>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</si>
  <si>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</si>
  <si>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</si>
  <si>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</si>
  <si>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</si>
  <si>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</si>
  <si>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</si>
  <si>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</si>
  <si>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</si>
  <si>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</si>
  <si>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</si>
  <si>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</si>
  <si>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</si>
  <si>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</si>
  <si>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</si>
  <si>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</si>
  <si>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</si>
  <si>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</si>
  <si>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</si>
  <si>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</si>
  <si>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</si>
  <si>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</si>
  <si>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</si>
  <si>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</si>
  <si>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</si>
  <si>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</si>
  <si>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</si>
  <si>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</si>
  <si>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</si>
  <si>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</si>
  <si>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</si>
  <si>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</si>
  <si>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</si>
  <si>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</si>
  <si>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</si>
  <si>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</si>
  <si>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</si>
  <si>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</si>
  <si>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</si>
  <si>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</si>
  <si>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</si>
  <si>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</si>
  <si>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</si>
  <si>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</si>
  <si>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</si>
  <si>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</si>
  <si>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</si>
  <si>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</si>
  <si>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</si>
  <si>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</si>
  <si>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</si>
  <si>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</si>
  <si>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</si>
  <si>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</si>
  <si>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</si>
  <si>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</si>
  <si>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</si>
  <si>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</si>
  <si>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</si>
  <si>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</si>
  <si>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</si>
  <si>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</si>
  <si>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</si>
  <si>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</si>
  <si>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</si>
  <si>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10.912.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</si>
  <si>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</si>
  <si>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</si>
  <si>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</si>
  <si>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</si>
  <si>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</si>
  <si>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</si>
  <si>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</si>
  <si>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</si>
  <si>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</si>
  <si>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</si>
  <si>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Projekts "Elastīga bērnu uzraudzības pakalpojuma nodrošināšana darbiniekiem, kas strādā nestandarta darba laiku"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</si>
  <si>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</si>
  <si>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</si>
  <si>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</si>
  <si>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</si>
  <si>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</si>
  <si>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</si>
  <si>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</si>
  <si>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</si>
  <si>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Projekts "Lietpratīga pārvaldība un Latvijas pašvaldību veiktspējas uzlabošana"</t>
  </si>
  <si>
    <t>Braukšanas maksas atvieglojumi skolēniem sabiedriskajā transportā</t>
  </si>
  <si>
    <t>Sociālā aizsardzība invaliditātes gadījumā</t>
  </si>
  <si>
    <t>PAVISAM IZDEVUMI ( I+II)</t>
  </si>
  <si>
    <t>Valsts nodeva par speciālu atļauju (licenču) izsniegšanu</t>
  </si>
  <si>
    <t>Ieņēmumi no neapbūvēta zemesgabala privatizācijas</t>
  </si>
  <si>
    <t>Pašvaldību budžetu transferti</t>
  </si>
  <si>
    <t>Ieņēmumi par pārējiem sniegtajiem maksas pakalpojumiem</t>
  </si>
  <si>
    <t>Projekts "Integrētu teritoriālo investīciju projektu iesniegumu atlases nodrošināšana Jelgavas pilsētas pašvaldībā"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</si>
  <si>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</si>
  <si>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</si>
  <si>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</si>
  <si>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</si>
  <si>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</si>
  <si>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</si>
  <si>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</si>
  <si>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</si>
  <si>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Nosaukums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</si>
  <si>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</si>
  <si>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</si>
  <si>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</si>
  <si>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Projekts "Proti un dari"</t>
  </si>
  <si>
    <t>10.127.</t>
  </si>
  <si>
    <t>Projekts "Atver sirdi Zemgalē"</t>
  </si>
  <si>
    <t>SAISTOŠAJIEM NOTEIKUMIEM Nr.___-___</t>
  </si>
  <si>
    <t>6.pielikums</t>
  </si>
  <si>
    <t>SAISTOŠAJIEM NOTEIKUMIEM Nr.___</t>
  </si>
  <si>
    <t>Speciālā budžeta resursi</t>
  </si>
  <si>
    <t>Ieņēmumu grozījumi               + vai -</t>
  </si>
  <si>
    <t>05.530.</t>
  </si>
  <si>
    <t>Dabas resursu nodoklis par dabas resursu ieguvi un vides piesārņojumu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</si>
  <si>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</si>
  <si>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</si>
  <si>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</si>
  <si>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</si>
  <si>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</si>
  <si>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</si>
  <si>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</si>
  <si>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</si>
  <si>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I</t>
  </si>
  <si>
    <t>Dabas resursu nodokļa līdzekļi</t>
  </si>
  <si>
    <t>II</t>
  </si>
  <si>
    <t>Autoceļu (ielu) fonda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</si>
  <si>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</si>
  <si>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</si>
  <si>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</si>
  <si>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</si>
  <si>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PAVISAM IZDEVUMI KOPĀ</t>
  </si>
  <si>
    <t>JELGAVAS PILSĒTAS PAŠVALDĪBAS 2017.GADA BUDŽETS</t>
  </si>
  <si>
    <t>Plāns 2017.gadam</t>
  </si>
  <si>
    <t>Naudas līdzekļu atlikums uz 31.12.2016.</t>
  </si>
  <si>
    <t>Jelgavas pilsētas pašvaldības 2017.gada speciālais budžets, EUR</t>
  </si>
  <si>
    <t>2017.gada ieņēmumu plāns</t>
  </si>
  <si>
    <t>2017.gada izdevumu plāns kopā</t>
  </si>
  <si>
    <t xml:space="preserve">Naudas līdzekļu atlikums uz 31.12.2016. 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</si>
  <si>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</si>
  <si>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</si>
  <si>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</si>
  <si>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</si>
  <si>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</si>
  <si>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</si>
  <si>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</si>
  <si>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04.510.524.</t>
  </si>
  <si>
    <t>Projekts "Atmodas ielas posma no Dobeles šosejas līdz Dambja ielai un Rūpniecības ielas posma no Filozofu ielas līdz Tērvetes ielai asfalta seguma atjaunošana"</t>
  </si>
  <si>
    <t>SIA "Jelgavas nekustamā īpašuma pārvalde" apsaimniekošanā esošo grodu aku dzeramā ūdens kvalitātes laboratoriskā kontrole un nodrošināšana</t>
  </si>
  <si>
    <t>SIA "Jelgavas ūdens" -  programma saimnieciski - fekālās kanalizācijas sistēmas attīstībai</t>
  </si>
  <si>
    <t>SIA "Jelgavas ūdens" -  kanalizācijas sistēmas attīstība un pārslēgumi</t>
  </si>
  <si>
    <t>Pašvaldības administrācija - gaisa piesārņojuma monitorings Jelgavas pilsētas teritorijai</t>
  </si>
  <si>
    <t>Pašvaldības administrācija - dalības maksa vides aizsardzības semināriem, konferencēm, vides projektu pasākumiem, dabas resursu nodokļa ieņēmumu administrēšana</t>
  </si>
  <si>
    <t>IV</t>
  </si>
  <si>
    <t>06.607.</t>
  </si>
  <si>
    <t>Pašvaldības līdzfinansējums energoefektivitātes paaugstināšanas pasākumu veikšanai daudzdzīvokļu dzīvojamās mājās</t>
  </si>
  <si>
    <t>09.219.5.</t>
  </si>
  <si>
    <t xml:space="preserve">Pašvaldības izglītības iestāžu investīciju projekts "Jelgavas Valsts ģimnāzijas pārbūve" </t>
  </si>
  <si>
    <t>09.519.01.</t>
  </si>
  <si>
    <t>Projekts "Jelgava jauniešiem"</t>
  </si>
  <si>
    <t>21.150.</t>
  </si>
  <si>
    <t xml:space="preserve">Eiropas Savienības līdzfinansējums Kohēzijas un Eiropas Savienības struktūrfondu projektu īstenošanai </t>
  </si>
  <si>
    <t>5.pielikums</t>
  </si>
  <si>
    <t xml:space="preserve">                   INFORMĀCIJA PAR JELGAVAS PILSĒTAS PAŠVALDĪBAS ILGTERMIŅA SAISTĪBĀM 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</si>
  <si>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</si>
  <si>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</si>
  <si>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</si>
  <si>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</si>
  <si>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</si>
  <si>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</si>
  <si>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</si>
  <si>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</si>
  <si>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</si>
  <si>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</si>
  <si>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 xml:space="preserve">Valsts kase </t>
  </si>
  <si>
    <t>Siltumtīklu rehabilitācija</t>
  </si>
  <si>
    <t>12.09.2003.</t>
  </si>
  <si>
    <t>Pamatsumma</t>
  </si>
  <si>
    <t>A2/1/F03/539</t>
  </si>
  <si>
    <t>05.05.2027.</t>
  </si>
  <si>
    <t>Valsts kase</t>
  </si>
  <si>
    <t>Stāvlaukuma un ielu rekonstrukcija</t>
  </si>
  <si>
    <t>27.06.2006.</t>
  </si>
  <si>
    <t>A2/1/10/471</t>
  </si>
  <si>
    <t>20.03.2021.</t>
  </si>
  <si>
    <t>Peldu ielas izbūve</t>
  </si>
  <si>
    <t>13.10.2006.</t>
  </si>
  <si>
    <t>A2/1/10/488</t>
  </si>
  <si>
    <t>Pašvaldību iestāžu ēku remonts</t>
  </si>
  <si>
    <t>21.06.2007.-</t>
  </si>
  <si>
    <t>A2/1/07/301</t>
  </si>
  <si>
    <t>20.01.2017.</t>
  </si>
  <si>
    <t>Pamatkapitāla palielināšana SIA "ZOC"</t>
  </si>
  <si>
    <t>A2/1/07/303</t>
  </si>
  <si>
    <t>20.03.2022.</t>
  </si>
  <si>
    <t>Pilsētas ielu izbūve, renovācija un remonts</t>
  </si>
  <si>
    <t>A2/1/07/304</t>
  </si>
  <si>
    <t>Infrastruktūras objektu rekonstrukcija un izbūve</t>
  </si>
  <si>
    <t>A2/1/07/305</t>
  </si>
  <si>
    <t>ES fondu atbalstīto projektu priekšfin. un līdzfinansējums</t>
  </si>
  <si>
    <t>A2/1/07/306</t>
  </si>
  <si>
    <t>Energoefektivitātes paaugstināšana 4.vsk., 6.vsk, 4.psk, 1.intern.psk.</t>
  </si>
  <si>
    <t>11.04.2008.-</t>
  </si>
  <si>
    <t>A2/1/10/470</t>
  </si>
  <si>
    <t>20.03.2027.</t>
  </si>
  <si>
    <t>Projekts "Biznesa inkubatora izveide"</t>
  </si>
  <si>
    <t>A2/1/10/468</t>
  </si>
  <si>
    <t>20.02.2022.</t>
  </si>
  <si>
    <t>Pamatkapitāla palielināšana pašvaldības SIA</t>
  </si>
  <si>
    <t>A2/1/10/469</t>
  </si>
  <si>
    <t>Pilsētas ielu un infrastruktūras objektu renovācija</t>
  </si>
  <si>
    <t>A2/1/10/467</t>
  </si>
  <si>
    <t>Dzīvojamā fonda iegāde</t>
  </si>
  <si>
    <t>A2/1/10/466</t>
  </si>
  <si>
    <t xml:space="preserve">Projekts "Publiskās partnerības ieviešana" </t>
  </si>
  <si>
    <t>01.08.2008.-</t>
  </si>
  <si>
    <t>A2/1/10/484</t>
  </si>
  <si>
    <t>20.06.2022.</t>
  </si>
  <si>
    <t>Projekts "Daudzfunkcionālā centra izveide"</t>
  </si>
  <si>
    <t>A2/1/10/465</t>
  </si>
  <si>
    <t>Luksofori Raiņa/ Akadēmijas, Raiņa/Kalpaka ielu krustojumos</t>
  </si>
  <si>
    <t>23.10.2008.-</t>
  </si>
  <si>
    <t>A2/1/10/463</t>
  </si>
  <si>
    <t>Kalnciema ceļa un Tērvetes ielas seguma atjaunošana</t>
  </si>
  <si>
    <t>A2/1/10/464</t>
  </si>
  <si>
    <t>20.09.2027.</t>
  </si>
  <si>
    <t xml:space="preserve">Atraktīvu un pieejamu muzeju attīstība Zemgalē un Ziemeļlietuvā </t>
  </si>
  <si>
    <t>21.04.2009.-</t>
  </si>
  <si>
    <t>A2/1/11/36</t>
  </si>
  <si>
    <t>20.04.2023.</t>
  </si>
  <si>
    <t>Energoefektīva un saskaņota darbība pilsētas attīstībā</t>
  </si>
  <si>
    <t>A2/1/11/42</t>
  </si>
  <si>
    <t>Pārrobežu sadarbības iniciatīva riska vadības sistēmas veidošana</t>
  </si>
  <si>
    <t>19.06.2009.-</t>
  </si>
  <si>
    <t>A2/1/11/41</t>
  </si>
  <si>
    <t>20.05.2023.</t>
  </si>
  <si>
    <t>4. vidusskolas piebūves celtniecība</t>
  </si>
  <si>
    <t>12.08.2009.-</t>
  </si>
  <si>
    <t>A2/1/11/40</t>
  </si>
  <si>
    <t>20.09.2028.</t>
  </si>
  <si>
    <t>Lielupes gultnes tīrīšana un labā krasta aizsargdambja atjaunošana</t>
  </si>
  <si>
    <t>25.08.2009.-</t>
  </si>
  <si>
    <t>A2/1/11/43</t>
  </si>
  <si>
    <t>20.07.2023.</t>
  </si>
  <si>
    <t xml:space="preserve">Transporta, inženierkomunikāciju infrastruktūras izveide Pārlielupē </t>
  </si>
  <si>
    <t>A2/1/11/39</t>
  </si>
  <si>
    <t>Transporta infrastruktūras sakārtošana pilsētas centrā</t>
  </si>
  <si>
    <t>01.12.2009-</t>
  </si>
  <si>
    <t>A2/1/11/38</t>
  </si>
  <si>
    <t>Reģiona nozīmes tūrisma un kultur izglītības centra izveide Jelgavā</t>
  </si>
  <si>
    <t>08.12.2009-</t>
  </si>
  <si>
    <t>A2/1/11/37</t>
  </si>
  <si>
    <t>25.03.2010-</t>
  </si>
  <si>
    <t>A2/1/10/220</t>
  </si>
  <si>
    <t>20.03.2024.</t>
  </si>
  <si>
    <t>A2/1/10/221</t>
  </si>
  <si>
    <t>Satiksmes drošības uzlabošana Rūpniecības - Atmodas ielas posmā</t>
  </si>
  <si>
    <t>20.05.2010-</t>
  </si>
  <si>
    <t>A2/1/10/334</t>
  </si>
  <si>
    <t>Sadarbība mācību programmu kvalitātes uzlabošana</t>
  </si>
  <si>
    <t>11.06.2010-</t>
  </si>
  <si>
    <t>A2/1/10/411</t>
  </si>
  <si>
    <t>Ā.Alunāna memoriālā muzeja pakalpojumu dažādošana</t>
  </si>
  <si>
    <t>02.07.2010-</t>
  </si>
  <si>
    <t>A2/1/10/503</t>
  </si>
  <si>
    <t>14.07.2010-</t>
  </si>
  <si>
    <t>A2/1/10/542</t>
  </si>
  <si>
    <t>Dobeles šosejas rekonstrukcija</t>
  </si>
  <si>
    <t>A2/1/10/543</t>
  </si>
  <si>
    <t>Raiņa, Lielās, Čakstes ielu rekonstrukcijas projekta izstrāde</t>
  </si>
  <si>
    <t>22.10.2010-</t>
  </si>
  <si>
    <t>A2/1/10/899</t>
  </si>
  <si>
    <t>20.05.2024.</t>
  </si>
  <si>
    <t>Mācību projekta moderniz. un infrastr. uzlabošana Amatu vsk.</t>
  </si>
  <si>
    <t>A2/1/11/35</t>
  </si>
  <si>
    <t>20.09.2024.</t>
  </si>
  <si>
    <t>566E</t>
  </si>
  <si>
    <t>11.10.2010-</t>
  </si>
  <si>
    <t>A2/1/11/34</t>
  </si>
  <si>
    <t>20.09.2029.</t>
  </si>
  <si>
    <t>29.07.2010-20.03.2024</t>
  </si>
  <si>
    <t>A2/1/10/599</t>
  </si>
  <si>
    <t>01.09.2010-20.03.2029</t>
  </si>
  <si>
    <t>A2/1/10/708</t>
  </si>
  <si>
    <t>Jelgavas vecpilsētas atjaunošana un pielāgošana</t>
  </si>
  <si>
    <t>01.09.2010-20.03.2024</t>
  </si>
  <si>
    <t>A2/1/10/709</t>
  </si>
  <si>
    <t>27.08.2010-20.03.2029</t>
  </si>
  <si>
    <t>A2/1/10/689</t>
  </si>
  <si>
    <t>Jelgavas speciālo izglītības iestāžu infrastruktūras sakārtošana</t>
  </si>
  <si>
    <t>13.09.2010-20.03.2024</t>
  </si>
  <si>
    <t>A2/1/10/740</t>
  </si>
  <si>
    <t>Jelgavas pašvaldības PII Pulkveža brieža ielā 23a rekonstrukcija</t>
  </si>
  <si>
    <t>24.09.2010-20.03.2024</t>
  </si>
  <si>
    <t>A2/1/10/782</t>
  </si>
  <si>
    <t>Energoefektivitātes paaugstināšana izglītības iestāžu ēkās</t>
  </si>
  <si>
    <t>24.09.2010-20.03.2029</t>
  </si>
  <si>
    <t>A2/1/10/783</t>
  </si>
  <si>
    <t>Kvalitatīvai dabaszinātņu apguvei - materiālās bāzes nodrošināšana</t>
  </si>
  <si>
    <t>A2/1/10/785</t>
  </si>
  <si>
    <t>Sociālās dzīvojamās mājas siltumnoturības uzlabošana</t>
  </si>
  <si>
    <t>02.05.2011-20.04.2025</t>
  </si>
  <si>
    <t>A2/1/11/177</t>
  </si>
  <si>
    <t>Šauļu un Jelgavas pils.pašv. sadarb. kult. un sporta dzīves pilnv.</t>
  </si>
  <si>
    <t>13.05.2011-20.04.2025</t>
  </si>
  <si>
    <t>A2/1/11/204</t>
  </si>
  <si>
    <t>Meliorat. sist. rekonstrukc.cukura rūpn. skartajās terit. Jelgavā</t>
  </si>
  <si>
    <t>26.05.2011-20.04.2025</t>
  </si>
  <si>
    <t>A2/1/11/233</t>
  </si>
  <si>
    <t>Energoefektivitātes paaugstināšana Amatu vidusskolā</t>
  </si>
  <si>
    <t>23.08.2011-20.04.2025</t>
  </si>
  <si>
    <t>A2/1/11/483</t>
  </si>
  <si>
    <t>Mācību aprīkojuma modernizācija un infrastrukt. uzlab. Amatu vsk.</t>
  </si>
  <si>
    <t>07.12.2011-20.04.2025</t>
  </si>
  <si>
    <t>A2/1/11/760</t>
  </si>
  <si>
    <t>A2/1/11/761</t>
  </si>
  <si>
    <t>Radošo industriju attīstība Latvijas un Lietuvas pierobežas reģionā</t>
  </si>
  <si>
    <t>20.03.2012 - 20.03.2026.</t>
  </si>
  <si>
    <t>A2/1/12/65</t>
  </si>
  <si>
    <t>Ielu infrastruktūras un Driksas upes krastmalas sakārtošana</t>
  </si>
  <si>
    <t>04.10.2012 - 20.09.2026.</t>
  </si>
  <si>
    <t>A2/1/12/559</t>
  </si>
  <si>
    <t>Pasta salas labiekārtošana un upju kā tūrisma un aktīvās atpūtas produktu veidošana</t>
  </si>
  <si>
    <t>16.11.2012. - 20.11.2026.</t>
  </si>
  <si>
    <t>A2/1/12/690</t>
  </si>
  <si>
    <t>Hidrotehnisko būvju rekonstrukcija plūdu draudu risku novēršana</t>
  </si>
  <si>
    <t>06.09.2012-20.09.2012.</t>
  </si>
  <si>
    <t>A2/1/12/493</t>
  </si>
  <si>
    <t>Lietuvas šosejas rekonstrukcija</t>
  </si>
  <si>
    <t>25.09.2012. - 20.09.2026.</t>
  </si>
  <si>
    <t>A2/1/12/532</t>
  </si>
  <si>
    <t>PII Skautu iela 1a iegāde</t>
  </si>
  <si>
    <t>14.05.2013. - 20.05.2033.</t>
  </si>
  <si>
    <t>A2/1/13/174</t>
  </si>
  <si>
    <t>PII "Vārpiņa" rekonstrukcija</t>
  </si>
  <si>
    <t>10.07.2013.-20.07.2033.</t>
  </si>
  <si>
    <t>A2/1/13/341</t>
  </si>
  <si>
    <t>Vides izpratnes veicināšana Jelgavas un Šauļu pilsētās</t>
  </si>
  <si>
    <t>07.08.2013. - 20.07.2033.</t>
  </si>
  <si>
    <t>A2/1/13/395</t>
  </si>
  <si>
    <t>Ielu apgaismojums - p/ie "Pilsētsaimniecība"</t>
  </si>
  <si>
    <t>27.08.2013.-20.08.2033.</t>
  </si>
  <si>
    <t>A2/1/13/432</t>
  </si>
  <si>
    <t>PII Ganību ielā 66 rekonstrukcija - II kārta</t>
  </si>
  <si>
    <t>27.08.2013.- 20.08.2033.</t>
  </si>
  <si>
    <t>A2/1/13/444</t>
  </si>
  <si>
    <t xml:space="preserve">Pasta salas labiekārtošana </t>
  </si>
  <si>
    <t>27.11.2013.- 20.11.2033.</t>
  </si>
  <si>
    <t>A2/1/13/996</t>
  </si>
  <si>
    <t>Ganību iela II kārta</t>
  </si>
  <si>
    <t>28.01.2014.- 20.01.2034</t>
  </si>
  <si>
    <t>A2/1/14/16</t>
  </si>
  <si>
    <t>Jāņa kolektora rekonstrukcija plūdu draudu novēršanai</t>
  </si>
  <si>
    <t>13.03.2014.-20.03.2034.</t>
  </si>
  <si>
    <t>A2/1/14/124</t>
  </si>
  <si>
    <t>Ganību iela I kārta</t>
  </si>
  <si>
    <t>27.03.2014.-20.03.2034.</t>
  </si>
  <si>
    <t>A2/1/14/185</t>
  </si>
  <si>
    <t>Transporta infrastruktūras izbūve - Aviācijas iela</t>
  </si>
  <si>
    <t>22.05.2014.- 20.05.2034.</t>
  </si>
  <si>
    <t>A2/1/14/330</t>
  </si>
  <si>
    <t>Satiksmes termināls</t>
  </si>
  <si>
    <t>25.05.2014.-20.05.2034.</t>
  </si>
  <si>
    <t>A2/1/14/341</t>
  </si>
  <si>
    <t>JPPPII "Rotaļa" rekonstrukcija</t>
  </si>
  <si>
    <t>15.07.2014. - 20.06.2034.</t>
  </si>
  <si>
    <t>A2/1/14/448</t>
  </si>
  <si>
    <t xml:space="preserve">JPPPII Skautu ielā 1a rekonstr. </t>
  </si>
  <si>
    <t>31.07.2014. - 20.07.2034.</t>
  </si>
  <si>
    <t>A2/1/14/512</t>
  </si>
  <si>
    <t>Kultūras nama jumta remonts</t>
  </si>
  <si>
    <t>624E</t>
  </si>
  <si>
    <t>19.08.2014. - 20.08.2034.</t>
  </si>
  <si>
    <t>A2/1/14/562</t>
  </si>
  <si>
    <t>Jelgavas 1.internātpamatskolas rekonstrukcijas darbi</t>
  </si>
  <si>
    <t>12.09.2014. - 20.09.2034.</t>
  </si>
  <si>
    <t>A2/1/14/653</t>
  </si>
  <si>
    <t>Lietuvas šosejas seguma atjaunošana</t>
  </si>
  <si>
    <t>21.11.2014. - 20.11.2034.</t>
  </si>
  <si>
    <t>A2/1/14/890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</si>
  <si>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</si>
  <si>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</si>
  <si>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</si>
  <si>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</si>
  <si>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</si>
  <si>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</si>
  <si>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</si>
  <si>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</si>
  <si>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</si>
  <si>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</si>
  <si>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</si>
  <si>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</si>
  <si>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</si>
  <si>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</si>
  <si>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</si>
  <si>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</si>
  <si>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</si>
  <si>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</si>
  <si>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</si>
  <si>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</si>
  <si>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</si>
  <si>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Galvojumi:</t>
  </si>
  <si>
    <t>03.12.2010. - 20.12.2030.</t>
  </si>
  <si>
    <t>A/1/10/1025</t>
  </si>
  <si>
    <t>Swdbank</t>
  </si>
  <si>
    <t>12.09.2012. - 12.09.2019.</t>
  </si>
  <si>
    <t>12-022694-IN/1</t>
  </si>
  <si>
    <t>18.12.2013. - 20.12.2030.</t>
  </si>
  <si>
    <t>G/13/1206</t>
  </si>
  <si>
    <t>16.10.2015 - 20.09.2025</t>
  </si>
  <si>
    <t>G/15/580</t>
  </si>
  <si>
    <t>Galvojumu saistības kopā</t>
  </si>
  <si>
    <t xml:space="preserve"> Kopā pamatsummas                  </t>
  </si>
  <si>
    <t>2017.gada plāns</t>
  </si>
  <si>
    <t>01.000. VISPĀRĒJIE VALDĪBAS DIENESTI</t>
  </si>
  <si>
    <t>Izdevumi kopā</t>
  </si>
  <si>
    <t>1000. Atlīdzība - kopā</t>
  </si>
  <si>
    <t>1100. Atalgojums</t>
  </si>
  <si>
    <t>1200. VSAOI, pabalsti, kompensācijas</t>
  </si>
  <si>
    <t>2000. Preces un pakalpojumi - kopā</t>
  </si>
  <si>
    <t>2200. Pakalpojumi</t>
  </si>
  <si>
    <t>2300. Krājumi, materiāli, energoresursi, preces, biroja preces un inventārs, kurus neuzskaita kodā 5000</t>
  </si>
  <si>
    <t>5000. Pamatkapitāla veidošana - kopā</t>
  </si>
  <si>
    <t>5200. Pamatlīdzekļi</t>
  </si>
  <si>
    <t>01.111. Izpildvaras institūcija</t>
  </si>
  <si>
    <t>03.000. SABIEDRISKĀ KĀRTĪBA UN DROŠĪBA</t>
  </si>
  <si>
    <t>04.000. EKONOMISKĀ DARBĪBA</t>
  </si>
  <si>
    <t>3000. Subsīdijas un dotācijas - kopā</t>
  </si>
  <si>
    <t>3200. Subsīdijas un dotācijas komersantiem, biedrībām un nodibinājumiem</t>
  </si>
  <si>
    <t>3300. Subsīdijas komersantiem sabiedriskā transporta pakalpojumu nodrošināšanai (par pasažieru regulārajiem pārvadājumiem)</t>
  </si>
  <si>
    <t>04.511. Ceļu un ielu infrastruktūras funkcionēšana, izmantošana, būvniecība un uzturēšana</t>
  </si>
  <si>
    <t>05.000. VIDES AIZSARDZĪBA</t>
  </si>
  <si>
    <t>05.202. Notekūdeņu apsaimniekošana</t>
  </si>
  <si>
    <t>06.000. TERITORIJU UN MĀJOKĻU APSAIMNIEKOŠANA</t>
  </si>
  <si>
    <t>06.602. Pašvaldības teritorijas, mežu un kapsētu apsaimniekošana, klaiņojošo dzīvnieku likvidācija</t>
  </si>
  <si>
    <t>08.000. ATPŪTA, KULTŪRA UN RELIĢIJA</t>
  </si>
  <si>
    <t>09.000. IZGLĪTĪBA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</si>
  <si>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</si>
  <si>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</si>
  <si>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internātpamatskolas un šo skolu projektu īstenošana - kopsavilkums</t>
  </si>
  <si>
    <t>10.000. SOCIĀLĀ AIZSARDZĪBA</t>
  </si>
  <si>
    <t>KOPĀ izdevumi pēc ekonomiskās klasifikācijas</t>
  </si>
  <si>
    <t>7.pielikums</t>
  </si>
  <si>
    <t>JELGAVAS PILSĒTAS PAŠVALDĪBAS 2017.GADA SPECIĀLAIS BUDŽETS ATŠIFRĒJUMĀ PA EKONOMISKĀS KLASIFIKĀCIJAS KODIEM</t>
  </si>
  <si>
    <t>Grozījumi + vai -</t>
  </si>
  <si>
    <t>03.201. Civilās aizsardzības dienests</t>
  </si>
  <si>
    <t>04.501. Mērķdotācija SIA Jelgavas autobusu parks sabiedriskā transporta pakalpojuma nodrošināšanai</t>
  </si>
  <si>
    <t>05.303. Dotācija pašvaldības komersantiem</t>
  </si>
  <si>
    <t>Projekts</t>
  </si>
  <si>
    <t>Izglītības iestāžu invest.pr. "Jelgavas Valsts ģimnāzijas pārbūve"</t>
  </si>
  <si>
    <t>2031-2047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</si>
  <si>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</si>
  <si>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</si>
  <si>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</si>
  <si>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</si>
  <si>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</si>
  <si>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</si>
  <si>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</si>
  <si>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</si>
  <si>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</si>
  <si>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</si>
  <si>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</si>
  <si>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</si>
  <si>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</si>
  <si>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</si>
  <si>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</si>
  <si>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</si>
  <si>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</si>
  <si>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</si>
  <si>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</si>
  <si>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</si>
  <si>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</si>
  <si>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</si>
  <si>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</si>
  <si>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08.101. PI Sporta servisa centrs darbības nodrošināšana</t>
  </si>
  <si>
    <t>08.221. PI Ģ.Eliasa Jelgavas Vēstures un mākslas muzejs darbība nodrošināšana</t>
  </si>
  <si>
    <t>08.231. PI Kultūra darbības nodrošināšana</t>
  </si>
  <si>
    <t>09.811. PI Jelgavas izglītības pārvalde darbības nodrošināšana</t>
  </si>
  <si>
    <t>09.531. PI Zemgales reģiona kompetenču attīstības centrs darbības nodrošināšana</t>
  </si>
  <si>
    <t>10.706. PI Jelgavas bērnu sociālās aprūpes centrs darbības nodrošināšana</t>
  </si>
  <si>
    <t>PI "Pilsētsaimniecība" - naftas produktu piesārņojuma Kalnciema ceļā attīrīšanas projekta izstrāde</t>
  </si>
  <si>
    <t>PI "Pašvaldības operatīvās informācijas centrs" - mobilās gaisa kvalitātes kontroles laboratorijas mērījumu veikšana, laboratorijas iekārtu kalibrēšana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</si>
  <si>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</si>
  <si>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</si>
  <si>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</si>
  <si>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</si>
  <si>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</si>
  <si>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</si>
  <si>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</si>
  <si>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</si>
  <si>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Pamatsummu izmaiņas pret iepriekšējo gadu</t>
  </si>
  <si>
    <t>Ziedojumi/ dāvinājumi</t>
  </si>
  <si>
    <t>A2/1/17/364</t>
  </si>
  <si>
    <t>07.06.2017.-20.03.2047.</t>
  </si>
  <si>
    <t>07.06.2017.-20.11.2036.</t>
  </si>
  <si>
    <t>03.07.2017.-20.11.2036.</t>
  </si>
  <si>
    <t>Izglītības iestāžu invest.pr. "Jelgavas pilsētas PII "Zemenīte" telpu pārbūve"</t>
  </si>
  <si>
    <t>Prioritārais proj. "Jelgavas kultūras nama iekšējo komunikāciju atjaunošana"</t>
  </si>
  <si>
    <t>Asfaltbetona seguma atjaunošana Akadēmijas ielas posmā</t>
  </si>
  <si>
    <t xml:space="preserve">Izglītības iestāžu invest.projekts  "Jelgavas 1.internātpamatskolas jumta konstrukciju nomaiņa" </t>
  </si>
  <si>
    <t xml:space="preserve">SIA Jelgavas ūdens - "Ūdenssaimniecības pakalpojumu attīstība Jelgavā, II kārta" </t>
  </si>
  <si>
    <t xml:space="preserve">SIA Jelgavas ūdens - "Ūdenssaimniecības pakalpojumu attīstība Jelgavā, III kārta" </t>
  </si>
  <si>
    <t xml:space="preserve">SIA Jelgavas ūdens - "Ūdenssaimniecības pakalpojumu attīstība Jelgavā, IV kārta" </t>
  </si>
  <si>
    <t>Izglītības iestāžu invest.pr. "Jelgavas PII "Rotaļa" rekonstrukcija, VI kārta"</t>
  </si>
  <si>
    <t>SIA Komunālie pakalpojumi</t>
  </si>
  <si>
    <t>PAVISAM KOPĀ:</t>
  </si>
  <si>
    <t>Reģiona nozīmes tūrisma un kultūrizglītības centra izveide Jelgavā</t>
  </si>
  <si>
    <t>04.735.</t>
  </si>
  <si>
    <t xml:space="preserve">Projekts "Starptautiskais kultūras tūrisma maršruts "Baltu ceļš"" </t>
  </si>
  <si>
    <t>07.452.</t>
  </si>
  <si>
    <t>Projekts "Kompleksu veselības veicināšanas un slimību profilakses pasākumu īstenošana Jelgavas pilsētā, 1.kārta"</t>
  </si>
  <si>
    <t>09.108.</t>
  </si>
  <si>
    <t>Projekts "Jelgavas pilsētas pašvaldības pirmsskolas izglītības iestādes "Rotaļa" rekonstrukcija - VI kārta"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</si>
  <si>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</si>
  <si>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</si>
  <si>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</si>
  <si>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</si>
  <si>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</si>
  <si>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 xml:space="preserve">Projekts "Pilsētas iedzīvotāju kartes pieejamo pakalpojumu pilnveidošana Jelgavā un Šauļos" </t>
  </si>
  <si>
    <t>05.603.</t>
  </si>
  <si>
    <t>Projekts "Vides risku pārvaldības resursu pilnveidošana pierobežas reģionā, lai efektīvi veiktu vides aizsardzības pasākumus"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</si>
  <si>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</si>
  <si>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</si>
  <si>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26.10.2017.prot.Nr.___/___</t>
  </si>
  <si>
    <t>Precizētais plāns uz 26.10.2017.</t>
  </si>
  <si>
    <t>26.10.2017.prot. Nr.___/___</t>
  </si>
  <si>
    <t>Precizētais izdevumu plāns uz 26.10.2017.</t>
  </si>
  <si>
    <t>Precizētais resursu plāns uz 26.10.2017.</t>
  </si>
  <si>
    <r>
      <t>26.10.2017.prot. Nr.</t>
    </r>
    <r>
      <rPr>
        <u/>
        <sz val="12"/>
        <rFont val="Times New Roman"/>
        <family val="1"/>
        <charset val="186"/>
      </rPr>
      <t>___/___</t>
    </r>
  </si>
  <si>
    <t>Pamatkapitāla palielināšana SIA "Jelgavas ūdens" KF projekta "Ūdenssaimniecības pakalpojumu attīstība Jelgavā, V kārta" īstenošanai</t>
  </si>
  <si>
    <t>A2/1/17/633</t>
  </si>
  <si>
    <t>A2/1/17/632</t>
  </si>
  <si>
    <t>A2/1/17/588</t>
  </si>
  <si>
    <t>A2/1/17/465</t>
  </si>
  <si>
    <t>31.08.2017.-20.08.2037.</t>
  </si>
  <si>
    <t>31.08.2017.-20.03.2047.</t>
  </si>
  <si>
    <t>10.08.2017.-20.11.2036.</t>
  </si>
  <si>
    <t>A2/1/17/365</t>
  </si>
  <si>
    <t>Atmodas - rūpniecības ielas posmu asfalta seguma atjaunošana</t>
  </si>
  <si>
    <t>A2/1/17/467</t>
  </si>
  <si>
    <t>PI "Pilsētsaimniecība" - ūdens kvalitātes pārbaudei Pasta salas peldvietā un lietus notekūdeņu atkārtotai pārbaudei</t>
  </si>
  <si>
    <t>PI "Pilsētsaimniecība" - lietus ūdens kanalizācijas kolektora rekonstrukcijas pasākumiem</t>
  </si>
  <si>
    <t>PI "Pilsētsaimniecība" - Lietus ūdens kanalizācijas atdalīšanai no saimnieciski - fekālās kanalizācijas</t>
  </si>
  <si>
    <t>PI "Pilsētsaimniecība" - Jaunā dalītā šķirošanas laukuma izbūvei Asteru ielā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</si>
  <si>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</si>
  <si>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</si>
  <si>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</si>
  <si>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</si>
  <si>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</si>
  <si>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Projekts "Pilssalas infrastruktūras attīstība tūrisma un veselības aktivitāšu veicināšanai Jelgavā"</t>
  </si>
  <si>
    <t>04.510.525.</t>
  </si>
  <si>
    <t>Projekts "Piekļuves uzlabošana Rubeņu ceļa industriālās zonas attīstībai"</t>
  </si>
  <si>
    <t>Projekts "Pilsētas iedzīvotāju kartes pieejamo pakalpojumu pilnveidošana Jelgavā un Šauļos"</t>
  </si>
  <si>
    <t>JELGAVAS PILSĒTAS PAŠVALDĪBAS 2017.GADA PAMATBUDŽETS ATŠIFRĒJUMĀ PA EKONOMISKĀS KLASIFIKĀCIJAS KODIEM</t>
  </si>
  <si>
    <t>2100. Mācību, darba un dienesta komandējumi, darba braucieni</t>
  </si>
  <si>
    <t>t.sk.2275. Pašvaldību līdzekļi neparedzētiem gadījumiem</t>
  </si>
  <si>
    <t>2500. Budžeta iestāžu nodokļu, nodevu un naudas sodu maksājumi</t>
  </si>
  <si>
    <t>4000. Procentu izdevumi - kopā</t>
  </si>
  <si>
    <t>4300. Pārējie procentu maksājumi (Valsts kasei)</t>
  </si>
  <si>
    <t>5100. Nemateriālie ieguldījumi</t>
  </si>
  <si>
    <t>7000. Uzturēšanas izdevumu transferti, pašu resursu maksājumi, starptautiskā sadarbība- kopā</t>
  </si>
  <si>
    <t>7200. Pašvaldību uzturēšanas izdevumu transferti</t>
  </si>
  <si>
    <t>7700. Starptautiskā sadarbība</t>
  </si>
  <si>
    <t>01.113. Projekts - 'Komunikācija ar sabiedrību tās iesaistei pašvaldības lēmumu pieņemšanā'</t>
  </si>
  <si>
    <t>01.114. Projekts - 'Integrētu teritoriālo investīciju projektu iesniegumu atlases nodrošināšana Jelgavas pilsētas pašvaldībā'</t>
  </si>
  <si>
    <t>01.122. Nekustamā īpašuma nodokļa u.c. pašvaldības ieņēmumu administrēšana</t>
  </si>
  <si>
    <t>01.123. PI 'Pašvaldības iestāžu centralizētā grāmatvedība' darbības nodrošināšana</t>
  </si>
  <si>
    <t>01.124. Zvērināto auditoru pakalpojumi un grāmatvedības programmas Horizon uzturēšana</t>
  </si>
  <si>
    <t>01.331. Centralizēto datoru un datortīklu uzturēšana</t>
  </si>
  <si>
    <t>01.332. Projekts - 'Pilsētas iedzīvotāju kartes pieejamo pakalpojumu pilnveidošana Jelgavā un Šauļos'</t>
  </si>
  <si>
    <t>01.600. Vēlēšanu organizēšana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</si>
  <si>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</si>
  <si>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</si>
  <si>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</si>
  <si>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</si>
  <si>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03.111. PI 'Jelgavas pilsētas pašvaldības policija' darbības nodrošināšana</t>
  </si>
  <si>
    <t>03.202. PI 'Pašvaldības operatīvās informācijas centrs' darbības nodrošināšana</t>
  </si>
  <si>
    <t>04.510.524. Projekts - 'Atmodas ielas posma no Dobeles šosejas līdz Dambja ielai un Rūpniecības ielas posma no Filozofu ielas līdz Tērvetes ielai asfalta seguma atjaunošana'</t>
  </si>
  <si>
    <t>04.510.525. Projekts - 'Piekļuves uzlabošana Rubeņu ceļa industriālās zonas attīstībai'</t>
  </si>
  <si>
    <t>04.515. Dotācija zaudējumu kompensācijai pašvaldības SIA 'Jelgavas autobusu parks'</t>
  </si>
  <si>
    <t>04.733. PI 'Jelgavas reģionālais tūrisma centrs' darbības nodrošināšana</t>
  </si>
  <si>
    <t>04.735. Projekts - 'Starptautiskais kultūras tūrisma maršruts 'Baltu ceļš''</t>
  </si>
  <si>
    <t>04.736. Projekts - 'Pilssalas infrastruktūras attīstība tūrisma un veselības aktivitāšu veicināšanai Jelgavā'</t>
  </si>
  <si>
    <t>04.901. Zemes reformas darbība, zemes īpašuma un lietošanas tiesību pārveidošana</t>
  </si>
  <si>
    <t>04.905. Pašvaldības līdzfinansējums biedrības 'Zemgales reģionālā enerģētikas aģentūra' darbības nodrošināšanai</t>
  </si>
  <si>
    <t>04.909. Dotācija Zemgales plānošanas reģionam</t>
  </si>
  <si>
    <t>05.101. Ielu, laukumu, publisko dārzu un parku tīrīšana, atkritumu savākšana</t>
  </si>
  <si>
    <t>05.102.  Pilsētas sanitārā tīrīšana - SIA 'Zemgales EKO' funkcija</t>
  </si>
  <si>
    <t>05.602. Projekts - 'Integrēta lietusūdens pārvaldība'</t>
  </si>
  <si>
    <t>05.603. Projekts - 'Vides risku pārvaldības resursu pilnveidošana pierobežas reģionā, lai efektīvi veiktu vides aizsardzības pasākumus'</t>
  </si>
  <si>
    <t>06.201. Projektu sagatavošana un teritoriju attīstība</t>
  </si>
  <si>
    <t>06.401. Ielu apgaismošana</t>
  </si>
  <si>
    <t>06.601. PI 'Pilsētsaimniecība' darbības nodrošināšana</t>
  </si>
  <si>
    <t>06.603. Pašvaldības īpašumu apsaimniekošana - finansējums SIA 'Jelgavas nekustamā īpašuma pārvalde'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</si>
  <si>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</si>
  <si>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</si>
  <si>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</si>
  <si>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07.000. VESELĪBA</t>
  </si>
  <si>
    <t>6000. Sociālie pabalsti - kopā</t>
  </si>
  <si>
    <t>6200. Pensijas un sociālie pabalsti naudā</t>
  </si>
  <si>
    <t>6300. Sociālie pabalsti natūrā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</si>
  <si>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</si>
  <si>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</si>
  <si>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</si>
  <si>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</si>
  <si>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07.452. Projekts - 'Kompleksu veselības veicināšanas un slimību profilakses pasākumu īstenošana Jelgavas pilsētā, 1.kārta'</t>
  </si>
  <si>
    <t>2400. Izdevumi periodikas iegādei</t>
  </si>
  <si>
    <t>6400. Pārējie klasifikācijā neminētie maksājumi iedzīvotājiem natūrā un kompensācijas</t>
  </si>
  <si>
    <t>08.101. PI 'Sporta servisa centrs' darbības nodrošināšana</t>
  </si>
  <si>
    <t>08.103. Dotācijas sporta pasākumiem</t>
  </si>
  <si>
    <t>08.105. Subsīdija nodibinājumam 'Sporta tālākizglītības atbalsta fonds'</t>
  </si>
  <si>
    <t>08.211. PI 'Jelgavas pilsētas bibliotēka' darbības nodrošināšana</t>
  </si>
  <si>
    <t>08.212. Projekts - 'Andragoģija: Tālmācības sistēma bibliotekāriem'</t>
  </si>
  <si>
    <t>08.213. Projekts - 'Inovatīvu bibliotēku darbības risinājumu izveide dažādām paaudzēm pierobežas reģionā'</t>
  </si>
  <si>
    <t>08.221. PI 'Ģ.Eliasa Jelgavas Vēstures un mākslas muzejs' darbības nodrošināšana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</si>
  <si>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</si>
  <si>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</si>
  <si>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</si>
  <si>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</si>
  <si>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</si>
  <si>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</si>
  <si>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</si>
  <si>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08.331. PI 'Zemgales INFO' darbības nodrošināšana</t>
  </si>
  <si>
    <t>08.401. Dotācijas projektu realizācijai NVO</t>
  </si>
  <si>
    <t>08.402. Kultūras padomes finansētie pasākumi</t>
  </si>
  <si>
    <t>08.403. Subsīdija nodibinājumam 'Kultūras tālākizglītības atbalsta fonds'</t>
  </si>
  <si>
    <t>08.405. Dotācijas reliģiskajām un citām biedrībām un nodibinājumiem- fin.nod.</t>
  </si>
  <si>
    <t>IZGLĪTĪBAS PĀRVALDES IESTĀDES KOPĀ</t>
  </si>
  <si>
    <t>09.108. Projekts - 'Jelgavas pilsētas pašvaldības PII Rotaļa rekonstrukcija - VI kārta'</t>
  </si>
  <si>
    <t>09.219.3. Jelgavas vispārizglītojošo skolu projektu īstenošana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</si>
  <si>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</si>
  <si>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</si>
  <si>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</si>
  <si>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</si>
  <si>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</si>
  <si>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</si>
  <si>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</si>
  <si>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09.219.5. Pašvaldības izglītības iestāžu investīciju projekts - 'Jelgavas Valsts ģimnāzijas pārbūve'</t>
  </si>
  <si>
    <t>09.513. Jelgavas sporta skolu darbības nodrošināšana - kopsavilkums</t>
  </si>
  <si>
    <t>09.513.1. Jelgavas Bērnu un jaunatnes sporta skola</t>
  </si>
  <si>
    <t>09.513.2. Jelgavas Specializētā peldēšanas skola</t>
  </si>
  <si>
    <t>09.513.3. Jelgavas Ledus sporta skola</t>
  </si>
  <si>
    <t>09.521. Subsīdija Izglītības atbalsta fondam</t>
  </si>
  <si>
    <t>09.522. Subsīdija J.Bisenieka atbalsta fondam</t>
  </si>
  <si>
    <t>09.531. PI 'Zemgales reģiona kompetenču attīstības centrs' darbības nodrošināšana</t>
  </si>
  <si>
    <t>09.532. PI 'Zemgales reģiona kompetenču attīstības centrs' projektu īstenošana</t>
  </si>
  <si>
    <t>09.533. Projekts - 'Proti un dari'</t>
  </si>
  <si>
    <t>10.121. Invalīdu rehabilitācijas pasākumi, invalīdu transporta izdevumi u.c. kompensācijas</t>
  </si>
  <si>
    <t>10.122. Dienas aprūpes centrs pilngadīgām personām ar smagiem funkcionāliem traucējumiem</t>
  </si>
  <si>
    <t>10.123. Dienas centrs 'Integra'</t>
  </si>
  <si>
    <t>10.124. Dienas centrs 'Atbalsts'</t>
  </si>
  <si>
    <t>10.125. Grupu dzīvokļi</t>
  </si>
  <si>
    <t>10.127. Projekts - 'Atver sirdi Zemgalē'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</si>
  <si>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</si>
  <si>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</si>
  <si>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</si>
  <si>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10.403. PI 'Jelgavas pilsētas bāriņtiesa' darbības nodrošināšana</t>
  </si>
  <si>
    <t>10.407. Projekts - 'Elastīga bērnu uzraudzības pakalpojuma nodrošināšana darbiniekiem, kas strādā nestandarta darba laiku'</t>
  </si>
  <si>
    <t>10.504. Atbalsts Bezdarba gadījumā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</si>
  <si>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</si>
  <si>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</si>
  <si>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</si>
  <si>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</si>
  <si>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10.706. PI 'Jelgavas bērnu sociālās aprūpes centrs' darbības nodrošināšana</t>
  </si>
  <si>
    <t>10.707. Higiēnas centrs</t>
  </si>
  <si>
    <t>10.709. PI 'Jelgavas bērnu sociālās aprūpes centrs' str. Krīzes centrs</t>
  </si>
  <si>
    <t>10.911. PI 'Jelgavas sociālo lietu pārvalde' darbības nodrošināšana</t>
  </si>
  <si>
    <t>10.921. Pabalsti ārkārtas gadījumos, citi pabalsti un maksājumi</t>
  </si>
  <si>
    <t>10.922. Braukšanas maksas atvieglojumi skolēniem sabiedriskajā transportā</t>
  </si>
  <si>
    <t>Aizdevumu pamatsummas atmaksa</t>
  </si>
  <si>
    <t>F40020000 Aizdevumu pamatsummu atmaksa</t>
  </si>
  <si>
    <t>F21010000. Naudas līdzekļu atlikums uz perioda beigām</t>
  </si>
  <si>
    <t>F50020000. Akcijas un cita līdzdalība komersantu pašu kapitālā</t>
  </si>
  <si>
    <t>SIA 'Medicīnas sabiedrība Optima -1' pamatkapitāla palielināšana</t>
  </si>
  <si>
    <t>SIA 'Jelgavas ūdens' pamatkapitāla palielināšana</t>
  </si>
  <si>
    <t>SIA 'Zemgales olimpiskais centrs' pamatkapitāla palielināšana</t>
  </si>
  <si>
    <t>SIA 'Jelgavas poliklīnika' pamatkapitāla palielināšana</t>
  </si>
  <si>
    <t>SIA 'Jelgavas pilsētas slimnīca' pamatkapitāla palielināšana</t>
  </si>
  <si>
    <t>Grozījumi     + vai -</t>
  </si>
  <si>
    <t>4. pielikums</t>
  </si>
  <si>
    <t>09.519.01. Projekts - 'Jelgava jauniešiem'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</si>
</sst>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"/>
    <numFmt numFmtId="165" formatCode="0.000%"/>
    <numFmt numFmtId="166" formatCode="_-* #,##0\ _L_s_-;\-* #,##0\ _L_s_-;_-* &quot;-&quot;??\ _L_s_-;_-@_-"/>
    <numFmt numFmtId="167" formatCode="#,##0.0"/>
    <numFmt numFmtId="168" formatCode="#,##0.00_ ;\-#,##0.00\ "/>
  </numFmts>
  <fonts count="6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sz val="14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name val="Times New Roman"/>
      <family val="1"/>
      <charset val="186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0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9" fontId="21" fillId="0" borderId="0" applyFont="0" applyFill="0" applyBorder="0" applyAlignment="0" applyProtection="0"/>
    <xf numFmtId="0" fontId="21" fillId="0" borderId="0"/>
    <xf numFmtId="0" fontId="44" fillId="0" borderId="0"/>
    <xf numFmtId="0" fontId="45" fillId="0" borderId="0" applyNumberFormat="0" applyFill="0" applyBorder="0" applyAlignment="0" applyProtection="0"/>
    <xf numFmtId="0" fontId="46" fillId="0" borderId="52" applyNumberFormat="0" applyFill="0" applyAlignment="0" applyProtection="0"/>
    <xf numFmtId="0" fontId="47" fillId="0" borderId="53" applyNumberFormat="0" applyFill="0" applyAlignment="0" applyProtection="0"/>
    <xf numFmtId="0" fontId="48" fillId="0" borderId="54" applyNumberFormat="0" applyFill="0" applyAlignment="0" applyProtection="0"/>
    <xf numFmtId="0" fontId="48" fillId="0" borderId="0" applyNumberFormat="0" applyFill="0" applyBorder="0" applyAlignment="0" applyProtection="0"/>
    <xf numFmtId="0" fontId="49" fillId="11" borderId="0" applyNumberFormat="0" applyBorder="0" applyAlignment="0" applyProtection="0"/>
    <xf numFmtId="0" fontId="50" fillId="12" borderId="0" applyNumberFormat="0" applyBorder="0" applyAlignment="0" applyProtection="0"/>
    <xf numFmtId="0" fontId="51" fillId="13" borderId="0" applyNumberFormat="0" applyBorder="0" applyAlignment="0" applyProtection="0"/>
    <xf numFmtId="0" fontId="52" fillId="14" borderId="55" applyNumberFormat="0" applyAlignment="0" applyProtection="0"/>
    <xf numFmtId="0" fontId="53" fillId="15" borderId="56" applyNumberFormat="0" applyAlignment="0" applyProtection="0"/>
    <xf numFmtId="0" fontId="54" fillId="15" borderId="55" applyNumberFormat="0" applyAlignment="0" applyProtection="0"/>
    <xf numFmtId="0" fontId="55" fillId="0" borderId="57" applyNumberFormat="0" applyFill="0" applyAlignment="0" applyProtection="0"/>
    <xf numFmtId="0" fontId="56" fillId="16" borderId="58" applyNumberFormat="0" applyAlignment="0" applyProtection="0"/>
    <xf numFmtId="0" fontId="57" fillId="0" borderId="0" applyNumberFormat="0" applyFill="0" applyBorder="0" applyAlignment="0" applyProtection="0"/>
    <xf numFmtId="0" fontId="20" fillId="17" borderId="59" applyNumberFormat="0" applyFont="0" applyAlignment="0" applyProtection="0"/>
    <xf numFmtId="0" fontId="58" fillId="0" borderId="0" applyNumberFormat="0" applyFill="0" applyBorder="0" applyAlignment="0" applyProtection="0"/>
    <xf numFmtId="0" fontId="43" fillId="0" borderId="60" applyNumberFormat="0" applyFill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59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59" fillId="37" borderId="0" applyNumberFormat="0" applyBorder="0" applyAlignment="0" applyProtection="0"/>
    <xf numFmtId="0" fontId="59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59" fillId="41" borderId="0" applyNumberFormat="0" applyBorder="0" applyAlignment="0" applyProtection="0"/>
  </cellStyleXfs>
  <cellXfs count="48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3" fontId="3" fillId="3" borderId="1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Fill="1" applyAlignment="1"/>
    <xf numFmtId="0" fontId="5" fillId="0" borderId="0" xfId="0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/>
    <xf numFmtId="3" fontId="1" fillId="4" borderId="1" xfId="0" applyNumberFormat="1" applyFont="1" applyFill="1" applyBorder="1"/>
    <xf numFmtId="0" fontId="23" fillId="0" borderId="0" xfId="0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1" xfId="7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1" fillId="0" borderId="0" xfId="6"/>
    <xf numFmtId="0" fontId="15" fillId="0" borderId="0" xfId="6" applyFont="1" applyFill="1"/>
    <xf numFmtId="0" fontId="15" fillId="0" borderId="0" xfId="6" applyFont="1" applyAlignment="1">
      <alignment vertical="center"/>
    </xf>
    <xf numFmtId="0" fontId="15" fillId="0" borderId="0" xfId="6" applyFont="1"/>
    <xf numFmtId="0" fontId="15" fillId="0" borderId="0" xfId="6" applyFont="1" applyFill="1" applyAlignment="1">
      <alignment horizontal="right"/>
    </xf>
    <xf numFmtId="0" fontId="15" fillId="0" borderId="0" xfId="8" applyFont="1" applyAlignment="1">
      <alignment horizontal="right"/>
    </xf>
    <xf numFmtId="0" fontId="16" fillId="0" borderId="0" xfId="6" applyFont="1" applyFill="1" applyBorder="1" applyAlignment="1">
      <alignment horizontal="right"/>
    </xf>
    <xf numFmtId="0" fontId="16" fillId="0" borderId="0" xfId="8" applyFont="1" applyFill="1" applyBorder="1" applyAlignment="1">
      <alignment horizontal="right"/>
    </xf>
    <xf numFmtId="0" fontId="26" fillId="0" borderId="0" xfId="6" applyFont="1"/>
    <xf numFmtId="0" fontId="27" fillId="2" borderId="5" xfId="6" applyFont="1" applyFill="1" applyBorder="1" applyAlignment="1">
      <alignment horizontal="center" vertical="center"/>
    </xf>
    <xf numFmtId="0" fontId="27" fillId="6" borderId="5" xfId="6" applyFont="1" applyFill="1" applyBorder="1" applyAlignment="1">
      <alignment vertical="center"/>
    </xf>
    <xf numFmtId="0" fontId="27" fillId="6" borderId="6" xfId="6" applyFont="1" applyFill="1" applyBorder="1" applyAlignment="1">
      <alignment vertical="center"/>
    </xf>
    <xf numFmtId="0" fontId="27" fillId="6" borderId="7" xfId="6" applyFont="1" applyFill="1" applyBorder="1" applyAlignment="1">
      <alignment horizontal="center" vertical="center"/>
    </xf>
    <xf numFmtId="0" fontId="21" fillId="0" borderId="0" xfId="6" applyAlignment="1">
      <alignment vertical="center"/>
    </xf>
    <xf numFmtId="0" fontId="27" fillId="2" borderId="10" xfId="6" applyFont="1" applyFill="1" applyBorder="1" applyAlignment="1">
      <alignment horizontal="center" vertical="center"/>
    </xf>
    <xf numFmtId="0" fontId="27" fillId="2" borderId="11" xfId="6" applyFont="1" applyFill="1" applyBorder="1" applyAlignment="1">
      <alignment horizontal="center" vertical="center"/>
    </xf>
    <xf numFmtId="0" fontId="27" fillId="6" borderId="12" xfId="6" applyFont="1" applyFill="1" applyBorder="1" applyAlignment="1">
      <alignment horizontal="center" vertical="center"/>
    </xf>
    <xf numFmtId="0" fontId="26" fillId="0" borderId="14" xfId="9" applyFont="1" applyFill="1" applyBorder="1" applyAlignment="1">
      <alignment horizontal="center" wrapText="1"/>
    </xf>
    <xf numFmtId="0" fontId="26" fillId="0" borderId="14" xfId="9" applyFont="1" applyFill="1" applyBorder="1" applyAlignment="1">
      <alignment horizontal="center"/>
    </xf>
    <xf numFmtId="4" fontId="26" fillId="0" borderId="14" xfId="9" applyNumberFormat="1" applyFont="1" applyFill="1" applyBorder="1"/>
    <xf numFmtId="4" fontId="26" fillId="7" borderId="15" xfId="9" applyNumberFormat="1" applyFont="1" applyFill="1" applyBorder="1"/>
    <xf numFmtId="0" fontId="21" fillId="0" borderId="0" xfId="9" applyFill="1"/>
    <xf numFmtId="0" fontId="26" fillId="0" borderId="17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/>
    </xf>
    <xf numFmtId="165" fontId="26" fillId="0" borderId="17" xfId="9" applyNumberFormat="1" applyFont="1" applyFill="1" applyBorder="1" applyAlignment="1">
      <alignment horizontal="center"/>
    </xf>
    <xf numFmtId="4" fontId="26" fillId="0" borderId="17" xfId="9" applyNumberFormat="1" applyFont="1" applyFill="1" applyBorder="1"/>
    <xf numFmtId="3" fontId="26" fillId="0" borderId="17" xfId="9" applyNumberFormat="1" applyFont="1" applyFill="1" applyBorder="1"/>
    <xf numFmtId="4" fontId="26" fillId="7" borderId="18" xfId="9" applyNumberFormat="1" applyFont="1" applyFill="1" applyBorder="1"/>
    <xf numFmtId="0" fontId="26" fillId="0" borderId="14" xfId="9" applyFont="1" applyFill="1" applyBorder="1"/>
    <xf numFmtId="0" fontId="26" fillId="0" borderId="17" xfId="9" applyFont="1" applyFill="1" applyBorder="1"/>
    <xf numFmtId="14" fontId="26" fillId="0" borderId="14" xfId="9" applyNumberFormat="1" applyFont="1" applyFill="1" applyBorder="1" applyAlignment="1">
      <alignment horizontal="center"/>
    </xf>
    <xf numFmtId="14" fontId="26" fillId="0" borderId="17" xfId="9" applyNumberFormat="1" applyFont="1" applyFill="1" applyBorder="1" applyAlignment="1">
      <alignment horizontal="center"/>
    </xf>
    <xf numFmtId="3" fontId="26" fillId="0" borderId="14" xfId="9" applyNumberFormat="1" applyFont="1" applyFill="1" applyBorder="1"/>
    <xf numFmtId="0" fontId="28" fillId="0" borderId="14" xfId="9" applyFont="1" applyFill="1" applyBorder="1"/>
    <xf numFmtId="0" fontId="28" fillId="0" borderId="17" xfId="9" applyFont="1" applyFill="1" applyBorder="1"/>
    <xf numFmtId="14" fontId="26" fillId="0" borderId="19" xfId="9" applyNumberFormat="1" applyFont="1" applyFill="1" applyBorder="1" applyAlignment="1">
      <alignment horizontal="center"/>
    </xf>
    <xf numFmtId="0" fontId="26" fillId="0" borderId="19" xfId="9" applyFont="1" applyFill="1" applyBorder="1" applyAlignment="1">
      <alignment horizontal="center" wrapText="1"/>
    </xf>
    <xf numFmtId="4" fontId="26" fillId="0" borderId="19" xfId="9" applyNumberFormat="1" applyFont="1" applyFill="1" applyBorder="1"/>
    <xf numFmtId="4" fontId="28" fillId="0" borderId="19" xfId="9" applyNumberFormat="1" applyFont="1" applyFill="1" applyBorder="1"/>
    <xf numFmtId="0" fontId="26" fillId="0" borderId="20" xfId="9" applyFont="1" applyFill="1" applyBorder="1" applyAlignment="1">
      <alignment horizontal="center"/>
    </xf>
    <xf numFmtId="165" fontId="26" fillId="0" borderId="20" xfId="9" applyNumberFormat="1" applyFont="1" applyFill="1" applyBorder="1" applyAlignment="1">
      <alignment horizontal="center"/>
    </xf>
    <xf numFmtId="3" fontId="26" fillId="0" borderId="20" xfId="9" applyNumberFormat="1" applyFont="1" applyFill="1" applyBorder="1"/>
    <xf numFmtId="4" fontId="28" fillId="0" borderId="20" xfId="9" applyNumberFormat="1" applyFont="1" applyFill="1" applyBorder="1"/>
    <xf numFmtId="4" fontId="26" fillId="0" borderId="20" xfId="9" applyNumberFormat="1" applyFont="1" applyFill="1" applyBorder="1"/>
    <xf numFmtId="4" fontId="28" fillId="0" borderId="14" xfId="9" applyNumberFormat="1" applyFont="1" applyFill="1" applyBorder="1"/>
    <xf numFmtId="4" fontId="28" fillId="0" borderId="17" xfId="9" applyNumberFormat="1" applyFont="1" applyFill="1" applyBorder="1"/>
    <xf numFmtId="0" fontId="26" fillId="0" borderId="19" xfId="9" applyFont="1" applyFill="1" applyBorder="1" applyAlignment="1">
      <alignment horizontal="center"/>
    </xf>
    <xf numFmtId="4" fontId="26" fillId="7" borderId="21" xfId="9" applyNumberFormat="1" applyFont="1" applyFill="1" applyBorder="1"/>
    <xf numFmtId="0" fontId="26" fillId="0" borderId="20" xfId="9" applyFont="1" applyFill="1" applyBorder="1" applyAlignment="1">
      <alignment horizontal="center" wrapText="1"/>
    </xf>
    <xf numFmtId="4" fontId="26" fillId="7" borderId="22" xfId="9" applyNumberFormat="1" applyFont="1" applyFill="1" applyBorder="1"/>
    <xf numFmtId="3" fontId="28" fillId="0" borderId="17" xfId="9" applyNumberFormat="1" applyFont="1" applyFill="1" applyBorder="1"/>
    <xf numFmtId="3" fontId="28" fillId="0" borderId="20" xfId="9" applyNumberFormat="1" applyFont="1" applyFill="1" applyBorder="1"/>
    <xf numFmtId="0" fontId="21" fillId="0" borderId="0" xfId="9" applyFont="1" applyFill="1"/>
    <xf numFmtId="0" fontId="26" fillId="4" borderId="14" xfId="9" applyFont="1" applyFill="1" applyBorder="1" applyAlignment="1">
      <alignment horizontal="center"/>
    </xf>
    <xf numFmtId="0" fontId="26" fillId="4" borderId="17" xfId="9" applyFont="1" applyFill="1" applyBorder="1" applyAlignment="1">
      <alignment horizontal="center"/>
    </xf>
    <xf numFmtId="14" fontId="26" fillId="0" borderId="20" xfId="9" applyNumberFormat="1" applyFont="1" applyFill="1" applyBorder="1" applyAlignment="1">
      <alignment horizontal="center"/>
    </xf>
    <xf numFmtId="4" fontId="29" fillId="0" borderId="19" xfId="9" applyNumberFormat="1" applyFont="1" applyFill="1" applyBorder="1"/>
    <xf numFmtId="4" fontId="29" fillId="0" borderId="20" xfId="9" applyNumberFormat="1" applyFont="1" applyFill="1" applyBorder="1"/>
    <xf numFmtId="10" fontId="26" fillId="0" borderId="14" xfId="9" applyNumberFormat="1" applyFont="1" applyFill="1" applyBorder="1" applyAlignment="1">
      <alignment horizontal="center"/>
    </xf>
    <xf numFmtId="10" fontId="26" fillId="0" borderId="19" xfId="9" applyNumberFormat="1" applyFont="1" applyFill="1" applyBorder="1" applyAlignment="1">
      <alignment horizontal="center"/>
    </xf>
    <xf numFmtId="4" fontId="29" fillId="0" borderId="14" xfId="9" applyNumberFormat="1" applyFont="1" applyFill="1" applyBorder="1"/>
    <xf numFmtId="3" fontId="29" fillId="0" borderId="17" xfId="9" applyNumberFormat="1" applyFont="1" applyFill="1" applyBorder="1"/>
    <xf numFmtId="4" fontId="29" fillId="0" borderId="17" xfId="9" applyNumberFormat="1" applyFont="1" applyFill="1" applyBorder="1"/>
    <xf numFmtId="4" fontId="30" fillId="0" borderId="14" xfId="9" applyNumberFormat="1" applyFont="1" applyFill="1" applyBorder="1"/>
    <xf numFmtId="3" fontId="30" fillId="0" borderId="17" xfId="9" applyNumberFormat="1" applyFont="1" applyFill="1" applyBorder="1"/>
    <xf numFmtId="0" fontId="26" fillId="0" borderId="14" xfId="6" applyFont="1" applyFill="1" applyBorder="1" applyAlignment="1">
      <alignment horizontal="center" wrapText="1"/>
    </xf>
    <xf numFmtId="0" fontId="21" fillId="0" borderId="0" xfId="6" applyFill="1"/>
    <xf numFmtId="0" fontId="26" fillId="0" borderId="17" xfId="6" applyFont="1" applyFill="1" applyBorder="1" applyAlignment="1">
      <alignment horizontal="center" wrapText="1"/>
    </xf>
    <xf numFmtId="4" fontId="26" fillId="0" borderId="14" xfId="11" applyNumberFormat="1" applyFont="1" applyFill="1" applyBorder="1"/>
    <xf numFmtId="1" fontId="26" fillId="0" borderId="17" xfId="11" applyNumberFormat="1" applyFont="1" applyFill="1" applyBorder="1"/>
    <xf numFmtId="4" fontId="26" fillId="0" borderId="19" xfId="11" applyNumberFormat="1" applyFont="1" applyFill="1" applyBorder="1"/>
    <xf numFmtId="1" fontId="26" fillId="0" borderId="20" xfId="11" applyNumberFormat="1" applyFont="1" applyFill="1" applyBorder="1"/>
    <xf numFmtId="4" fontId="26" fillId="0" borderId="14" xfId="9" applyNumberFormat="1" applyFont="1" applyFill="1" applyBorder="1" applyAlignment="1">
      <alignment horizontal="right"/>
    </xf>
    <xf numFmtId="3" fontId="26" fillId="0" borderId="14" xfId="9" applyNumberFormat="1" applyFont="1" applyFill="1" applyBorder="1" applyAlignment="1">
      <alignment horizontal="right"/>
    </xf>
    <xf numFmtId="3" fontId="26" fillId="0" borderId="17" xfId="9" applyNumberFormat="1" applyFont="1" applyFill="1" applyBorder="1" applyAlignment="1">
      <alignment horizontal="right"/>
    </xf>
    <xf numFmtId="3" fontId="26" fillId="0" borderId="19" xfId="11" applyNumberFormat="1" applyFont="1" applyFill="1" applyBorder="1"/>
    <xf numFmtId="3" fontId="26" fillId="0" borderId="19" xfId="9" applyNumberFormat="1" applyFont="1" applyFill="1" applyBorder="1"/>
    <xf numFmtId="10" fontId="26" fillId="0" borderId="14" xfId="11" applyNumberFormat="1" applyFont="1" applyFill="1" applyBorder="1" applyAlignment="1">
      <alignment horizontal="center"/>
    </xf>
    <xf numFmtId="165" fontId="26" fillId="0" borderId="17" xfId="11" applyNumberFormat="1" applyFont="1" applyFill="1" applyBorder="1" applyAlignment="1">
      <alignment horizontal="center"/>
    </xf>
    <xf numFmtId="3" fontId="26" fillId="0" borderId="17" xfId="11" applyNumberFormat="1" applyFont="1" applyFill="1" applyBorder="1"/>
    <xf numFmtId="10" fontId="26" fillId="0" borderId="19" xfId="11" applyNumberFormat="1" applyFont="1" applyFill="1" applyBorder="1" applyAlignment="1">
      <alignment horizontal="center"/>
    </xf>
    <xf numFmtId="165" fontId="26" fillId="0" borderId="20" xfId="11" applyNumberFormat="1" applyFont="1" applyFill="1" applyBorder="1" applyAlignment="1">
      <alignment horizontal="center"/>
    </xf>
    <xf numFmtId="3" fontId="26" fillId="0" borderId="20" xfId="11" applyNumberFormat="1" applyFont="1" applyFill="1" applyBorder="1"/>
    <xf numFmtId="10" fontId="26" fillId="4" borderId="19" xfId="11" applyNumberFormat="1" applyFont="1" applyFill="1" applyBorder="1" applyAlignment="1">
      <alignment horizontal="center"/>
    </xf>
    <xf numFmtId="4" fontId="26" fillId="0" borderId="19" xfId="10" applyNumberFormat="1" applyFont="1" applyFill="1" applyBorder="1" applyAlignment="1">
      <alignment horizontal="right" vertical="center"/>
    </xf>
    <xf numFmtId="3" fontId="28" fillId="0" borderId="19" xfId="10" applyNumberFormat="1" applyFont="1" applyFill="1" applyBorder="1" applyAlignment="1">
      <alignment horizontal="right" vertical="center"/>
    </xf>
    <xf numFmtId="3" fontId="26" fillId="0" borderId="19" xfId="10" applyNumberFormat="1" applyFont="1" applyFill="1" applyBorder="1" applyAlignment="1">
      <alignment horizontal="right" vertical="center"/>
    </xf>
    <xf numFmtId="3" fontId="26" fillId="0" borderId="20" xfId="10" applyNumberFormat="1" applyFont="1" applyFill="1" applyBorder="1" applyAlignment="1">
      <alignment horizontal="right" vertical="center"/>
    </xf>
    <xf numFmtId="4" fontId="26" fillId="0" borderId="14" xfId="10" applyNumberFormat="1" applyFont="1" applyFill="1" applyBorder="1" applyAlignment="1">
      <alignment horizontal="right" vertical="center"/>
    </xf>
    <xf numFmtId="3" fontId="26" fillId="0" borderId="17" xfId="10" applyNumberFormat="1" applyFont="1" applyFill="1" applyBorder="1" applyAlignment="1">
      <alignment horizontal="right" vertical="center"/>
    </xf>
    <xf numFmtId="3" fontId="31" fillId="0" borderId="14" xfId="6" applyNumberFormat="1" applyFont="1" applyFill="1" applyBorder="1"/>
    <xf numFmtId="3" fontId="31" fillId="0" borderId="17" xfId="6" applyNumberFormat="1" applyFont="1" applyFill="1" applyBorder="1"/>
    <xf numFmtId="0" fontId="21" fillId="0" borderId="0" xfId="6" applyFill="1" applyBorder="1"/>
    <xf numFmtId="0" fontId="26" fillId="8" borderId="25" xfId="6" applyFont="1" applyFill="1" applyBorder="1" applyAlignment="1"/>
    <xf numFmtId="166" fontId="33" fillId="8" borderId="14" xfId="6" applyNumberFormat="1" applyFont="1" applyFill="1" applyBorder="1" applyAlignment="1">
      <alignment horizontal="center"/>
    </xf>
    <xf numFmtId="4" fontId="33" fillId="8" borderId="14" xfId="6" applyNumberFormat="1" applyFont="1" applyFill="1" applyBorder="1" applyAlignment="1">
      <alignment horizontal="center"/>
    </xf>
    <xf numFmtId="4" fontId="33" fillId="8" borderId="15" xfId="6" applyNumberFormat="1" applyFont="1" applyFill="1" applyBorder="1" applyAlignment="1">
      <alignment horizontal="center"/>
    </xf>
    <xf numFmtId="0" fontId="26" fillId="8" borderId="26" xfId="6" applyFont="1" applyFill="1" applyBorder="1" applyAlignment="1">
      <alignment horizontal="center"/>
    </xf>
    <xf numFmtId="0" fontId="32" fillId="8" borderId="28" xfId="6" applyFont="1" applyFill="1" applyBorder="1" applyAlignment="1">
      <alignment horizontal="right"/>
    </xf>
    <xf numFmtId="4" fontId="33" fillId="8" borderId="28" xfId="6" applyNumberFormat="1" applyFont="1" applyFill="1" applyBorder="1" applyAlignment="1">
      <alignment horizontal="center"/>
    </xf>
    <xf numFmtId="4" fontId="33" fillId="8" borderId="29" xfId="6" applyNumberFormat="1" applyFont="1" applyFill="1" applyBorder="1" applyAlignment="1">
      <alignment horizontal="center"/>
    </xf>
    <xf numFmtId="0" fontId="33" fillId="8" borderId="30" xfId="6" applyFont="1" applyFill="1" applyBorder="1" applyAlignment="1">
      <alignment horizontal="center"/>
    </xf>
    <xf numFmtId="0" fontId="33" fillId="8" borderId="31" xfId="6" applyFont="1" applyFill="1" applyBorder="1" applyAlignment="1">
      <alignment horizontal="center"/>
    </xf>
    <xf numFmtId="0" fontId="15" fillId="9" borderId="33" xfId="6" applyFont="1" applyFill="1" applyBorder="1" applyAlignment="1"/>
    <xf numFmtId="0" fontId="32" fillId="9" borderId="35" xfId="6" applyFont="1" applyFill="1" applyBorder="1" applyAlignment="1">
      <alignment horizontal="left"/>
    </xf>
    <xf numFmtId="0" fontId="32" fillId="9" borderId="35" xfId="6" applyFont="1" applyFill="1" applyBorder="1" applyAlignment="1"/>
    <xf numFmtId="3" fontId="32" fillId="9" borderId="36" xfId="9" applyNumberFormat="1" applyFont="1" applyFill="1" applyBorder="1" applyAlignment="1"/>
    <xf numFmtId="0" fontId="32" fillId="8" borderId="37" xfId="6" applyFont="1" applyFill="1" applyBorder="1" applyAlignment="1">
      <alignment horizontal="center"/>
    </xf>
    <xf numFmtId="4" fontId="35" fillId="0" borderId="0" xfId="6" applyNumberFormat="1" applyFont="1"/>
    <xf numFmtId="0" fontId="36" fillId="0" borderId="0" xfId="6" applyFont="1"/>
    <xf numFmtId="43" fontId="35" fillId="0" borderId="0" xfId="6" applyNumberFormat="1" applyFont="1"/>
    <xf numFmtId="0" fontId="38" fillId="0" borderId="0" xfId="6" applyFont="1" applyAlignment="1">
      <alignment horizontal="right"/>
    </xf>
    <xf numFmtId="4" fontId="26" fillId="0" borderId="0" xfId="6" applyNumberFormat="1" applyFont="1"/>
    <xf numFmtId="4" fontId="26" fillId="0" borderId="0" xfId="6" applyNumberFormat="1" applyFont="1" applyBorder="1"/>
    <xf numFmtId="0" fontId="26" fillId="0" borderId="0" xfId="6" applyFont="1" applyBorder="1"/>
    <xf numFmtId="3" fontId="26" fillId="0" borderId="0" xfId="6" applyNumberFormat="1" applyFont="1"/>
    <xf numFmtId="0" fontId="26" fillId="0" borderId="0" xfId="6" applyFont="1" applyAlignment="1">
      <alignment horizontal="center"/>
    </xf>
    <xf numFmtId="167" fontId="21" fillId="0" borderId="0" xfId="6" applyNumberFormat="1" applyFont="1" applyFill="1"/>
    <xf numFmtId="4" fontId="21" fillId="0" borderId="0" xfId="6" applyNumberFormat="1"/>
    <xf numFmtId="4" fontId="16" fillId="0" borderId="0" xfId="6" applyNumberFormat="1" applyFont="1" applyBorder="1"/>
    <xf numFmtId="0" fontId="38" fillId="0" borderId="0" xfId="6" applyFont="1" applyBorder="1"/>
    <xf numFmtId="3" fontId="38" fillId="0" borderId="0" xfId="6" applyNumberFormat="1" applyFont="1"/>
    <xf numFmtId="0" fontId="38" fillId="0" borderId="0" xfId="6" applyFont="1" applyAlignment="1">
      <alignment horizontal="center"/>
    </xf>
    <xf numFmtId="0" fontId="21" fillId="0" borderId="0" xfId="6" applyAlignment="1"/>
    <xf numFmtId="0" fontId="37" fillId="0" borderId="0" xfId="6" applyFont="1"/>
    <xf numFmtId="166" fontId="37" fillId="0" borderId="0" xfId="6" applyNumberFormat="1" applyFont="1"/>
    <xf numFmtId="0" fontId="26" fillId="0" borderId="14" xfId="6" applyFont="1" applyFill="1" applyBorder="1" applyAlignment="1">
      <alignment horizontal="center" vertical="center" wrapText="1"/>
    </xf>
    <xf numFmtId="4" fontId="31" fillId="0" borderId="14" xfId="9" applyNumberFormat="1" applyFont="1" applyFill="1" applyBorder="1"/>
    <xf numFmtId="0" fontId="26" fillId="0" borderId="17" xfId="6" applyFont="1" applyFill="1" applyBorder="1" applyAlignment="1">
      <alignment horizontal="center" vertical="center" wrapText="1"/>
    </xf>
    <xf numFmtId="4" fontId="31" fillId="0" borderId="17" xfId="9" applyNumberFormat="1" applyFont="1" applyFill="1" applyBorder="1"/>
    <xf numFmtId="10" fontId="26" fillId="0" borderId="14" xfId="6" applyNumberFormat="1" applyFont="1" applyFill="1" applyBorder="1" applyAlignment="1">
      <alignment horizontal="center"/>
    </xf>
    <xf numFmtId="4" fontId="26" fillId="0" borderId="15" xfId="9" applyNumberFormat="1" applyFont="1" applyFill="1" applyBorder="1"/>
    <xf numFmtId="165" fontId="26" fillId="0" borderId="17" xfId="6" applyNumberFormat="1" applyFont="1" applyFill="1" applyBorder="1" applyAlignment="1">
      <alignment horizontal="center"/>
    </xf>
    <xf numFmtId="4" fontId="26" fillId="0" borderId="18" xfId="9" applyNumberFormat="1" applyFont="1" applyFill="1" applyBorder="1"/>
    <xf numFmtId="0" fontId="26" fillId="8" borderId="13" xfId="6" applyFont="1" applyFill="1" applyBorder="1" applyAlignment="1"/>
    <xf numFmtId="0" fontId="26" fillId="8" borderId="27" xfId="6" applyFont="1" applyFill="1" applyBorder="1" applyAlignment="1">
      <alignment horizontal="center"/>
    </xf>
    <xf numFmtId="0" fontId="32" fillId="8" borderId="28" xfId="6" applyFont="1" applyFill="1" applyBorder="1" applyAlignment="1">
      <alignment horizontal="center"/>
    </xf>
    <xf numFmtId="0" fontId="33" fillId="8" borderId="43" xfId="6" applyFont="1" applyFill="1" applyBorder="1" applyAlignment="1">
      <alignment horizontal="center"/>
    </xf>
    <xf numFmtId="0" fontId="33" fillId="8" borderId="44" xfId="6" applyFont="1" applyFill="1" applyBorder="1" applyAlignment="1">
      <alignment horizontal="center"/>
    </xf>
    <xf numFmtId="3" fontId="33" fillId="8" borderId="44" xfId="6" applyNumberFormat="1" applyFont="1" applyFill="1" applyBorder="1" applyAlignment="1">
      <alignment horizontal="center"/>
    </xf>
    <xf numFmtId="3" fontId="33" fillId="8" borderId="45" xfId="6" applyNumberFormat="1" applyFont="1" applyFill="1" applyBorder="1" applyAlignment="1">
      <alignment horizontal="center"/>
    </xf>
    <xf numFmtId="0" fontId="39" fillId="0" borderId="0" xfId="6" applyFont="1" applyAlignment="1">
      <alignment vertical="center"/>
    </xf>
    <xf numFmtId="0" fontId="35" fillId="0" borderId="0" xfId="13" applyFont="1" applyProtection="1">
      <protection locked="0"/>
    </xf>
    <xf numFmtId="0" fontId="24" fillId="0" borderId="0" xfId="8"/>
    <xf numFmtId="0" fontId="40" fillId="0" borderId="0" xfId="13" applyFont="1" applyProtection="1">
      <protection locked="0"/>
    </xf>
    <xf numFmtId="0" fontId="38" fillId="0" borderId="0" xfId="8" applyFont="1" applyBorder="1"/>
    <xf numFmtId="3" fontId="38" fillId="0" borderId="0" xfId="8" applyNumberFormat="1" applyFont="1"/>
    <xf numFmtId="0" fontId="38" fillId="0" borderId="0" xfId="8" applyFont="1" applyAlignment="1">
      <alignment horizontal="center"/>
    </xf>
    <xf numFmtId="0" fontId="38" fillId="0" borderId="0" xfId="8" applyFont="1" applyAlignment="1">
      <alignment horizontal="right"/>
    </xf>
    <xf numFmtId="0" fontId="16" fillId="0" borderId="0" xfId="6" applyFont="1"/>
    <xf numFmtId="0" fontId="18" fillId="0" borderId="0" xfId="6" applyFont="1"/>
    <xf numFmtId="0" fontId="40" fillId="0" borderId="0" xfId="13" applyFont="1" applyBorder="1" applyProtection="1">
      <protection locked="0"/>
    </xf>
    <xf numFmtId="3" fontId="16" fillId="0" borderId="0" xfId="6" applyNumberFormat="1" applyFont="1"/>
    <xf numFmtId="14" fontId="15" fillId="0" borderId="0" xfId="13" applyNumberFormat="1" applyFont="1" applyProtection="1"/>
    <xf numFmtId="0" fontId="40" fillId="0" borderId="0" xfId="1" applyFont="1"/>
    <xf numFmtId="0" fontId="40" fillId="0" borderId="0" xfId="1" applyFont="1" applyAlignment="1">
      <alignment vertical="center"/>
    </xf>
    <xf numFmtId="0" fontId="40" fillId="0" borderId="0" xfId="6" applyFont="1" applyFill="1" applyAlignment="1">
      <alignment horizontal="right" vertical="center"/>
    </xf>
    <xf numFmtId="0" fontId="40" fillId="0" borderId="0" xfId="1" applyFont="1" applyFill="1" applyBorder="1" applyAlignment="1">
      <alignment horizontal="right" vertical="center"/>
    </xf>
    <xf numFmtId="0" fontId="5" fillId="0" borderId="0" xfId="1" applyFont="1"/>
    <xf numFmtId="0" fontId="16" fillId="0" borderId="0" xfId="1" applyFont="1"/>
    <xf numFmtId="3" fontId="25" fillId="10" borderId="0" xfId="1" applyNumberFormat="1" applyFont="1" applyFill="1" applyAlignment="1">
      <alignment horizontal="right" vertical="top" wrapText="1"/>
    </xf>
    <xf numFmtId="3" fontId="40" fillId="10" borderId="0" xfId="1" applyNumberFormat="1" applyFont="1" applyFill="1" applyAlignment="1">
      <alignment horizontal="right" vertical="top" wrapText="1"/>
    </xf>
    <xf numFmtId="4" fontId="33" fillId="8" borderId="31" xfId="6" applyNumberFormat="1" applyFont="1" applyFill="1" applyBorder="1" applyAlignment="1">
      <alignment horizontal="center"/>
    </xf>
    <xf numFmtId="4" fontId="33" fillId="8" borderId="32" xfId="6" applyNumberFormat="1" applyFont="1" applyFill="1" applyBorder="1" applyAlignment="1">
      <alignment horizontal="center" vertical="center"/>
    </xf>
    <xf numFmtId="4" fontId="33" fillId="8" borderId="14" xfId="6" applyNumberFormat="1" applyFont="1" applyFill="1" applyBorder="1" applyAlignment="1">
      <alignment horizontal="center" vertical="center"/>
    </xf>
    <xf numFmtId="4" fontId="33" fillId="8" borderId="47" xfId="6" applyNumberFormat="1" applyFont="1" applyFill="1" applyBorder="1" applyAlignment="1">
      <alignment horizontal="center" vertical="center"/>
    </xf>
    <xf numFmtId="4" fontId="33" fillId="8" borderId="28" xfId="6" applyNumberFormat="1" applyFont="1" applyFill="1" applyBorder="1" applyAlignment="1">
      <alignment horizontal="center" vertical="center"/>
    </xf>
    <xf numFmtId="4" fontId="33" fillId="8" borderId="29" xfId="6" applyNumberFormat="1" applyFont="1" applyFill="1" applyBorder="1" applyAlignment="1">
      <alignment horizontal="center" vertical="center"/>
    </xf>
    <xf numFmtId="4" fontId="33" fillId="8" borderId="48" xfId="6" applyNumberFormat="1" applyFont="1" applyFill="1" applyBorder="1" applyAlignment="1">
      <alignment horizontal="center" vertical="center"/>
    </xf>
    <xf numFmtId="10" fontId="34" fillId="8" borderId="37" xfId="12" applyNumberFormat="1" applyFont="1" applyFill="1" applyBorder="1" applyAlignment="1">
      <alignment horizontal="center"/>
    </xf>
    <xf numFmtId="10" fontId="34" fillId="8" borderId="34" xfId="12" applyNumberFormat="1" applyFont="1" applyFill="1" applyBorder="1" applyAlignment="1">
      <alignment horizontal="center"/>
    </xf>
    <xf numFmtId="10" fontId="34" fillId="8" borderId="38" xfId="12" applyNumberFormat="1" applyFont="1" applyFill="1" applyBorder="1" applyAlignment="1">
      <alignment horizontal="center"/>
    </xf>
    <xf numFmtId="10" fontId="34" fillId="8" borderId="49" xfId="12" applyNumberFormat="1" applyFont="1" applyFill="1" applyBorder="1" applyAlignment="1">
      <alignment horizontal="center"/>
    </xf>
    <xf numFmtId="4" fontId="26" fillId="0" borderId="0" xfId="6" applyNumberFormat="1" applyFont="1" applyFill="1" applyAlignment="1">
      <alignment vertical="center"/>
    </xf>
    <xf numFmtId="0" fontId="26" fillId="0" borderId="0" xfId="6" applyFont="1" applyFill="1" applyAlignment="1">
      <alignment vertical="center" wrapText="1"/>
    </xf>
    <xf numFmtId="0" fontId="26" fillId="0" borderId="0" xfId="6" applyFont="1" applyFill="1"/>
    <xf numFmtId="0" fontId="26" fillId="0" borderId="0" xfId="6" applyFont="1" applyFill="1" applyAlignment="1">
      <alignment vertical="center"/>
    </xf>
    <xf numFmtId="0" fontId="26" fillId="0" borderId="0" xfId="6" applyFont="1" applyAlignment="1">
      <alignment horizontal="right"/>
    </xf>
    <xf numFmtId="0" fontId="26" fillId="0" borderId="0" xfId="6" applyFont="1" applyAlignment="1">
      <alignment vertical="center"/>
    </xf>
    <xf numFmtId="3" fontId="26" fillId="0" borderId="0" xfId="6" applyNumberFormat="1" applyFont="1" applyAlignment="1">
      <alignment vertical="center"/>
    </xf>
    <xf numFmtId="0" fontId="26" fillId="0" borderId="0" xfId="6" applyFont="1" applyAlignment="1">
      <alignment horizontal="right" vertical="center"/>
    </xf>
    <xf numFmtId="0" fontId="26" fillId="0" borderId="14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 wrapText="1"/>
    </xf>
    <xf numFmtId="3" fontId="26" fillId="0" borderId="14" xfId="6" applyNumberFormat="1" applyFont="1" applyFill="1" applyBorder="1"/>
    <xf numFmtId="3" fontId="26" fillId="0" borderId="17" xfId="6" applyNumberFormat="1" applyFont="1" applyFill="1" applyBorder="1"/>
    <xf numFmtId="4" fontId="31" fillId="0" borderId="14" xfId="6" applyNumberFormat="1" applyFont="1" applyFill="1" applyBorder="1"/>
    <xf numFmtId="0" fontId="31" fillId="0" borderId="14" xfId="9" applyFont="1" applyFill="1" applyBorder="1" applyAlignment="1">
      <alignment horizontal="center" wrapText="1"/>
    </xf>
    <xf numFmtId="10" fontId="31" fillId="0" borderId="14" xfId="11" applyNumberFormat="1" applyFont="1" applyFill="1" applyBorder="1" applyAlignment="1">
      <alignment horizontal="center"/>
    </xf>
    <xf numFmtId="0" fontId="36" fillId="0" borderId="17" xfId="6" applyFont="1" applyFill="1" applyBorder="1"/>
    <xf numFmtId="165" fontId="31" fillId="0" borderId="17" xfId="11" applyNumberFormat="1" applyFont="1" applyFill="1" applyBorder="1" applyAlignment="1">
      <alignment horizontal="center"/>
    </xf>
    <xf numFmtId="4" fontId="31" fillId="7" borderId="15" xfId="9" applyNumberFormat="1" applyFont="1" applyFill="1" applyBorder="1"/>
    <xf numFmtId="4" fontId="31" fillId="7" borderId="18" xfId="9" applyNumberFormat="1" applyFont="1" applyFill="1" applyBorder="1"/>
    <xf numFmtId="0" fontId="32" fillId="0" borderId="0" xfId="6" applyFont="1" applyAlignment="1"/>
    <xf numFmtId="0" fontId="13" fillId="2" borderId="1" xfId="0" applyFont="1" applyFill="1" applyBorder="1" applyAlignment="1">
      <alignment horizontal="center" vertical="center" wrapText="1"/>
    </xf>
    <xf numFmtId="0" fontId="32" fillId="0" borderId="0" xfId="0" applyFont="1"/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3" fontId="25" fillId="10" borderId="0" xfId="1" applyNumberFormat="1" applyFont="1" applyFill="1" applyAlignment="1">
      <alignment horizontal="right" vertical="top" wrapText="1"/>
    </xf>
    <xf numFmtId="3" fontId="40" fillId="10" borderId="0" xfId="1" applyNumberFormat="1" applyFont="1" applyFill="1" applyAlignment="1">
      <alignment horizontal="right" vertical="top" wrapText="1"/>
    </xf>
    <xf numFmtId="0" fontId="40" fillId="0" borderId="0" xfId="1" applyFont="1" applyFill="1"/>
    <xf numFmtId="0" fontId="13" fillId="0" borderId="1" xfId="1" applyFont="1" applyFill="1" applyBorder="1" applyAlignment="1">
      <alignment horizontal="center" vertical="center" wrapText="1"/>
    </xf>
    <xf numFmtId="0" fontId="26" fillId="0" borderId="17" xfId="9" applyFont="1" applyFill="1" applyBorder="1" applyAlignment="1">
      <alignment horizontal="center" wrapText="1"/>
    </xf>
    <xf numFmtId="0" fontId="26" fillId="0" borderId="14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 wrapText="1"/>
    </xf>
    <xf numFmtId="4" fontId="26" fillId="0" borderId="14" xfId="6" applyNumberFormat="1" applyFont="1" applyFill="1" applyBorder="1"/>
    <xf numFmtId="0" fontId="26" fillId="42" borderId="14" xfId="9" applyFont="1" applyFill="1" applyBorder="1" applyAlignment="1">
      <alignment horizontal="center" wrapText="1"/>
    </xf>
    <xf numFmtId="0" fontId="26" fillId="42" borderId="17" xfId="9" applyFont="1" applyFill="1" applyBorder="1" applyAlignment="1">
      <alignment horizontal="center" wrapText="1"/>
    </xf>
    <xf numFmtId="4" fontId="26" fillId="0" borderId="17" xfId="6" applyNumberFormat="1" applyFont="1" applyFill="1" applyBorder="1"/>
    <xf numFmtId="4" fontId="31" fillId="0" borderId="17" xfId="6" applyNumberFormat="1" applyFont="1" applyFill="1" applyBorder="1"/>
    <xf numFmtId="4" fontId="26" fillId="0" borderId="17" xfId="11" applyNumberFormat="1" applyFont="1" applyFill="1" applyBorder="1"/>
    <xf numFmtId="4" fontId="26" fillId="0" borderId="20" xfId="11" applyNumberFormat="1" applyFont="1" applyFill="1" applyBorder="1"/>
    <xf numFmtId="4" fontId="26" fillId="0" borderId="17" xfId="9" applyNumberFormat="1" applyFont="1" applyFill="1" applyBorder="1" applyAlignment="1">
      <alignment horizontal="right"/>
    </xf>
    <xf numFmtId="4" fontId="26" fillId="0" borderId="20" xfId="10" applyNumberFormat="1" applyFont="1" applyFill="1" applyBorder="1" applyAlignment="1">
      <alignment horizontal="right" vertical="center"/>
    </xf>
    <xf numFmtId="4" fontId="26" fillId="0" borderId="17" xfId="10" applyNumberFormat="1" applyFont="1" applyFill="1" applyBorder="1" applyAlignment="1">
      <alignment horizontal="right" vertical="center"/>
    </xf>
    <xf numFmtId="3" fontId="16" fillId="0" borderId="1" xfId="0" applyNumberFormat="1" applyFont="1" applyBorder="1"/>
    <xf numFmtId="3" fontId="32" fillId="0" borderId="1" xfId="0" applyNumberFormat="1" applyFont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3" fontId="25" fillId="10" borderId="0" xfId="1" applyNumberFormat="1" applyFont="1" applyFill="1" applyAlignment="1">
      <alignment horizontal="right" vertical="top" wrapText="1"/>
    </xf>
    <xf numFmtId="3" fontId="40" fillId="10" borderId="0" xfId="1" applyNumberFormat="1" applyFont="1" applyFill="1" applyAlignment="1">
      <alignment horizontal="right" vertical="top" wrapText="1"/>
    </xf>
    <xf numFmtId="0" fontId="13" fillId="43" borderId="1" xfId="14" applyFont="1" applyFill="1" applyBorder="1" applyAlignment="1">
      <alignment horizontal="center" vertical="center" wrapText="1"/>
    </xf>
    <xf numFmtId="3" fontId="25" fillId="10" borderId="0" xfId="1" applyNumberFormat="1" applyFont="1" applyFill="1" applyAlignment="1">
      <alignment horizontal="right" vertical="center" wrapText="1"/>
    </xf>
    <xf numFmtId="3" fontId="40" fillId="10" borderId="0" xfId="1" applyNumberFormat="1" applyFont="1" applyFill="1" applyAlignment="1">
      <alignment horizontal="right" vertical="center" wrapText="1"/>
    </xf>
    <xf numFmtId="3" fontId="63" fillId="43" borderId="0" xfId="14" applyNumberFormat="1" applyFont="1" applyFill="1" applyAlignment="1">
      <alignment horizontal="right" vertical="top" wrapText="1"/>
    </xf>
    <xf numFmtId="3" fontId="63" fillId="10" borderId="0" xfId="1" applyNumberFormat="1" applyFont="1" applyFill="1" applyAlignment="1">
      <alignment horizontal="right" vertical="center" wrapText="1"/>
    </xf>
    <xf numFmtId="0" fontId="63" fillId="0" borderId="0" xfId="14" applyFont="1"/>
    <xf numFmtId="3" fontId="63" fillId="0" borderId="0" xfId="1" applyNumberFormat="1" applyFont="1" applyFill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40" fillId="10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40" fillId="10" borderId="0" xfId="1" applyNumberFormat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2" fillId="10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5" fillId="10" borderId="61" xfId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3" fillId="43" borderId="63" xfId="14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25" fillId="10" borderId="0" xfId="1" applyFont="1" applyFill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3" fontId="25" fillId="10" borderId="0" xfId="1" applyNumberFormat="1" applyFont="1" applyFill="1" applyAlignment="1">
      <alignment horizontal="right" vertical="center" wrapText="1"/>
    </xf>
    <xf numFmtId="0" fontId="43" fillId="0" borderId="0" xfId="0" applyFont="1" applyAlignment="1">
      <alignment horizontal="right" vertical="center" wrapText="1"/>
    </xf>
    <xf numFmtId="0" fontId="61" fillId="43" borderId="0" xfId="14" applyFont="1" applyFill="1" applyAlignment="1">
      <alignment horizontal="left" vertical="top" wrapText="1"/>
    </xf>
    <xf numFmtId="0" fontId="62" fillId="0" borderId="0" xfId="0" applyFont="1" applyAlignment="1">
      <alignment horizontal="left" vertical="top" wrapText="1"/>
    </xf>
    <xf numFmtId="0" fontId="63" fillId="43" borderId="0" xfId="14" applyFont="1" applyFill="1" applyAlignment="1">
      <alignment horizontal="left" vertical="top" wrapText="1"/>
    </xf>
    <xf numFmtId="3" fontId="63" fillId="43" borderId="0" xfId="14" applyNumberFormat="1" applyFont="1" applyFill="1" applyAlignment="1">
      <alignment horizontal="right" vertical="top" wrapText="1"/>
    </xf>
    <xf numFmtId="0" fontId="62" fillId="0" borderId="0" xfId="0" applyFont="1" applyAlignment="1">
      <alignment horizontal="right" vertical="top" wrapText="1"/>
    </xf>
    <xf numFmtId="3" fontId="63" fillId="0" borderId="0" xfId="1" applyNumberFormat="1" applyFont="1" applyFill="1" applyAlignment="1">
      <alignment horizontal="right" vertical="center" wrapText="1"/>
    </xf>
    <xf numFmtId="0" fontId="62" fillId="0" borderId="0" xfId="0" applyFont="1" applyFill="1" applyAlignment="1">
      <alignment horizontal="right" vertical="center" wrapText="1"/>
    </xf>
    <xf numFmtId="0" fontId="40" fillId="10" borderId="0" xfId="1" applyFont="1" applyFill="1" applyAlignment="1">
      <alignment horizontal="right" vertical="center" wrapText="1"/>
    </xf>
    <xf numFmtId="166" fontId="33" fillId="8" borderId="44" xfId="6" applyNumberFormat="1" applyFont="1" applyFill="1" applyBorder="1" applyAlignment="1">
      <alignment horizontal="left"/>
    </xf>
    <xf numFmtId="0" fontId="33" fillId="8" borderId="44" xfId="6" applyFont="1" applyFill="1" applyBorder="1" applyAlignment="1">
      <alignment horizontal="left"/>
    </xf>
    <xf numFmtId="0" fontId="26" fillId="0" borderId="46" xfId="6" applyFont="1" applyBorder="1" applyAlignment="1">
      <alignment horizontal="right"/>
    </xf>
    <xf numFmtId="0" fontId="32" fillId="8" borderId="14" xfId="6" applyFont="1" applyFill="1" applyBorder="1" applyAlignment="1">
      <alignment horizontal="left"/>
    </xf>
    <xf numFmtId="0" fontId="32" fillId="8" borderId="41" xfId="6" applyFont="1" applyFill="1" applyBorder="1" applyAlignment="1">
      <alignment horizontal="left"/>
    </xf>
    <xf numFmtId="0" fontId="32" fillId="8" borderId="42" xfId="6" applyFont="1" applyFill="1" applyBorder="1" applyAlignment="1">
      <alignment horizontal="left"/>
    </xf>
    <xf numFmtId="166" fontId="32" fillId="8" borderId="28" xfId="6" applyNumberFormat="1" applyFont="1" applyFill="1" applyBorder="1" applyAlignment="1">
      <alignment horizontal="left"/>
    </xf>
    <xf numFmtId="166" fontId="33" fillId="8" borderId="31" xfId="6" applyNumberFormat="1" applyFont="1" applyFill="1" applyBorder="1" applyAlignment="1">
      <alignment horizontal="left"/>
    </xf>
    <xf numFmtId="0" fontId="33" fillId="8" borderId="31" xfId="6" applyFont="1" applyFill="1" applyBorder="1" applyAlignment="1">
      <alignment horizontal="left"/>
    </xf>
    <xf numFmtId="0" fontId="32" fillId="9" borderId="34" xfId="6" applyFont="1" applyFill="1" applyBorder="1" applyAlignment="1">
      <alignment horizontal="left"/>
    </xf>
    <xf numFmtId="0" fontId="32" fillId="9" borderId="35" xfId="6" applyFont="1" applyFill="1" applyBorder="1" applyAlignment="1">
      <alignment horizontal="left"/>
    </xf>
    <xf numFmtId="0" fontId="26" fillId="0" borderId="39" xfId="6" applyFont="1" applyFill="1" applyBorder="1" applyAlignment="1">
      <alignment horizontal="right"/>
    </xf>
    <xf numFmtId="0" fontId="26" fillId="0" borderId="40" xfId="6" applyFont="1" applyFill="1" applyBorder="1" applyAlignment="1">
      <alignment horizontal="right"/>
    </xf>
    <xf numFmtId="0" fontId="26" fillId="0" borderId="14" xfId="6" applyFont="1" applyFill="1" applyBorder="1" applyAlignment="1">
      <alignment horizontal="center" vertical="center" wrapText="1"/>
    </xf>
    <xf numFmtId="0" fontId="26" fillId="0" borderId="17" xfId="6" applyFont="1" applyFill="1" applyBorder="1" applyAlignment="1">
      <alignment horizontal="center" vertical="center" wrapText="1"/>
    </xf>
    <xf numFmtId="168" fontId="26" fillId="0" borderId="14" xfId="10" applyNumberFormat="1" applyFont="1" applyFill="1" applyBorder="1" applyAlignment="1">
      <alignment horizontal="center" vertical="center"/>
    </xf>
    <xf numFmtId="168" fontId="26" fillId="0" borderId="17" xfId="10" applyNumberFormat="1" applyFont="1" applyFill="1" applyBorder="1" applyAlignment="1">
      <alignment horizontal="center" vertical="center"/>
    </xf>
    <xf numFmtId="0" fontId="26" fillId="0" borderId="14" xfId="6" applyFont="1" applyFill="1" applyBorder="1" applyAlignment="1">
      <alignment horizontal="center" wrapText="1"/>
    </xf>
    <xf numFmtId="0" fontId="26" fillId="0" borderId="17" xfId="6" applyFont="1" applyFill="1" applyBorder="1" applyAlignment="1">
      <alignment horizontal="center" wrapText="1"/>
    </xf>
    <xf numFmtId="0" fontId="32" fillId="0" borderId="51" xfId="6" applyFont="1" applyBorder="1" applyAlignment="1">
      <alignment horizontal="left" vertical="center"/>
    </xf>
    <xf numFmtId="0" fontId="26" fillId="0" borderId="13" xfId="6" applyFont="1" applyFill="1" applyBorder="1" applyAlignment="1"/>
    <xf numFmtId="0" fontId="26" fillId="0" borderId="16" xfId="6" applyFont="1" applyFill="1" applyBorder="1" applyAlignment="1"/>
    <xf numFmtId="0" fontId="26" fillId="0" borderId="14" xfId="11" applyFont="1" applyFill="1" applyBorder="1" applyAlignment="1">
      <alignment horizontal="center" wrapText="1"/>
    </xf>
    <xf numFmtId="0" fontId="26" fillId="0" borderId="17" xfId="11" applyFont="1" applyFill="1" applyBorder="1" applyAlignment="1">
      <alignment horizontal="center" wrapText="1"/>
    </xf>
    <xf numFmtId="0" fontId="37" fillId="0" borderId="0" xfId="6" applyFont="1" applyFill="1" applyAlignment="1">
      <alignment horizontal="right" vertical="center" wrapText="1"/>
    </xf>
    <xf numFmtId="0" fontId="26" fillId="0" borderId="0" xfId="6" applyFont="1" applyAlignment="1">
      <alignment horizontal="right" vertical="center" wrapText="1"/>
    </xf>
    <xf numFmtId="0" fontId="26" fillId="0" borderId="13" xfId="9" applyFont="1" applyFill="1" applyBorder="1" applyAlignment="1"/>
    <xf numFmtId="0" fontId="26" fillId="0" borderId="16" xfId="9" applyFont="1" applyFill="1" applyBorder="1" applyAlignment="1"/>
    <xf numFmtId="4" fontId="26" fillId="0" borderId="14" xfId="10" applyNumberFormat="1" applyFont="1" applyFill="1" applyBorder="1" applyAlignment="1">
      <alignment horizontal="center" vertical="center"/>
    </xf>
    <xf numFmtId="4" fontId="26" fillId="0" borderId="17" xfId="10" applyNumberFormat="1" applyFont="1" applyFill="1" applyBorder="1" applyAlignment="1">
      <alignment horizontal="center" vertical="center"/>
    </xf>
    <xf numFmtId="0" fontId="26" fillId="0" borderId="14" xfId="9" applyFont="1" applyFill="1" applyBorder="1" applyAlignment="1">
      <alignment horizontal="center" vertical="center" wrapText="1"/>
    </xf>
    <xf numFmtId="0" fontId="26" fillId="0" borderId="17" xfId="9" applyFont="1" applyFill="1" applyBorder="1" applyAlignment="1">
      <alignment horizontal="center" vertical="center" wrapText="1"/>
    </xf>
    <xf numFmtId="0" fontId="32" fillId="8" borderId="13" xfId="6" applyFont="1" applyFill="1" applyBorder="1" applyAlignment="1">
      <alignment horizontal="left"/>
    </xf>
    <xf numFmtId="0" fontId="26" fillId="42" borderId="13" xfId="9" applyFont="1" applyFill="1" applyBorder="1" applyAlignment="1"/>
    <xf numFmtId="0" fontId="26" fillId="42" borderId="16" xfId="9" applyFont="1" applyFill="1" applyBorder="1" applyAlignment="1"/>
    <xf numFmtId="0" fontId="31" fillId="0" borderId="14" xfId="6" applyFont="1" applyFill="1" applyBorder="1" applyAlignment="1">
      <alignment horizontal="center" vertical="center" wrapText="1"/>
    </xf>
    <xf numFmtId="0" fontId="31" fillId="0" borderId="17" xfId="6" applyFont="1" applyFill="1" applyBorder="1" applyAlignment="1">
      <alignment horizontal="center" vertical="center" wrapText="1"/>
    </xf>
    <xf numFmtId="4" fontId="31" fillId="0" borderId="14" xfId="10" applyNumberFormat="1" applyFont="1" applyFill="1" applyBorder="1" applyAlignment="1">
      <alignment horizontal="center" vertical="center"/>
    </xf>
    <xf numFmtId="4" fontId="31" fillId="0" borderId="17" xfId="10" applyNumberFormat="1" applyFont="1" applyFill="1" applyBorder="1" applyAlignment="1">
      <alignment horizontal="center" vertical="center"/>
    </xf>
    <xf numFmtId="0" fontId="31" fillId="0" borderId="14" xfId="9" applyFont="1" applyFill="1" applyBorder="1" applyAlignment="1">
      <alignment horizontal="center" vertical="center" wrapText="1"/>
    </xf>
    <xf numFmtId="0" fontId="31" fillId="0" borderId="17" xfId="9" applyFont="1" applyFill="1" applyBorder="1" applyAlignment="1">
      <alignment horizontal="center" vertical="center" wrapText="1"/>
    </xf>
    <xf numFmtId="0" fontId="31" fillId="0" borderId="13" xfId="9" applyFont="1" applyFill="1" applyBorder="1" applyAlignment="1"/>
    <xf numFmtId="0" fontId="31" fillId="0" borderId="16" xfId="9" applyFont="1" applyFill="1" applyBorder="1" applyAlignment="1"/>
    <xf numFmtId="3" fontId="26" fillId="0" borderId="14" xfId="6" applyNumberFormat="1" applyFont="1" applyFill="1" applyBorder="1" applyAlignment="1">
      <alignment horizontal="center" vertical="center" wrapText="1"/>
    </xf>
    <xf numFmtId="166" fontId="32" fillId="8" borderId="27" xfId="6" applyNumberFormat="1" applyFont="1" applyFill="1" applyBorder="1" applyAlignment="1">
      <alignment horizontal="left"/>
    </xf>
    <xf numFmtId="0" fontId="26" fillId="0" borderId="14" xfId="9" applyFont="1" applyFill="1" applyBorder="1" applyAlignment="1">
      <alignment horizontal="center" wrapText="1"/>
    </xf>
    <xf numFmtId="0" fontId="26" fillId="0" borderId="17" xfId="9" applyFont="1" applyFill="1" applyBorder="1" applyAlignment="1">
      <alignment horizontal="center" wrapText="1"/>
    </xf>
    <xf numFmtId="0" fontId="26" fillId="0" borderId="50" xfId="9" applyFont="1" applyFill="1" applyBorder="1" applyAlignment="1"/>
    <xf numFmtId="0" fontId="26" fillId="0" borderId="19" xfId="6" applyFont="1" applyFill="1" applyBorder="1" applyAlignment="1">
      <alignment horizontal="center" vertical="center" wrapText="1"/>
    </xf>
    <xf numFmtId="0" fontId="26" fillId="0" borderId="20" xfId="6" applyFont="1" applyFill="1" applyBorder="1" applyAlignment="1">
      <alignment horizontal="center" vertical="center" wrapText="1"/>
    </xf>
    <xf numFmtId="4" fontId="26" fillId="0" borderId="19" xfId="10" applyNumberFormat="1" applyFont="1" applyFill="1" applyBorder="1" applyAlignment="1">
      <alignment horizontal="center" vertical="center"/>
    </xf>
    <xf numFmtId="4" fontId="26" fillId="0" borderId="20" xfId="10" applyNumberFormat="1" applyFont="1" applyFill="1" applyBorder="1" applyAlignment="1">
      <alignment horizontal="center" vertical="center"/>
    </xf>
    <xf numFmtId="0" fontId="26" fillId="0" borderId="19" xfId="9" applyFont="1" applyFill="1" applyBorder="1" applyAlignment="1">
      <alignment horizontal="center" vertical="center" wrapText="1"/>
    </xf>
    <xf numFmtId="0" fontId="26" fillId="0" borderId="20" xfId="9" applyFont="1" applyFill="1" applyBorder="1" applyAlignment="1">
      <alignment horizontal="center" vertical="center" wrapText="1"/>
    </xf>
    <xf numFmtId="0" fontId="26" fillId="0" borderId="19" xfId="9" applyFont="1" applyFill="1" applyBorder="1" applyAlignment="1">
      <alignment horizontal="center" wrapText="1"/>
    </xf>
    <xf numFmtId="0" fontId="26" fillId="0" borderId="20" xfId="9" applyFont="1" applyFill="1" applyBorder="1" applyAlignment="1">
      <alignment horizontal="center" wrapText="1"/>
    </xf>
    <xf numFmtId="14" fontId="26" fillId="0" borderId="19" xfId="9" applyNumberFormat="1" applyFont="1" applyFill="1" applyBorder="1" applyAlignment="1">
      <alignment horizontal="center" wrapText="1"/>
    </xf>
    <xf numFmtId="0" fontId="26" fillId="0" borderId="19" xfId="11" applyFont="1" applyFill="1" applyBorder="1" applyAlignment="1">
      <alignment horizontal="center" wrapText="1"/>
    </xf>
    <xf numFmtId="0" fontId="26" fillId="0" borderId="20" xfId="11" applyFont="1" applyFill="1" applyBorder="1" applyAlignment="1">
      <alignment horizontal="center" wrapText="1"/>
    </xf>
    <xf numFmtId="0" fontId="26" fillId="0" borderId="23" xfId="9" applyFont="1" applyFill="1" applyBorder="1" applyAlignment="1">
      <alignment horizontal="center" vertical="center" wrapText="1"/>
    </xf>
    <xf numFmtId="0" fontId="26" fillId="0" borderId="24" xfId="9" applyFont="1" applyFill="1" applyBorder="1" applyAlignment="1">
      <alignment horizontal="center" vertical="center" wrapText="1"/>
    </xf>
    <xf numFmtId="4" fontId="26" fillId="4" borderId="14" xfId="10" applyNumberFormat="1" applyFont="1" applyFill="1" applyBorder="1" applyAlignment="1">
      <alignment horizontal="center" vertical="center"/>
    </xf>
    <xf numFmtId="4" fontId="26" fillId="4" borderId="17" xfId="10" applyNumberFormat="1" applyFont="1" applyFill="1" applyBorder="1" applyAlignment="1">
      <alignment horizontal="center" vertical="center"/>
    </xf>
    <xf numFmtId="0" fontId="21" fillId="0" borderId="20" xfId="9" applyFill="1" applyBorder="1" applyAlignment="1">
      <alignment horizontal="center" vertical="center" wrapText="1"/>
    </xf>
    <xf numFmtId="0" fontId="21" fillId="0" borderId="17" xfId="9" applyFill="1" applyBorder="1" applyAlignment="1">
      <alignment horizontal="center" vertical="center" wrapText="1"/>
    </xf>
    <xf numFmtId="0" fontId="25" fillId="0" borderId="0" xfId="6" applyFont="1" applyBorder="1" applyAlignment="1">
      <alignment horizontal="center"/>
    </xf>
    <xf numFmtId="0" fontId="27" fillId="6" borderId="3" xfId="6" applyFont="1" applyFill="1" applyBorder="1" applyAlignment="1">
      <alignment horizontal="center" vertical="center" wrapText="1"/>
    </xf>
    <xf numFmtId="0" fontId="27" fillId="6" borderId="8" xfId="6" applyFont="1" applyFill="1" applyBorder="1" applyAlignment="1">
      <alignment horizontal="center" vertical="center" wrapText="1"/>
    </xf>
    <xf numFmtId="0" fontId="27" fillId="6" borderId="4" xfId="6" applyFont="1" applyFill="1" applyBorder="1" applyAlignment="1">
      <alignment horizontal="center" vertical="center" wrapText="1"/>
    </xf>
    <xf numFmtId="0" fontId="27" fillId="6" borderId="9" xfId="6" applyFont="1" applyFill="1" applyBorder="1" applyAlignment="1">
      <alignment horizontal="center" vertical="center" wrapText="1"/>
    </xf>
    <xf numFmtId="0" fontId="27" fillId="2" borderId="5" xfId="6" applyFont="1" applyFill="1" applyBorder="1" applyAlignment="1">
      <alignment horizontal="center" vertical="center"/>
    </xf>
    <xf numFmtId="0" fontId="27" fillId="2" borderId="10" xfId="6" applyFont="1" applyFill="1" applyBorder="1" applyAlignment="1">
      <alignment horizontal="center" vertical="center"/>
    </xf>
    <xf numFmtId="4" fontId="26" fillId="0" borderId="14" xfId="10" applyNumberFormat="1" applyFont="1" applyFill="1" applyBorder="1" applyAlignment="1">
      <alignment horizontal="center" vertical="center" wrapText="1"/>
    </xf>
    <xf numFmtId="4" fontId="26" fillId="0" borderId="17" xfId="1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2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25" fillId="10" borderId="0" xfId="1" applyNumberFormat="1" applyFont="1" applyFill="1" applyAlignment="1">
      <alignment horizontal="right" vertical="top" wrapText="1"/>
    </xf>
    <xf numFmtId="3" fontId="40" fillId="10" borderId="0" xfId="1" applyNumberFormat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3" fillId="0" borderId="0" xfId="0" applyFont="1" applyAlignment="1">
      <alignment horizontal="right" vertical="top" wrapText="1"/>
    </xf>
    <xf numFmtId="0" fontId="40" fillId="10" borderId="0" xfId="1" applyFont="1" applyFill="1" applyAlignment="1">
      <alignment horizontal="right" vertical="top" wrapText="1"/>
    </xf>
    <xf numFmtId="0" fontId="21" fillId="0" borderId="0" xfId="1" applyFont="1" applyAlignment="1">
      <alignment horizontal="right" vertical="top" wrapText="1"/>
    </xf>
    <xf numFmtId="3" fontId="60" fillId="0" borderId="1" xfId="0" applyNumberFormat="1" applyFont="1" applyFill="1" applyBorder="1" applyAlignment="1">
      <alignment vertical="center"/>
    </xf>
  </cellXfs>
  <cellStyles count="56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Comma_Pašvaldības saistības 2" xfId="10"/>
    <cellStyle name="Explanatory Text" xfId="30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4" xfId="14"/>
    <cellStyle name="Normal 5" xfId="2"/>
    <cellStyle name="Normal 5 2" xfId="6"/>
    <cellStyle name="Normal 6" xfId="11"/>
    <cellStyle name="Normal 7" xfId="7"/>
    <cellStyle name="Normal_Pamatformas 2" xfId="13"/>
    <cellStyle name="Note" xfId="29" builtinId="10" customBuiltin="1"/>
    <cellStyle name="Output" xfId="24" builtinId="21" customBuiltin="1"/>
    <cellStyle name="Percent 4" xfId="4"/>
    <cellStyle name="Percent 4 2" xfId="12"/>
    <cellStyle name="Percent 5" xfId="5"/>
    <cellStyle name="Title" xfId="15" builtinId="15" customBuiltin="1"/>
    <cellStyle name="Total" xfId="31" builtinId="25" customBuiltin="1"/>
    <cellStyle name="Warning Text" xfId="2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64" zoomScale="98" zoomScaleNormal="98" workbookViewId="0">
      <selection activeCell="D48" sqref="D48"/>
    </sheetView>
  </sheetViews>
  <sheetFormatPr defaultColWidth="9.140625" defaultRowHeight="15" x14ac:dyDescent="0.25"/>
  <cols>
    <col min="1" max="1" width="10.85546875" style="1" customWidth="1"/>
    <col min="2" max="2" width="40.85546875" style="4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1" t="s">
        <v>0</v>
      </c>
      <c r="D1" s="359" t="s">
        <v>1</v>
      </c>
      <c r="E1" s="359"/>
      <c r="I1" s="2"/>
    </row>
    <row r="2" spans="1:9" x14ac:dyDescent="0.25">
      <c r="C2" s="359" t="s">
        <v>391</v>
      </c>
      <c r="D2" s="359"/>
      <c r="E2" s="359"/>
    </row>
    <row r="3" spans="1:9" x14ac:dyDescent="0.25">
      <c r="C3" s="360" t="s">
        <v>806</v>
      </c>
      <c r="D3" s="360"/>
      <c r="E3" s="360"/>
    </row>
    <row r="5" spans="1:9" ht="18.75" x14ac:dyDescent="0.25">
      <c r="A5" s="361" t="s">
        <v>415</v>
      </c>
      <c r="B5" s="361"/>
      <c r="C5" s="361"/>
      <c r="D5" s="361"/>
      <c r="E5" s="361"/>
    </row>
    <row r="6" spans="1:9" x14ac:dyDescent="0.25">
      <c r="A6" s="362" t="s">
        <v>2</v>
      </c>
      <c r="B6" s="362"/>
      <c r="C6" s="362"/>
      <c r="D6" s="362"/>
      <c r="E6" s="362"/>
    </row>
    <row r="7" spans="1:9" x14ac:dyDescent="0.25">
      <c r="E7" s="5" t="s">
        <v>12</v>
      </c>
    </row>
    <row r="8" spans="1:9" ht="42.75" x14ac:dyDescent="0.25">
      <c r="A8" s="7" t="s">
        <v>5</v>
      </c>
      <c r="B8" s="7" t="s">
        <v>3</v>
      </c>
      <c r="C8" s="7" t="s">
        <v>416</v>
      </c>
      <c r="D8" s="7" t="s">
        <v>121</v>
      </c>
      <c r="E8" s="324" t="s">
        <v>807</v>
      </c>
    </row>
    <row r="9" spans="1:9" ht="21.75" customHeight="1" x14ac:dyDescent="0.3">
      <c r="A9" s="8"/>
      <c r="B9" s="9" t="s">
        <v>23</v>
      </c>
      <c r="C9" s="51">
        <f>C10+C19+C52+C63</f>
        <v>57147631</v>
      </c>
      <c r="D9" s="51">
        <f>D10+D19+D52+D63</f>
        <v>4680154</v>
      </c>
      <c r="E9" s="51">
        <f>E10+E19+E52+E63</f>
        <v>61827785</v>
      </c>
    </row>
    <row r="10" spans="1:9" x14ac:dyDescent="0.25">
      <c r="A10" s="11"/>
      <c r="B10" s="12" t="s">
        <v>24</v>
      </c>
      <c r="C10" s="52">
        <f>C11+C14+C18</f>
        <v>41429071</v>
      </c>
      <c r="D10" s="52">
        <f>D11+D14+D18</f>
        <v>0</v>
      </c>
      <c r="E10" s="52">
        <f t="shared" ref="E10" si="0">E11+E14+E18</f>
        <v>41429071</v>
      </c>
    </row>
    <row r="11" spans="1:9" x14ac:dyDescent="0.25">
      <c r="A11" s="36" t="s">
        <v>6</v>
      </c>
      <c r="B11" s="46" t="s">
        <v>7</v>
      </c>
      <c r="C11" s="53">
        <f>C12+C13</f>
        <v>37482014</v>
      </c>
      <c r="D11" s="53">
        <f t="shared" ref="D11:E11" si="1">D12+D13</f>
        <v>0</v>
      </c>
      <c r="E11" s="53">
        <f t="shared" si="1"/>
        <v>37482014</v>
      </c>
    </row>
    <row r="12" spans="1:9" ht="46.5" hidden="1" customHeight="1" x14ac:dyDescent="0.25">
      <c r="A12" s="37" t="s">
        <v>8</v>
      </c>
      <c r="B12" s="49" t="s">
        <v>9</v>
      </c>
      <c r="C12" s="54"/>
      <c r="D12" s="54"/>
      <c r="E12" s="54">
        <f>C12+D12</f>
        <v>0</v>
      </c>
    </row>
    <row r="13" spans="1:9" ht="45" x14ac:dyDescent="0.25">
      <c r="A13" s="38" t="s">
        <v>10</v>
      </c>
      <c r="B13" s="50" t="s">
        <v>11</v>
      </c>
      <c r="C13" s="55">
        <v>37482014</v>
      </c>
      <c r="D13" s="55"/>
      <c r="E13" s="55">
        <f>C13+D13</f>
        <v>37482014</v>
      </c>
    </row>
    <row r="14" spans="1:9" x14ac:dyDescent="0.25">
      <c r="A14" s="36" t="s">
        <v>13</v>
      </c>
      <c r="B14" s="46" t="s">
        <v>14</v>
      </c>
      <c r="C14" s="53">
        <f>C15+C16+C17</f>
        <v>3629060</v>
      </c>
      <c r="D14" s="53">
        <f t="shared" ref="D14:E14" si="2">D15+D16+D17</f>
        <v>0</v>
      </c>
      <c r="E14" s="53">
        <f t="shared" si="2"/>
        <v>3629060</v>
      </c>
    </row>
    <row r="15" spans="1:9" x14ac:dyDescent="0.25">
      <c r="A15" s="38" t="s">
        <v>15</v>
      </c>
      <c r="B15" s="50" t="s">
        <v>16</v>
      </c>
      <c r="C15" s="55">
        <v>1408171</v>
      </c>
      <c r="D15" s="55"/>
      <c r="E15" s="55">
        <f>C15+D15</f>
        <v>1408171</v>
      </c>
    </row>
    <row r="16" spans="1:9" x14ac:dyDescent="0.25">
      <c r="A16" s="38" t="s">
        <v>17</v>
      </c>
      <c r="B16" s="50" t="s">
        <v>18</v>
      </c>
      <c r="C16" s="55">
        <v>1510408</v>
      </c>
      <c r="D16" s="55"/>
      <c r="E16" s="55">
        <f>C16+D16</f>
        <v>1510408</v>
      </c>
    </row>
    <row r="17" spans="1:5" ht="13.5" customHeight="1" x14ac:dyDescent="0.25">
      <c r="A17" s="38" t="s">
        <v>19</v>
      </c>
      <c r="B17" s="50" t="s">
        <v>20</v>
      </c>
      <c r="C17" s="55">
        <v>710481</v>
      </c>
      <c r="D17" s="55"/>
      <c r="E17" s="55">
        <f>C17+D17</f>
        <v>710481</v>
      </c>
    </row>
    <row r="18" spans="1:5" x14ac:dyDescent="0.25">
      <c r="A18" s="36" t="s">
        <v>21</v>
      </c>
      <c r="B18" s="46" t="s">
        <v>22</v>
      </c>
      <c r="C18" s="53">
        <v>317997</v>
      </c>
      <c r="D18" s="53">
        <v>0</v>
      </c>
      <c r="E18" s="53">
        <f>C18+D18</f>
        <v>317997</v>
      </c>
    </row>
    <row r="19" spans="1:5" x14ac:dyDescent="0.25">
      <c r="A19" s="39"/>
      <c r="B19" s="19" t="s">
        <v>25</v>
      </c>
      <c r="C19" s="52">
        <f>C20+C22+C36+C40+C48</f>
        <v>237675</v>
      </c>
      <c r="D19" s="52">
        <f t="shared" ref="D19:E19" si="3">D20+D22+D36+D40+D48</f>
        <v>61695</v>
      </c>
      <c r="E19" s="52">
        <f t="shared" si="3"/>
        <v>299370</v>
      </c>
    </row>
    <row r="20" spans="1:5" ht="15.75" hidden="1" customHeight="1" x14ac:dyDescent="0.25">
      <c r="A20" s="40" t="s">
        <v>26</v>
      </c>
      <c r="B20" s="47" t="s">
        <v>27</v>
      </c>
      <c r="C20" s="56">
        <f>C21</f>
        <v>0</v>
      </c>
      <c r="D20" s="56">
        <f>D21</f>
        <v>0</v>
      </c>
      <c r="E20" s="56">
        <f>E21</f>
        <v>0</v>
      </c>
    </row>
    <row r="21" spans="1:5" ht="14.25" hidden="1" customHeight="1" x14ac:dyDescent="0.25">
      <c r="A21" s="37" t="s">
        <v>28</v>
      </c>
      <c r="B21" s="49" t="s">
        <v>29</v>
      </c>
      <c r="C21" s="54"/>
      <c r="D21" s="54"/>
      <c r="E21" s="54">
        <f>C21+D21</f>
        <v>0</v>
      </c>
    </row>
    <row r="22" spans="1:5" ht="28.5" x14ac:dyDescent="0.25">
      <c r="A22" s="36" t="s">
        <v>30</v>
      </c>
      <c r="B22" s="46" t="s">
        <v>31</v>
      </c>
      <c r="C22" s="53">
        <f>C23+C28</f>
        <v>63300</v>
      </c>
      <c r="D22" s="53">
        <f t="shared" ref="D22:E22" si="4">D23+D28</f>
        <v>0</v>
      </c>
      <c r="E22" s="53">
        <f t="shared" si="4"/>
        <v>63300</v>
      </c>
    </row>
    <row r="23" spans="1:5" ht="28.5" x14ac:dyDescent="0.25">
      <c r="A23" s="41" t="s">
        <v>32</v>
      </c>
      <c r="B23" s="46" t="s">
        <v>33</v>
      </c>
      <c r="C23" s="53">
        <f>SUM(C24:C27)</f>
        <v>20100</v>
      </c>
      <c r="D23" s="53">
        <f t="shared" ref="D23:E23" si="5">SUM(D24:D27)</f>
        <v>0</v>
      </c>
      <c r="E23" s="53">
        <f t="shared" si="5"/>
        <v>20100</v>
      </c>
    </row>
    <row r="24" spans="1:5" ht="45" x14ac:dyDescent="0.25">
      <c r="A24" s="38" t="s">
        <v>34</v>
      </c>
      <c r="B24" s="50" t="s">
        <v>35</v>
      </c>
      <c r="C24" s="55">
        <v>1600</v>
      </c>
      <c r="D24" s="55"/>
      <c r="E24" s="55">
        <f>C24+D24</f>
        <v>1600</v>
      </c>
    </row>
    <row r="25" spans="1:5" ht="75" x14ac:dyDescent="0.25">
      <c r="A25" s="38" t="s">
        <v>36</v>
      </c>
      <c r="B25" s="50" t="s">
        <v>37</v>
      </c>
      <c r="C25" s="55">
        <v>8500</v>
      </c>
      <c r="D25" s="55"/>
      <c r="E25" s="55">
        <f t="shared" ref="E25:E35" si="6">C25+D25</f>
        <v>8500</v>
      </c>
    </row>
    <row r="26" spans="1:5" ht="30" hidden="1" x14ac:dyDescent="0.25">
      <c r="A26" s="37" t="s">
        <v>38</v>
      </c>
      <c r="B26" s="49" t="s">
        <v>371</v>
      </c>
      <c r="C26" s="54"/>
      <c r="D26" s="54">
        <v>0</v>
      </c>
      <c r="E26" s="54">
        <f t="shared" si="6"/>
        <v>0</v>
      </c>
    </row>
    <row r="27" spans="1:5" ht="30" x14ac:dyDescent="0.25">
      <c r="A27" s="38" t="s">
        <v>39</v>
      </c>
      <c r="B27" s="50" t="s">
        <v>40</v>
      </c>
      <c r="C27" s="55">
        <v>10000</v>
      </c>
      <c r="D27" s="55"/>
      <c r="E27" s="55">
        <f t="shared" si="6"/>
        <v>10000</v>
      </c>
    </row>
    <row r="28" spans="1:5" x14ac:dyDescent="0.25">
      <c r="A28" s="41" t="s">
        <v>41</v>
      </c>
      <c r="B28" s="46" t="s">
        <v>42</v>
      </c>
      <c r="C28" s="53">
        <f>SUM(C29:C35)</f>
        <v>43200</v>
      </c>
      <c r="D28" s="53">
        <f t="shared" ref="D28:E28" si="7">SUM(D29:D35)</f>
        <v>0</v>
      </c>
      <c r="E28" s="53">
        <f t="shared" si="7"/>
        <v>43200</v>
      </c>
    </row>
    <row r="29" spans="1:5" ht="45" x14ac:dyDescent="0.25">
      <c r="A29" s="38" t="s">
        <v>43</v>
      </c>
      <c r="B29" s="50" t="s">
        <v>44</v>
      </c>
      <c r="C29" s="55">
        <v>11000</v>
      </c>
      <c r="D29" s="57"/>
      <c r="E29" s="55">
        <f t="shared" si="6"/>
        <v>11000</v>
      </c>
    </row>
    <row r="30" spans="1:5" ht="45" x14ac:dyDescent="0.25">
      <c r="A30" s="38" t="s">
        <v>45</v>
      </c>
      <c r="B30" s="50" t="s">
        <v>51</v>
      </c>
      <c r="C30" s="55">
        <v>500</v>
      </c>
      <c r="D30" s="57"/>
      <c r="E30" s="55">
        <f t="shared" si="6"/>
        <v>500</v>
      </c>
    </row>
    <row r="31" spans="1:5" ht="30" x14ac:dyDescent="0.25">
      <c r="A31" s="38" t="s">
        <v>46</v>
      </c>
      <c r="B31" s="50" t="s">
        <v>52</v>
      </c>
      <c r="C31" s="55">
        <v>2400</v>
      </c>
      <c r="D31" s="57"/>
      <c r="E31" s="55">
        <f t="shared" si="6"/>
        <v>2400</v>
      </c>
    </row>
    <row r="32" spans="1:5" ht="15.75" customHeight="1" x14ac:dyDescent="0.25">
      <c r="A32" s="38" t="s">
        <v>47</v>
      </c>
      <c r="B32" s="50" t="s">
        <v>53</v>
      </c>
      <c r="C32" s="55">
        <f>1400+1400</f>
        <v>2800</v>
      </c>
      <c r="D32" s="57"/>
      <c r="E32" s="55">
        <f t="shared" si="6"/>
        <v>2800</v>
      </c>
    </row>
    <row r="33" spans="1:5" ht="30.75" customHeight="1" x14ac:dyDescent="0.25">
      <c r="A33" s="38" t="s">
        <v>48</v>
      </c>
      <c r="B33" s="50" t="s">
        <v>54</v>
      </c>
      <c r="C33" s="55">
        <v>9000</v>
      </c>
      <c r="D33" s="55"/>
      <c r="E33" s="55">
        <f t="shared" si="6"/>
        <v>9000</v>
      </c>
    </row>
    <row r="34" spans="1:5" ht="30" x14ac:dyDescent="0.25">
      <c r="A34" s="38" t="s">
        <v>49</v>
      </c>
      <c r="B34" s="50" t="s">
        <v>55</v>
      </c>
      <c r="C34" s="55">
        <v>15000</v>
      </c>
      <c r="D34" s="55"/>
      <c r="E34" s="55">
        <f t="shared" si="6"/>
        <v>15000</v>
      </c>
    </row>
    <row r="35" spans="1:5" x14ac:dyDescent="0.25">
      <c r="A35" s="38" t="s">
        <v>50</v>
      </c>
      <c r="B35" s="50" t="s">
        <v>56</v>
      </c>
      <c r="C35" s="55">
        <v>2500</v>
      </c>
      <c r="D35" s="55"/>
      <c r="E35" s="55">
        <f t="shared" si="6"/>
        <v>2500</v>
      </c>
    </row>
    <row r="36" spans="1:5" x14ac:dyDescent="0.25">
      <c r="A36" s="36" t="s">
        <v>57</v>
      </c>
      <c r="B36" s="46" t="s">
        <v>58</v>
      </c>
      <c r="C36" s="53">
        <f>C37</f>
        <v>133000</v>
      </c>
      <c r="D36" s="53">
        <f t="shared" ref="D36:E36" si="8">D37</f>
        <v>0</v>
      </c>
      <c r="E36" s="53">
        <f t="shared" si="8"/>
        <v>133000</v>
      </c>
    </row>
    <row r="37" spans="1:5" x14ac:dyDescent="0.25">
      <c r="A37" s="41" t="s">
        <v>61</v>
      </c>
      <c r="B37" s="46" t="s">
        <v>62</v>
      </c>
      <c r="C37" s="53">
        <f>SUM(C38:C39)</f>
        <v>133000</v>
      </c>
      <c r="D37" s="53">
        <f t="shared" ref="D37:E37" si="9">SUM(D38:D39)</f>
        <v>0</v>
      </c>
      <c r="E37" s="53">
        <f t="shared" si="9"/>
        <v>133000</v>
      </c>
    </row>
    <row r="38" spans="1:5" x14ac:dyDescent="0.25">
      <c r="A38" s="38" t="s">
        <v>59</v>
      </c>
      <c r="B38" s="50" t="s">
        <v>60</v>
      </c>
      <c r="C38" s="55">
        <v>60000</v>
      </c>
      <c r="D38" s="55"/>
      <c r="E38" s="55">
        <f>C38+D38</f>
        <v>60000</v>
      </c>
    </row>
    <row r="39" spans="1:5" ht="36" customHeight="1" x14ac:dyDescent="0.25">
      <c r="A39" s="38" t="s">
        <v>63</v>
      </c>
      <c r="B39" s="50" t="s">
        <v>64</v>
      </c>
      <c r="C39" s="55">
        <v>73000</v>
      </c>
      <c r="D39" s="55"/>
      <c r="E39" s="55">
        <f>C39+D39</f>
        <v>73000</v>
      </c>
    </row>
    <row r="40" spans="1:5" x14ac:dyDescent="0.25">
      <c r="A40" s="349" t="s">
        <v>65</v>
      </c>
      <c r="B40" s="130" t="s">
        <v>66</v>
      </c>
      <c r="C40" s="60">
        <f>C41+C45+C47</f>
        <v>0</v>
      </c>
      <c r="D40" s="60">
        <f t="shared" ref="D40:E40" si="10">D41+D45+D47</f>
        <v>61695</v>
      </c>
      <c r="E40" s="60">
        <f t="shared" si="10"/>
        <v>61695</v>
      </c>
    </row>
    <row r="41" spans="1:5" hidden="1" x14ac:dyDescent="0.25">
      <c r="A41" s="129" t="s">
        <v>67</v>
      </c>
      <c r="B41" s="130" t="s">
        <v>68</v>
      </c>
      <c r="C41" s="60">
        <f>SUM(C42:C44)</f>
        <v>0</v>
      </c>
      <c r="D41" s="60">
        <f t="shared" ref="D41:E41" si="11">SUM(D42:D44)</f>
        <v>0</v>
      </c>
      <c r="E41" s="60">
        <f t="shared" si="11"/>
        <v>0</v>
      </c>
    </row>
    <row r="42" spans="1:5" ht="30" hidden="1" x14ac:dyDescent="0.25">
      <c r="A42" s="127" t="s">
        <v>69</v>
      </c>
      <c r="B42" s="128" t="s">
        <v>70</v>
      </c>
      <c r="C42" s="57"/>
      <c r="D42" s="57">
        <v>0</v>
      </c>
      <c r="E42" s="57">
        <f>C42+D42</f>
        <v>0</v>
      </c>
    </row>
    <row r="43" spans="1:5" ht="12" hidden="1" customHeight="1" x14ac:dyDescent="0.25">
      <c r="A43" s="127" t="s">
        <v>71</v>
      </c>
      <c r="B43" s="128" t="s">
        <v>73</v>
      </c>
      <c r="C43" s="57"/>
      <c r="D43" s="57">
        <v>0</v>
      </c>
      <c r="E43" s="57">
        <f t="shared" ref="E43:E44" si="12">C43+D43</f>
        <v>0</v>
      </c>
    </row>
    <row r="44" spans="1:5" ht="30" hidden="1" x14ac:dyDescent="0.25">
      <c r="A44" s="127" t="s">
        <v>72</v>
      </c>
      <c r="B44" s="128" t="s">
        <v>372</v>
      </c>
      <c r="C44" s="57"/>
      <c r="D44" s="57">
        <v>0</v>
      </c>
      <c r="E44" s="57">
        <f t="shared" si="12"/>
        <v>0</v>
      </c>
    </row>
    <row r="45" spans="1:5" ht="42.75" x14ac:dyDescent="0.25">
      <c r="A45" s="129" t="s">
        <v>827</v>
      </c>
      <c r="B45" s="130" t="s">
        <v>830</v>
      </c>
      <c r="C45" s="60">
        <f>C46</f>
        <v>0</v>
      </c>
      <c r="D45" s="60">
        <f>D46</f>
        <v>61695</v>
      </c>
      <c r="E45" s="60">
        <f>E46</f>
        <v>61695</v>
      </c>
    </row>
    <row r="46" spans="1:5" ht="33" customHeight="1" x14ac:dyDescent="0.25">
      <c r="A46" s="38" t="s">
        <v>828</v>
      </c>
      <c r="B46" s="50" t="s">
        <v>829</v>
      </c>
      <c r="C46" s="55">
        <v>0</v>
      </c>
      <c r="D46" s="55">
        <f>59695+2000</f>
        <v>61695</v>
      </c>
      <c r="E46" s="55">
        <f>C46+D46</f>
        <v>61695</v>
      </c>
    </row>
    <row r="47" spans="1:5" hidden="1" x14ac:dyDescent="0.25">
      <c r="A47" s="42" t="s">
        <v>74</v>
      </c>
      <c r="B47" s="47" t="s">
        <v>75</v>
      </c>
      <c r="C47" s="56"/>
      <c r="D47" s="56"/>
      <c r="E47" s="56">
        <f>C47+D47</f>
        <v>0</v>
      </c>
    </row>
    <row r="48" spans="1:5" ht="42.75" customHeight="1" x14ac:dyDescent="0.25">
      <c r="A48" s="36" t="s">
        <v>76</v>
      </c>
      <c r="B48" s="46" t="s">
        <v>81</v>
      </c>
      <c r="C48" s="53">
        <f>SUM(C49:C51)</f>
        <v>41375</v>
      </c>
      <c r="D48" s="53">
        <f>SUM(D49:D51)</f>
        <v>0</v>
      </c>
      <c r="E48" s="53">
        <f>SUM(E49:E51)</f>
        <v>41375</v>
      </c>
    </row>
    <row r="49" spans="1:5" ht="30" x14ac:dyDescent="0.25">
      <c r="A49" s="38" t="s">
        <v>77</v>
      </c>
      <c r="B49" s="50" t="s">
        <v>79</v>
      </c>
      <c r="C49" s="55">
        <v>22804</v>
      </c>
      <c r="D49" s="55"/>
      <c r="E49" s="55">
        <f>C49+D49</f>
        <v>22804</v>
      </c>
    </row>
    <row r="50" spans="1:5" ht="30" x14ac:dyDescent="0.25">
      <c r="A50" s="38" t="s">
        <v>78</v>
      </c>
      <c r="B50" s="50" t="s">
        <v>80</v>
      </c>
      <c r="C50" s="55">
        <v>17521</v>
      </c>
      <c r="D50" s="55"/>
      <c r="E50" s="55">
        <f>C50+D50</f>
        <v>17521</v>
      </c>
    </row>
    <row r="51" spans="1:5" ht="30" customHeight="1" x14ac:dyDescent="0.25">
      <c r="A51" s="38" t="s">
        <v>422</v>
      </c>
      <c r="B51" s="50" t="s">
        <v>423</v>
      </c>
      <c r="C51" s="55">
        <v>1050</v>
      </c>
      <c r="D51" s="55"/>
      <c r="E51" s="55">
        <f>C51+D51</f>
        <v>1050</v>
      </c>
    </row>
    <row r="52" spans="1:5" x14ac:dyDescent="0.25">
      <c r="A52" s="43"/>
      <c r="B52" s="19" t="s">
        <v>82</v>
      </c>
      <c r="C52" s="58">
        <f>C55+C61+C53</f>
        <v>13672774</v>
      </c>
      <c r="D52" s="58">
        <f>D55+D61+D53</f>
        <v>4571292</v>
      </c>
      <c r="E52" s="58">
        <f>E55+E61+E53</f>
        <v>18244066</v>
      </c>
    </row>
    <row r="53" spans="1:5" ht="42.75" x14ac:dyDescent="0.25">
      <c r="A53" s="119">
        <v>17</v>
      </c>
      <c r="B53" s="120" t="s">
        <v>385</v>
      </c>
      <c r="C53" s="121">
        <f>C54</f>
        <v>15490</v>
      </c>
      <c r="D53" s="122">
        <f>D54</f>
        <v>4037</v>
      </c>
      <c r="E53" s="122">
        <f>E54</f>
        <v>19527</v>
      </c>
    </row>
    <row r="54" spans="1:5" ht="60" x14ac:dyDescent="0.25">
      <c r="A54" s="123">
        <v>17.2</v>
      </c>
      <c r="B54" s="124" t="s">
        <v>386</v>
      </c>
      <c r="C54" s="125">
        <f>3109+12381</f>
        <v>15490</v>
      </c>
      <c r="D54" s="126">
        <v>4037</v>
      </c>
      <c r="E54" s="126">
        <f>C54+D54</f>
        <v>19527</v>
      </c>
    </row>
    <row r="55" spans="1:5" x14ac:dyDescent="0.25">
      <c r="A55" s="36" t="s">
        <v>83</v>
      </c>
      <c r="B55" s="46" t="s">
        <v>84</v>
      </c>
      <c r="C55" s="53">
        <f>C56</f>
        <v>12909266</v>
      </c>
      <c r="D55" s="53">
        <f t="shared" ref="D55:E55" si="13">D56</f>
        <v>4566367</v>
      </c>
      <c r="E55" s="53">
        <f t="shared" si="13"/>
        <v>17475633</v>
      </c>
    </row>
    <row r="56" spans="1:5" ht="28.5" x14ac:dyDescent="0.25">
      <c r="A56" s="41" t="s">
        <v>85</v>
      </c>
      <c r="B56" s="46" t="s">
        <v>90</v>
      </c>
      <c r="C56" s="53">
        <f>SUM(C57:C60)</f>
        <v>12909266</v>
      </c>
      <c r="D56" s="60">
        <f t="shared" ref="D56:E56" si="14">SUM(D57:D60)</f>
        <v>4566367</v>
      </c>
      <c r="E56" s="53">
        <f t="shared" si="14"/>
        <v>17475633</v>
      </c>
    </row>
    <row r="57" spans="1:5" ht="30" x14ac:dyDescent="0.25">
      <c r="A57" s="38" t="s">
        <v>86</v>
      </c>
      <c r="B57" s="50" t="s">
        <v>90</v>
      </c>
      <c r="C57" s="55">
        <f>9435577+54577+31552</f>
        <v>9521706</v>
      </c>
      <c r="D57" s="57">
        <v>4084342</v>
      </c>
      <c r="E57" s="55">
        <f>C57+D57</f>
        <v>13606048</v>
      </c>
    </row>
    <row r="58" spans="1:5" ht="74.25" customHeight="1" x14ac:dyDescent="0.25">
      <c r="A58" s="38" t="s">
        <v>87</v>
      </c>
      <c r="B58" s="50" t="s">
        <v>91</v>
      </c>
      <c r="C58" s="55">
        <f>565752+42175+242578</f>
        <v>850505</v>
      </c>
      <c r="D58" s="57">
        <v>482025</v>
      </c>
      <c r="E58" s="55">
        <f t="shared" ref="E58:E60" si="15">C58+D58</f>
        <v>1332530</v>
      </c>
    </row>
    <row r="59" spans="1:5" ht="30" customHeight="1" x14ac:dyDescent="0.25">
      <c r="A59" s="38" t="s">
        <v>88</v>
      </c>
      <c r="B59" s="50" t="s">
        <v>93</v>
      </c>
      <c r="C59" s="55">
        <v>2528491</v>
      </c>
      <c r="D59" s="57"/>
      <c r="E59" s="55">
        <f t="shared" si="15"/>
        <v>2528491</v>
      </c>
    </row>
    <row r="60" spans="1:5" ht="30" x14ac:dyDescent="0.25">
      <c r="A60" s="127" t="s">
        <v>89</v>
      </c>
      <c r="B60" s="128" t="s">
        <v>92</v>
      </c>
      <c r="C60" s="57">
        <f>3564+5000</f>
        <v>8564</v>
      </c>
      <c r="D60" s="57"/>
      <c r="E60" s="57">
        <f t="shared" si="15"/>
        <v>8564</v>
      </c>
    </row>
    <row r="61" spans="1:5" x14ac:dyDescent="0.25">
      <c r="A61" s="36" t="s">
        <v>94</v>
      </c>
      <c r="B61" s="46" t="s">
        <v>373</v>
      </c>
      <c r="C61" s="53">
        <f>C62</f>
        <v>748018</v>
      </c>
      <c r="D61" s="60">
        <f t="shared" ref="D61:E61" si="16">D62</f>
        <v>888</v>
      </c>
      <c r="E61" s="53">
        <f t="shared" si="16"/>
        <v>748906</v>
      </c>
    </row>
    <row r="62" spans="1:5" ht="30" x14ac:dyDescent="0.25">
      <c r="A62" s="38" t="s">
        <v>95</v>
      </c>
      <c r="B62" s="50" t="s">
        <v>96</v>
      </c>
      <c r="C62" s="55">
        <f>746084+1934</f>
        <v>748018</v>
      </c>
      <c r="D62" s="57">
        <v>888</v>
      </c>
      <c r="E62" s="55">
        <f>C62+D62</f>
        <v>748906</v>
      </c>
    </row>
    <row r="63" spans="1:5" ht="28.5" x14ac:dyDescent="0.25">
      <c r="A63" s="39"/>
      <c r="B63" s="19" t="s">
        <v>97</v>
      </c>
      <c r="C63" s="52">
        <f>C64</f>
        <v>1808111</v>
      </c>
      <c r="D63" s="52">
        <f t="shared" ref="D63:E63" si="17">D64</f>
        <v>47167</v>
      </c>
      <c r="E63" s="52">
        <f t="shared" si="17"/>
        <v>1855278</v>
      </c>
    </row>
    <row r="64" spans="1:5" x14ac:dyDescent="0.25">
      <c r="A64" s="36" t="s">
        <v>98</v>
      </c>
      <c r="B64" s="46" t="s">
        <v>99</v>
      </c>
      <c r="C64" s="53">
        <f>C65+C68+C74</f>
        <v>1808111</v>
      </c>
      <c r="D64" s="53">
        <f t="shared" ref="D64:E64" si="18">D65+D68+D74</f>
        <v>47167</v>
      </c>
      <c r="E64" s="53">
        <f t="shared" si="18"/>
        <v>1855278</v>
      </c>
    </row>
    <row r="65" spans="1:5" ht="28.5" x14ac:dyDescent="0.25">
      <c r="A65" s="129" t="s">
        <v>100</v>
      </c>
      <c r="B65" s="130" t="s">
        <v>101</v>
      </c>
      <c r="C65" s="60">
        <f>C66+C67</f>
        <v>223536</v>
      </c>
      <c r="D65" s="60">
        <f>D66+D67</f>
        <v>0</v>
      </c>
      <c r="E65" s="60">
        <f>C65+D65</f>
        <v>223536</v>
      </c>
    </row>
    <row r="66" spans="1:5" ht="45" x14ac:dyDescent="0.25">
      <c r="A66" s="127" t="s">
        <v>443</v>
      </c>
      <c r="B66" s="128" t="s">
        <v>444</v>
      </c>
      <c r="C66" s="57">
        <v>6346</v>
      </c>
      <c r="D66" s="57"/>
      <c r="E66" s="57">
        <f>C66+D66</f>
        <v>6346</v>
      </c>
    </row>
    <row r="67" spans="1:5" ht="82.5" customHeight="1" x14ac:dyDescent="0.25">
      <c r="A67" s="127" t="s">
        <v>804</v>
      </c>
      <c r="B67" s="128" t="s">
        <v>805</v>
      </c>
      <c r="C67" s="57">
        <v>217190</v>
      </c>
      <c r="D67" s="57"/>
      <c r="E67" s="57">
        <f>C67+D67</f>
        <v>217190</v>
      </c>
    </row>
    <row r="68" spans="1:5" ht="28.5" x14ac:dyDescent="0.25">
      <c r="A68" s="41" t="s">
        <v>102</v>
      </c>
      <c r="B68" s="46" t="s">
        <v>103</v>
      </c>
      <c r="C68" s="53">
        <f>SUM(C69:C73)</f>
        <v>1467331</v>
      </c>
      <c r="D68" s="53">
        <f t="shared" ref="D68:E68" si="19">SUM(D69:D73)</f>
        <v>45315</v>
      </c>
      <c r="E68" s="53">
        <f t="shared" si="19"/>
        <v>1512646</v>
      </c>
    </row>
    <row r="69" spans="1:5" ht="46.5" hidden="1" customHeight="1" x14ac:dyDescent="0.25">
      <c r="A69" s="37" t="s">
        <v>104</v>
      </c>
      <c r="B69" s="49" t="s">
        <v>110</v>
      </c>
      <c r="C69" s="54"/>
      <c r="D69" s="54"/>
      <c r="E69" s="54">
        <f>C69+D69</f>
        <v>0</v>
      </c>
    </row>
    <row r="70" spans="1:5" x14ac:dyDescent="0.25">
      <c r="A70" s="38" t="s">
        <v>105</v>
      </c>
      <c r="B70" s="50" t="s">
        <v>111</v>
      </c>
      <c r="C70" s="55">
        <f>275181+150</f>
        <v>275331</v>
      </c>
      <c r="D70" s="57"/>
      <c r="E70" s="55">
        <f t="shared" ref="E70:E73" si="20">C70+D70</f>
        <v>275331</v>
      </c>
    </row>
    <row r="71" spans="1:5" ht="31.5" customHeight="1" x14ac:dyDescent="0.25">
      <c r="A71" s="38" t="s">
        <v>106</v>
      </c>
      <c r="B71" s="50" t="s">
        <v>114</v>
      </c>
      <c r="C71" s="55">
        <v>500</v>
      </c>
      <c r="D71" s="57"/>
      <c r="E71" s="55">
        <f t="shared" si="20"/>
        <v>500</v>
      </c>
    </row>
    <row r="72" spans="1:5" x14ac:dyDescent="0.25">
      <c r="A72" s="38" t="s">
        <v>107</v>
      </c>
      <c r="B72" s="50" t="s">
        <v>112</v>
      </c>
      <c r="C72" s="55">
        <v>421429</v>
      </c>
      <c r="D72" s="57"/>
      <c r="E72" s="55">
        <f t="shared" si="20"/>
        <v>421429</v>
      </c>
    </row>
    <row r="73" spans="1:5" ht="30" x14ac:dyDescent="0.25">
      <c r="A73" s="38" t="s">
        <v>108</v>
      </c>
      <c r="B73" s="50" t="s">
        <v>374</v>
      </c>
      <c r="C73" s="55">
        <f>697423+52000+20648</f>
        <v>770071</v>
      </c>
      <c r="D73" s="126">
        <v>45315</v>
      </c>
      <c r="E73" s="55">
        <f t="shared" si="20"/>
        <v>815386</v>
      </c>
    </row>
    <row r="74" spans="1:5" ht="15.75" customHeight="1" x14ac:dyDescent="0.25">
      <c r="A74" s="41" t="s">
        <v>109</v>
      </c>
      <c r="B74" s="46" t="s">
        <v>113</v>
      </c>
      <c r="C74" s="53">
        <f>67836+49301+107</f>
        <v>117244</v>
      </c>
      <c r="D74" s="60">
        <v>1852</v>
      </c>
      <c r="E74" s="53">
        <f>C74+D74</f>
        <v>119096</v>
      </c>
    </row>
    <row r="75" spans="1:5" ht="18.75" x14ac:dyDescent="0.25">
      <c r="A75" s="44"/>
      <c r="B75" s="20" t="s">
        <v>115</v>
      </c>
      <c r="C75" s="51">
        <f>C76+C77</f>
        <v>11512091</v>
      </c>
      <c r="D75" s="51">
        <f t="shared" ref="D75:E75" si="21">D76+D77</f>
        <v>-607412</v>
      </c>
      <c r="E75" s="51">
        <f t="shared" si="21"/>
        <v>10904679</v>
      </c>
    </row>
    <row r="76" spans="1:5" x14ac:dyDescent="0.25">
      <c r="A76" s="45" t="s">
        <v>116</v>
      </c>
      <c r="B76" s="48" t="s">
        <v>118</v>
      </c>
      <c r="C76" s="55">
        <v>4976210</v>
      </c>
      <c r="D76" s="55"/>
      <c r="E76" s="55">
        <f>C76+D76</f>
        <v>4976210</v>
      </c>
    </row>
    <row r="77" spans="1:5" x14ac:dyDescent="0.25">
      <c r="A77" s="45" t="s">
        <v>117</v>
      </c>
      <c r="B77" s="48" t="s">
        <v>119</v>
      </c>
      <c r="C77" s="55">
        <f>321558+2836043+3378280</f>
        <v>6535881</v>
      </c>
      <c r="D77" s="57">
        <v>-607412</v>
      </c>
      <c r="E77" s="55">
        <f>C77+D77</f>
        <v>5928469</v>
      </c>
    </row>
    <row r="78" spans="1:5" ht="18.75" x14ac:dyDescent="0.3">
      <c r="A78" s="10"/>
      <c r="B78" s="20" t="s">
        <v>120</v>
      </c>
      <c r="C78" s="51">
        <f>C9+C75</f>
        <v>68659722</v>
      </c>
      <c r="D78" s="51">
        <f>D9+D75</f>
        <v>4072742</v>
      </c>
      <c r="E78" s="51">
        <f>E9+E75</f>
        <v>72732464</v>
      </c>
    </row>
    <row r="81" spans="1:5" ht="18.75" x14ac:dyDescent="0.3">
      <c r="A81" s="17" t="s">
        <v>126</v>
      </c>
      <c r="B81" s="18"/>
      <c r="C81" s="17"/>
      <c r="D81" s="17"/>
      <c r="E81" s="17" t="s">
        <v>127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4" workbookViewId="0">
      <selection activeCell="D29" sqref="D29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4.28515625" style="1" customWidth="1"/>
    <col min="9" max="16384" width="9.140625" style="1"/>
  </cols>
  <sheetData>
    <row r="1" spans="1:10" x14ac:dyDescent="0.25">
      <c r="A1" s="1" t="s">
        <v>0</v>
      </c>
      <c r="G1" s="363" t="s">
        <v>152</v>
      </c>
      <c r="H1" s="363"/>
      <c r="J1" s="2"/>
    </row>
    <row r="2" spans="1:10" x14ac:dyDescent="0.25">
      <c r="F2" s="363" t="s">
        <v>391</v>
      </c>
      <c r="G2" s="363"/>
      <c r="H2" s="363"/>
      <c r="I2" s="6"/>
      <c r="J2" s="2"/>
    </row>
    <row r="3" spans="1:10" x14ac:dyDescent="0.25">
      <c r="H3" s="348" t="s">
        <v>806</v>
      </c>
      <c r="I3" s="16"/>
      <c r="J3" s="16"/>
    </row>
    <row r="5" spans="1:10" ht="18.75" x14ac:dyDescent="0.3">
      <c r="A5" s="367" t="s">
        <v>415</v>
      </c>
      <c r="B5" s="367"/>
      <c r="C5" s="367"/>
      <c r="D5" s="367"/>
      <c r="E5" s="367"/>
      <c r="F5" s="367"/>
      <c r="G5" s="367"/>
      <c r="H5" s="367"/>
    </row>
    <row r="6" spans="1:10" x14ac:dyDescent="0.25">
      <c r="A6" s="368" t="s">
        <v>129</v>
      </c>
      <c r="B6" s="368"/>
      <c r="C6" s="368"/>
      <c r="D6" s="368"/>
      <c r="E6" s="368"/>
      <c r="F6" s="368"/>
      <c r="G6" s="368"/>
      <c r="H6" s="368"/>
    </row>
    <row r="7" spans="1:10" x14ac:dyDescent="0.25">
      <c r="H7" s="27" t="s">
        <v>12</v>
      </c>
    </row>
    <row r="8" spans="1:10" s="3" customFormat="1" ht="15" customHeight="1" x14ac:dyDescent="0.2">
      <c r="A8" s="365" t="s">
        <v>5</v>
      </c>
      <c r="B8" s="365" t="s">
        <v>122</v>
      </c>
      <c r="C8" s="365" t="s">
        <v>416</v>
      </c>
      <c r="D8" s="364" t="s">
        <v>4</v>
      </c>
      <c r="E8" s="364"/>
      <c r="F8" s="364"/>
      <c r="G8" s="364"/>
      <c r="H8" s="366" t="s">
        <v>807</v>
      </c>
    </row>
    <row r="9" spans="1:10" s="3" customFormat="1" ht="42.75" x14ac:dyDescent="0.2">
      <c r="A9" s="365"/>
      <c r="B9" s="365"/>
      <c r="C9" s="365"/>
      <c r="D9" s="7" t="s">
        <v>124</v>
      </c>
      <c r="E9" s="7" t="s">
        <v>125</v>
      </c>
      <c r="F9" s="7" t="s">
        <v>84</v>
      </c>
      <c r="G9" s="7" t="s">
        <v>156</v>
      </c>
      <c r="H9" s="366"/>
    </row>
    <row r="10" spans="1:10" ht="37.5" x14ac:dyDescent="0.3">
      <c r="A10" s="8"/>
      <c r="B10" s="20" t="s">
        <v>128</v>
      </c>
      <c r="C10" s="61">
        <f>SUM(C11:C19)</f>
        <v>61485391</v>
      </c>
      <c r="D10" s="61">
        <f t="shared" ref="D10:G10" si="0">SUM(D11:D19)</f>
        <v>296602</v>
      </c>
      <c r="E10" s="61">
        <f t="shared" si="0"/>
        <v>47167</v>
      </c>
      <c r="F10" s="61">
        <f t="shared" si="0"/>
        <v>4570404</v>
      </c>
      <c r="G10" s="61">
        <f t="shared" si="0"/>
        <v>888</v>
      </c>
      <c r="H10" s="61">
        <f>C10+D10+E10+F10+G10</f>
        <v>66400452</v>
      </c>
    </row>
    <row r="11" spans="1:10" x14ac:dyDescent="0.25">
      <c r="A11" s="45" t="s">
        <v>130</v>
      </c>
      <c r="B11" s="13" t="s">
        <v>139</v>
      </c>
      <c r="C11" s="62">
        <v>5836125</v>
      </c>
      <c r="D11" s="62">
        <f>'3.pielikums'!E12</f>
        <v>64209</v>
      </c>
      <c r="E11" s="62">
        <f>'3.pielikums'!G12</f>
        <v>0</v>
      </c>
      <c r="F11" s="62">
        <f>'3.pielikums'!I12</f>
        <v>1411</v>
      </c>
      <c r="G11" s="62">
        <f>'3.pielikums'!K12</f>
        <v>0</v>
      </c>
      <c r="H11" s="63">
        <f t="shared" ref="H11:H29" si="1">C11+D11+E11+F11+G11</f>
        <v>5901745</v>
      </c>
    </row>
    <row r="12" spans="1:10" x14ac:dyDescent="0.25">
      <c r="A12" s="45" t="s">
        <v>131</v>
      </c>
      <c r="B12" s="13" t="s">
        <v>140</v>
      </c>
      <c r="C12" s="62">
        <v>3155335</v>
      </c>
      <c r="D12" s="62">
        <f>'3.pielikums'!E31</f>
        <v>0</v>
      </c>
      <c r="E12" s="62">
        <f>'3.pielikums'!G31</f>
        <v>0</v>
      </c>
      <c r="F12" s="62">
        <f>'3.pielikums'!I31</f>
        <v>0</v>
      </c>
      <c r="G12" s="62">
        <f>'3.pielikums'!K31</f>
        <v>0</v>
      </c>
      <c r="H12" s="63">
        <f t="shared" si="1"/>
        <v>3155335</v>
      </c>
    </row>
    <row r="13" spans="1:10" x14ac:dyDescent="0.25">
      <c r="A13" s="45" t="s">
        <v>132</v>
      </c>
      <c r="B13" s="13" t="s">
        <v>141</v>
      </c>
      <c r="C13" s="62">
        <v>4420527</v>
      </c>
      <c r="D13" s="62">
        <f>'3.pielikums'!E36</f>
        <v>187034</v>
      </c>
      <c r="E13" s="62">
        <f>'3.pielikums'!G36</f>
        <v>0</v>
      </c>
      <c r="F13" s="62">
        <f>'3.pielikums'!I36</f>
        <v>198748</v>
      </c>
      <c r="G13" s="62">
        <f>'3.pielikums'!K36</f>
        <v>0</v>
      </c>
      <c r="H13" s="63">
        <f t="shared" si="1"/>
        <v>4806309</v>
      </c>
    </row>
    <row r="14" spans="1:10" x14ac:dyDescent="0.25">
      <c r="A14" s="45" t="s">
        <v>133</v>
      </c>
      <c r="B14" s="13" t="s">
        <v>142</v>
      </c>
      <c r="C14" s="62">
        <v>1844171</v>
      </c>
      <c r="D14" s="62">
        <f>'3.pielikums'!E50</f>
        <v>21580</v>
      </c>
      <c r="E14" s="62">
        <f>'3.pielikums'!G50</f>
        <v>0</v>
      </c>
      <c r="F14" s="62">
        <f>'3.pielikums'!I50</f>
        <v>0</v>
      </c>
      <c r="G14" s="62">
        <f>'3.pielikums'!K50</f>
        <v>888</v>
      </c>
      <c r="H14" s="63">
        <f t="shared" si="1"/>
        <v>1866639</v>
      </c>
    </row>
    <row r="15" spans="1:10" x14ac:dyDescent="0.25">
      <c r="A15" s="45" t="s">
        <v>134</v>
      </c>
      <c r="B15" s="13" t="s">
        <v>143</v>
      </c>
      <c r="C15" s="62">
        <v>5483988</v>
      </c>
      <c r="D15" s="62">
        <f>'3.pielikums'!E60</f>
        <v>-25668</v>
      </c>
      <c r="E15" s="62">
        <f>'3.pielikums'!G60</f>
        <v>0</v>
      </c>
      <c r="F15" s="62">
        <f>'3.pielikums'!I60</f>
        <v>-146030</v>
      </c>
      <c r="G15" s="62">
        <f>'3.pielikums'!K60</f>
        <v>0</v>
      </c>
      <c r="H15" s="63">
        <f t="shared" si="1"/>
        <v>5312290</v>
      </c>
    </row>
    <row r="16" spans="1:10" x14ac:dyDescent="0.25">
      <c r="A16" s="45" t="s">
        <v>135</v>
      </c>
      <c r="B16" s="13" t="s">
        <v>144</v>
      </c>
      <c r="C16" s="62">
        <v>166629</v>
      </c>
      <c r="D16" s="62">
        <f>'3.pielikums'!E70</f>
        <v>0</v>
      </c>
      <c r="E16" s="62">
        <f>'3.pielikums'!G70</f>
        <v>0</v>
      </c>
      <c r="F16" s="62">
        <f>'3.pielikums'!I70</f>
        <v>11424</v>
      </c>
      <c r="G16" s="62">
        <f>'3.pielikums'!K70</f>
        <v>0</v>
      </c>
      <c r="H16" s="63">
        <f t="shared" si="1"/>
        <v>178053</v>
      </c>
    </row>
    <row r="17" spans="1:8" x14ac:dyDescent="0.25">
      <c r="A17" s="45" t="s">
        <v>26</v>
      </c>
      <c r="B17" s="13" t="s">
        <v>145</v>
      </c>
      <c r="C17" s="62">
        <v>6669540</v>
      </c>
      <c r="D17" s="62">
        <f>'3.pielikums'!E76</f>
        <v>21947</v>
      </c>
      <c r="E17" s="62">
        <f>'3.pielikums'!G76</f>
        <v>14133</v>
      </c>
      <c r="F17" s="62">
        <f>'3.pielikums'!I76</f>
        <v>150000</v>
      </c>
      <c r="G17" s="62">
        <f>'3.pielikums'!K76</f>
        <v>0</v>
      </c>
      <c r="H17" s="63">
        <f t="shared" si="1"/>
        <v>6855620</v>
      </c>
    </row>
    <row r="18" spans="1:8" x14ac:dyDescent="0.25">
      <c r="A18" s="45" t="s">
        <v>30</v>
      </c>
      <c r="B18" s="13" t="s">
        <v>146</v>
      </c>
      <c r="C18" s="62">
        <v>29240535</v>
      </c>
      <c r="D18" s="62">
        <f>'3.pielikums'!E104</f>
        <v>3500</v>
      </c>
      <c r="E18" s="62">
        <f>'3.pielikums'!G104</f>
        <v>33034</v>
      </c>
      <c r="F18" s="62">
        <f>'3.pielikums'!I104</f>
        <v>4350814</v>
      </c>
      <c r="G18" s="62">
        <f>'3.pielikums'!K104</f>
        <v>0</v>
      </c>
      <c r="H18" s="63">
        <f t="shared" si="1"/>
        <v>33627883</v>
      </c>
    </row>
    <row r="19" spans="1:8" x14ac:dyDescent="0.25">
      <c r="A19" s="45" t="s">
        <v>57</v>
      </c>
      <c r="B19" s="13" t="s">
        <v>147</v>
      </c>
      <c r="C19" s="62">
        <v>4668541</v>
      </c>
      <c r="D19" s="62">
        <f>'3.pielikums'!E136</f>
        <v>24000</v>
      </c>
      <c r="E19" s="62">
        <f>'3.pielikums'!G136</f>
        <v>0</v>
      </c>
      <c r="F19" s="62">
        <f>'3.pielikums'!I136</f>
        <v>4037</v>
      </c>
      <c r="G19" s="62">
        <f>'3.pielikums'!K136</f>
        <v>0</v>
      </c>
      <c r="H19" s="63">
        <f t="shared" si="1"/>
        <v>4696578</v>
      </c>
    </row>
    <row r="20" spans="1:8" ht="18.75" x14ac:dyDescent="0.3">
      <c r="A20" s="65"/>
      <c r="B20" s="21" t="s">
        <v>136</v>
      </c>
      <c r="C20" s="61">
        <f>C21+C22+C28</f>
        <v>7174331</v>
      </c>
      <c r="D20" s="61">
        <f>D21+D22+D28</f>
        <v>-842319</v>
      </c>
      <c r="E20" s="61">
        <f>E21+E22+E28</f>
        <v>0</v>
      </c>
      <c r="F20" s="61">
        <f>F21+F22+F28</f>
        <v>0</v>
      </c>
      <c r="G20" s="61">
        <f>G21+G22+G28</f>
        <v>0</v>
      </c>
      <c r="H20" s="61">
        <f t="shared" si="1"/>
        <v>6332012</v>
      </c>
    </row>
    <row r="21" spans="1:8" x14ac:dyDescent="0.25">
      <c r="A21" s="45" t="s">
        <v>137</v>
      </c>
      <c r="B21" s="45" t="s">
        <v>148</v>
      </c>
      <c r="C21" s="62">
        <v>4063462</v>
      </c>
      <c r="D21" s="62">
        <f>'3.pielikums'!E166</f>
        <v>0</v>
      </c>
      <c r="E21" s="62">
        <f>'3.pielikums'!G166</f>
        <v>0</v>
      </c>
      <c r="F21" s="62">
        <f>'3.pielikums'!I166</f>
        <v>0</v>
      </c>
      <c r="G21" s="62">
        <f>'3.pielikums'!K166</f>
        <v>0</v>
      </c>
      <c r="H21" s="63">
        <f t="shared" si="1"/>
        <v>4063462</v>
      </c>
    </row>
    <row r="22" spans="1:8" x14ac:dyDescent="0.25">
      <c r="A22" s="45" t="s">
        <v>138</v>
      </c>
      <c r="B22" s="48" t="s">
        <v>149</v>
      </c>
      <c r="C22" s="62">
        <f>SUM(C23:C27)</f>
        <v>2810869</v>
      </c>
      <c r="D22" s="62">
        <f>SUM(D23:D27)</f>
        <v>-666826</v>
      </c>
      <c r="E22" s="62">
        <f>SUM(E23:E27)</f>
        <v>0</v>
      </c>
      <c r="F22" s="62">
        <f>SUM(F23:F27)</f>
        <v>0</v>
      </c>
      <c r="G22" s="62">
        <f>SUM(G23:G27)</f>
        <v>0</v>
      </c>
      <c r="H22" s="63">
        <f t="shared" si="1"/>
        <v>2144043</v>
      </c>
    </row>
    <row r="23" spans="1:8" x14ac:dyDescent="0.25">
      <c r="A23" s="45"/>
      <c r="B23" s="26" t="s">
        <v>756</v>
      </c>
      <c r="C23" s="66">
        <v>40000</v>
      </c>
      <c r="D23" s="66">
        <f>'3.pielikums'!E168</f>
        <v>0</v>
      </c>
      <c r="E23" s="66">
        <f>'3.pielikums'!G168</f>
        <v>0</v>
      </c>
      <c r="F23" s="66">
        <f>'3.pielikums'!I168</f>
        <v>0</v>
      </c>
      <c r="G23" s="66">
        <f>'3.pielikums'!K168</f>
        <v>0</v>
      </c>
      <c r="H23" s="67">
        <f t="shared" si="1"/>
        <v>40000</v>
      </c>
    </row>
    <row r="24" spans="1:8" x14ac:dyDescent="0.25">
      <c r="A24" s="45"/>
      <c r="B24" s="26" t="s">
        <v>426</v>
      </c>
      <c r="C24" s="66">
        <v>2165586</v>
      </c>
      <c r="D24" s="66">
        <f>'3.pielikums'!E169</f>
        <v>-669127</v>
      </c>
      <c r="E24" s="66">
        <f>'3.pielikums'!G169</f>
        <v>0</v>
      </c>
      <c r="F24" s="66">
        <f>'3.pielikums'!I169</f>
        <v>0</v>
      </c>
      <c r="G24" s="66">
        <f>'3.pielikums'!K169</f>
        <v>0</v>
      </c>
      <c r="H24" s="67">
        <f t="shared" si="1"/>
        <v>1496459</v>
      </c>
    </row>
    <row r="25" spans="1:8" x14ac:dyDescent="0.25">
      <c r="A25" s="45"/>
      <c r="B25" s="26" t="s">
        <v>427</v>
      </c>
      <c r="C25" s="66">
        <v>517943</v>
      </c>
      <c r="D25" s="66">
        <f>'3.pielikums'!E170</f>
        <v>2301</v>
      </c>
      <c r="E25" s="66">
        <f>'3.pielikums'!G170</f>
        <v>0</v>
      </c>
      <c r="F25" s="66">
        <f>'3.pielikums'!I170</f>
        <v>0</v>
      </c>
      <c r="G25" s="66">
        <f>'3.pielikums'!K170</f>
        <v>0</v>
      </c>
      <c r="H25" s="67">
        <f t="shared" si="1"/>
        <v>520244</v>
      </c>
    </row>
    <row r="26" spans="1:8" x14ac:dyDescent="0.25">
      <c r="A26" s="45"/>
      <c r="B26" s="26" t="s">
        <v>425</v>
      </c>
      <c r="C26" s="66">
        <v>37340</v>
      </c>
      <c r="D26" s="66">
        <f>'3.pielikums'!E171</f>
        <v>0</v>
      </c>
      <c r="E26" s="66">
        <f>'3.pielikums'!G171</f>
        <v>0</v>
      </c>
      <c r="F26" s="66">
        <f>'3.pielikums'!I171</f>
        <v>0</v>
      </c>
      <c r="G26" s="66">
        <f>'3.pielikums'!K171</f>
        <v>0</v>
      </c>
      <c r="H26" s="67">
        <f t="shared" si="1"/>
        <v>37340</v>
      </c>
    </row>
    <row r="27" spans="1:8" x14ac:dyDescent="0.25">
      <c r="A27" s="45"/>
      <c r="B27" s="26" t="s">
        <v>424</v>
      </c>
      <c r="C27" s="66">
        <v>50000</v>
      </c>
      <c r="D27" s="66">
        <f>'3.pielikums'!E172</f>
        <v>0</v>
      </c>
      <c r="E27" s="66">
        <f>'3.pielikums'!G172</f>
        <v>0</v>
      </c>
      <c r="F27" s="66">
        <f>'3.pielikums'!I172</f>
        <v>0</v>
      </c>
      <c r="G27" s="66">
        <f>'3.pielikums'!K172</f>
        <v>0</v>
      </c>
      <c r="H27" s="67">
        <f t="shared" si="1"/>
        <v>50000</v>
      </c>
    </row>
    <row r="28" spans="1:8" x14ac:dyDescent="0.25">
      <c r="A28" s="45" t="s">
        <v>116</v>
      </c>
      <c r="B28" s="64" t="s">
        <v>151</v>
      </c>
      <c r="C28" s="62">
        <v>300000</v>
      </c>
      <c r="D28" s="62">
        <f>'3.pielikums'!E173</f>
        <v>-175493</v>
      </c>
      <c r="E28" s="62">
        <f>'3.pielikums'!G173</f>
        <v>0</v>
      </c>
      <c r="F28" s="62">
        <f>'3.pielikums'!I173</f>
        <v>0</v>
      </c>
      <c r="G28" s="62">
        <f>'3.pielikums'!K173</f>
        <v>0</v>
      </c>
      <c r="H28" s="63">
        <f t="shared" si="1"/>
        <v>124507</v>
      </c>
    </row>
    <row r="29" spans="1:8" ht="18.75" x14ac:dyDescent="0.3">
      <c r="A29" s="10"/>
      <c r="B29" s="21" t="s">
        <v>150</v>
      </c>
      <c r="C29" s="61">
        <f>C10+C20</f>
        <v>68659722</v>
      </c>
      <c r="D29" s="61">
        <f t="shared" ref="D29:G29" si="2">D10+D20</f>
        <v>-545717</v>
      </c>
      <c r="E29" s="61">
        <f t="shared" si="2"/>
        <v>47167</v>
      </c>
      <c r="F29" s="61">
        <f t="shared" si="2"/>
        <v>4570404</v>
      </c>
      <c r="G29" s="61">
        <f t="shared" si="2"/>
        <v>888</v>
      </c>
      <c r="H29" s="61">
        <f t="shared" si="1"/>
        <v>72732464</v>
      </c>
    </row>
    <row r="31" spans="1:8" ht="18.75" x14ac:dyDescent="0.3">
      <c r="A31" s="17" t="s">
        <v>126</v>
      </c>
      <c r="H31" s="17" t="s">
        <v>127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workbookViewId="0">
      <pane ySplit="10" topLeftCell="A166" activePane="bottomLeft" state="frozen"/>
      <selection pane="bottomLeft" activeCell="E168" sqref="E168:E173"/>
    </sheetView>
  </sheetViews>
  <sheetFormatPr defaultColWidth="9.140625" defaultRowHeight="15" x14ac:dyDescent="0.25"/>
  <cols>
    <col min="1" max="1" width="10.5703125" style="1" customWidth="1"/>
    <col min="2" max="2" width="35.28515625" style="4" customWidth="1"/>
    <col min="3" max="3" width="11.42578125" style="1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363" t="s">
        <v>157</v>
      </c>
      <c r="L1" s="363"/>
    </row>
    <row r="2" spans="1:12" x14ac:dyDescent="0.25">
      <c r="H2" s="363" t="s">
        <v>391</v>
      </c>
      <c r="I2" s="363"/>
      <c r="J2" s="363"/>
      <c r="K2" s="363"/>
      <c r="L2" s="363"/>
    </row>
    <row r="3" spans="1:12" x14ac:dyDescent="0.25">
      <c r="L3" s="348" t="s">
        <v>808</v>
      </c>
    </row>
    <row r="5" spans="1:12" ht="18.75" x14ac:dyDescent="0.3">
      <c r="A5" s="367" t="s">
        <v>415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</row>
    <row r="6" spans="1:12" x14ac:dyDescent="0.25">
      <c r="A6" s="368" t="s">
        <v>153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</row>
    <row r="7" spans="1:12" x14ac:dyDescent="0.25">
      <c r="L7" s="27" t="s">
        <v>12</v>
      </c>
    </row>
    <row r="8" spans="1:12" s="4" customFormat="1" x14ac:dyDescent="0.25">
      <c r="A8" s="371" t="s">
        <v>5</v>
      </c>
      <c r="B8" s="371" t="s">
        <v>122</v>
      </c>
      <c r="C8" s="371" t="s">
        <v>416</v>
      </c>
      <c r="D8" s="371" t="s">
        <v>123</v>
      </c>
      <c r="E8" s="371"/>
      <c r="F8" s="371"/>
      <c r="G8" s="371"/>
      <c r="H8" s="371"/>
      <c r="I8" s="371"/>
      <c r="J8" s="371"/>
      <c r="K8" s="371"/>
      <c r="L8" s="371"/>
    </row>
    <row r="9" spans="1:12" s="4" customFormat="1" ht="48" x14ac:dyDescent="0.25">
      <c r="A9" s="371"/>
      <c r="B9" s="371"/>
      <c r="C9" s="371"/>
      <c r="D9" s="23" t="s">
        <v>124</v>
      </c>
      <c r="E9" s="24" t="s">
        <v>154</v>
      </c>
      <c r="F9" s="23" t="s">
        <v>125</v>
      </c>
      <c r="G9" s="24" t="s">
        <v>159</v>
      </c>
      <c r="H9" s="23" t="s">
        <v>84</v>
      </c>
      <c r="I9" s="24" t="s">
        <v>155</v>
      </c>
      <c r="J9" s="23" t="s">
        <v>156</v>
      </c>
      <c r="K9" s="24" t="s">
        <v>158</v>
      </c>
      <c r="L9" s="23" t="s">
        <v>417</v>
      </c>
    </row>
    <row r="10" spans="1:12" x14ac:dyDescent="0.25">
      <c r="A10" s="68">
        <v>1</v>
      </c>
      <c r="B10" s="69">
        <v>2</v>
      </c>
      <c r="C10" s="70"/>
      <c r="D10" s="70">
        <v>4</v>
      </c>
      <c r="E10" s="70">
        <v>5</v>
      </c>
      <c r="F10" s="70">
        <v>6</v>
      </c>
      <c r="G10" s="70">
        <v>7</v>
      </c>
      <c r="H10" s="70">
        <v>8</v>
      </c>
      <c r="I10" s="70">
        <v>9</v>
      </c>
      <c r="J10" s="70">
        <v>10</v>
      </c>
      <c r="K10" s="70">
        <v>11</v>
      </c>
      <c r="L10" s="70">
        <v>12</v>
      </c>
    </row>
    <row r="11" spans="1:12" ht="28.5" x14ac:dyDescent="0.25">
      <c r="A11" s="71"/>
      <c r="B11" s="19" t="s">
        <v>128</v>
      </c>
      <c r="C11" s="52">
        <f>SUM(D11:L11)</f>
        <v>66400452</v>
      </c>
      <c r="D11" s="72">
        <f>D12+D31+D36+D50+D60+D70+D76+D104+D136</f>
        <v>45030208</v>
      </c>
      <c r="E11" s="72">
        <f>E12+E31+E36+E50+E60+E70+E76+E104+E136</f>
        <v>296602</v>
      </c>
      <c r="F11" s="52">
        <f t="shared" ref="F11:L11" si="0">F12+F31+F36+F50+F60+F70+F76+F104+F136</f>
        <v>1869661</v>
      </c>
      <c r="G11" s="72">
        <f t="shared" si="0"/>
        <v>47167</v>
      </c>
      <c r="H11" s="52">
        <f t="shared" si="0"/>
        <v>10396265</v>
      </c>
      <c r="I11" s="72">
        <f t="shared" si="0"/>
        <v>4570404</v>
      </c>
      <c r="J11" s="52">
        <f t="shared" si="0"/>
        <v>748018</v>
      </c>
      <c r="K11" s="72">
        <f t="shared" si="0"/>
        <v>888</v>
      </c>
      <c r="L11" s="52">
        <f t="shared" si="0"/>
        <v>3441239</v>
      </c>
    </row>
    <row r="12" spans="1:12" x14ac:dyDescent="0.25">
      <c r="A12" s="73" t="s">
        <v>130</v>
      </c>
      <c r="B12" s="74" t="s">
        <v>139</v>
      </c>
      <c r="C12" s="75">
        <f>SUM(D12:L12)</f>
        <v>5901745</v>
      </c>
      <c r="D12" s="75">
        <f>D13+D17+D21+D24+D25+D26+D30</f>
        <v>4641992</v>
      </c>
      <c r="E12" s="76">
        <f>E13+E17+E21+E24+E25+E26+E30</f>
        <v>64209</v>
      </c>
      <c r="F12" s="75">
        <f t="shared" ref="F12:L12" si="1">F13+F17+F21+F24+F25+F26+F30</f>
        <v>301190</v>
      </c>
      <c r="G12" s="76">
        <f t="shared" si="1"/>
        <v>0</v>
      </c>
      <c r="H12" s="75">
        <f t="shared" si="1"/>
        <v>20064</v>
      </c>
      <c r="I12" s="76">
        <f t="shared" si="1"/>
        <v>1411</v>
      </c>
      <c r="J12" s="75">
        <f t="shared" si="1"/>
        <v>667007</v>
      </c>
      <c r="K12" s="76">
        <f t="shared" si="1"/>
        <v>0</v>
      </c>
      <c r="L12" s="75">
        <f t="shared" si="1"/>
        <v>205872</v>
      </c>
    </row>
    <row r="13" spans="1:12" ht="25.5" x14ac:dyDescent="0.25">
      <c r="A13" s="77" t="s">
        <v>6</v>
      </c>
      <c r="B13" s="78" t="s">
        <v>160</v>
      </c>
      <c r="C13" s="79">
        <f>SUM(D13:L13)</f>
        <v>3737392</v>
      </c>
      <c r="D13" s="79">
        <f>SUM(D14:D16)</f>
        <v>3396426</v>
      </c>
      <c r="E13" s="80">
        <f t="shared" ref="E13:L13" si="2">SUM(E14:E16)</f>
        <v>0</v>
      </c>
      <c r="F13" s="79">
        <f t="shared" si="2"/>
        <v>301190</v>
      </c>
      <c r="G13" s="80">
        <f t="shared" si="2"/>
        <v>0</v>
      </c>
      <c r="H13" s="79">
        <f t="shared" si="2"/>
        <v>4285</v>
      </c>
      <c r="I13" s="80">
        <f t="shared" si="2"/>
        <v>1411</v>
      </c>
      <c r="J13" s="79">
        <f t="shared" si="2"/>
        <v>0</v>
      </c>
      <c r="K13" s="80">
        <f t="shared" si="2"/>
        <v>0</v>
      </c>
      <c r="L13" s="79">
        <f t="shared" si="2"/>
        <v>34080</v>
      </c>
    </row>
    <row r="14" spans="1:12" x14ac:dyDescent="0.25">
      <c r="A14" s="81" t="s">
        <v>8</v>
      </c>
      <c r="B14" s="102" t="s">
        <v>161</v>
      </c>
      <c r="C14" s="82">
        <f>SUM(D14:L14)</f>
        <v>3475472</v>
      </c>
      <c r="D14" s="82">
        <v>3391426</v>
      </c>
      <c r="E14" s="83"/>
      <c r="F14" s="82">
        <v>84000</v>
      </c>
      <c r="G14" s="84"/>
      <c r="H14" s="82"/>
      <c r="I14" s="84"/>
      <c r="J14" s="82"/>
      <c r="K14" s="84"/>
      <c r="L14" s="82">
        <v>46</v>
      </c>
    </row>
    <row r="15" spans="1:12" ht="38.25" x14ac:dyDescent="0.25">
      <c r="A15" s="81" t="s">
        <v>162</v>
      </c>
      <c r="B15" s="102" t="s">
        <v>176</v>
      </c>
      <c r="C15" s="82">
        <f t="shared" ref="C15:C16" si="3">SUM(D15:L15)</f>
        <v>246956</v>
      </c>
      <c r="D15" s="82"/>
      <c r="E15" s="84"/>
      <c r="F15" s="82">
        <v>217190</v>
      </c>
      <c r="G15" s="84"/>
      <c r="H15" s="82"/>
      <c r="I15" s="84"/>
      <c r="J15" s="82"/>
      <c r="K15" s="84"/>
      <c r="L15" s="82">
        <v>29766</v>
      </c>
    </row>
    <row r="16" spans="1:12" ht="51" x14ac:dyDescent="0.25">
      <c r="A16" s="81" t="s">
        <v>163</v>
      </c>
      <c r="B16" s="102" t="s">
        <v>375</v>
      </c>
      <c r="C16" s="82">
        <f t="shared" si="3"/>
        <v>14964</v>
      </c>
      <c r="D16" s="82">
        <v>5000</v>
      </c>
      <c r="E16" s="83"/>
      <c r="F16" s="86"/>
      <c r="G16" s="83"/>
      <c r="H16" s="86">
        <f>2222+2063</f>
        <v>4285</v>
      </c>
      <c r="I16" s="83">
        <v>1411</v>
      </c>
      <c r="J16" s="82"/>
      <c r="K16" s="84"/>
      <c r="L16" s="82">
        <v>4268</v>
      </c>
    </row>
    <row r="17" spans="1:12" x14ac:dyDescent="0.25">
      <c r="A17" s="77" t="s">
        <v>164</v>
      </c>
      <c r="B17" s="78" t="s">
        <v>177</v>
      </c>
      <c r="C17" s="79">
        <f>SUM(D17:L17)</f>
        <v>322297</v>
      </c>
      <c r="D17" s="79">
        <f>SUM(D18:D20)</f>
        <v>322297</v>
      </c>
      <c r="E17" s="90">
        <f t="shared" ref="E17:L17" si="4">SUM(E18:E20)</f>
        <v>0</v>
      </c>
      <c r="F17" s="89">
        <f t="shared" si="4"/>
        <v>0</v>
      </c>
      <c r="G17" s="90">
        <f t="shared" si="4"/>
        <v>0</v>
      </c>
      <c r="H17" s="89">
        <f t="shared" si="4"/>
        <v>0</v>
      </c>
      <c r="I17" s="90">
        <f t="shared" si="4"/>
        <v>0</v>
      </c>
      <c r="J17" s="79">
        <f t="shared" si="4"/>
        <v>0</v>
      </c>
      <c r="K17" s="80">
        <f t="shared" si="4"/>
        <v>0</v>
      </c>
      <c r="L17" s="79">
        <f t="shared" si="4"/>
        <v>0</v>
      </c>
    </row>
    <row r="18" spans="1:12" ht="25.5" x14ac:dyDescent="0.25">
      <c r="A18" s="85" t="s">
        <v>165</v>
      </c>
      <c r="B18" s="102" t="s">
        <v>178</v>
      </c>
      <c r="C18" s="82">
        <f>SUM(D18:L18)</f>
        <v>50855</v>
      </c>
      <c r="D18" s="86">
        <f>43000+7855</f>
        <v>50855</v>
      </c>
      <c r="E18" s="83"/>
      <c r="F18" s="86"/>
      <c r="G18" s="83"/>
      <c r="H18" s="86"/>
      <c r="I18" s="83"/>
      <c r="J18" s="82"/>
      <c r="K18" s="84"/>
      <c r="L18" s="82"/>
    </row>
    <row r="19" spans="1:12" ht="27.75" customHeight="1" x14ac:dyDescent="0.25">
      <c r="A19" s="85" t="s">
        <v>166</v>
      </c>
      <c r="B19" s="102" t="s">
        <v>734</v>
      </c>
      <c r="C19" s="82">
        <f t="shared" ref="C19:C20" si="5">SUM(D19:L19)</f>
        <v>196332</v>
      </c>
      <c r="D19" s="86">
        <v>196332</v>
      </c>
      <c r="E19" s="83"/>
      <c r="F19" s="86"/>
      <c r="G19" s="83"/>
      <c r="H19" s="86"/>
      <c r="I19" s="83"/>
      <c r="J19" s="82"/>
      <c r="K19" s="84"/>
      <c r="L19" s="82"/>
    </row>
    <row r="20" spans="1:12" ht="38.25" x14ac:dyDescent="0.25">
      <c r="A20" s="85" t="s">
        <v>167</v>
      </c>
      <c r="B20" s="102" t="s">
        <v>179</v>
      </c>
      <c r="C20" s="82">
        <f t="shared" si="5"/>
        <v>75110</v>
      </c>
      <c r="D20" s="86">
        <v>75110</v>
      </c>
      <c r="E20" s="83"/>
      <c r="F20" s="86"/>
      <c r="G20" s="83"/>
      <c r="H20" s="86"/>
      <c r="I20" s="83"/>
      <c r="J20" s="82"/>
      <c r="K20" s="84"/>
      <c r="L20" s="82"/>
    </row>
    <row r="21" spans="1:12" x14ac:dyDescent="0.25">
      <c r="A21" s="87" t="s">
        <v>168</v>
      </c>
      <c r="B21" s="325" t="s">
        <v>799</v>
      </c>
      <c r="C21" s="79">
        <f>SUM(D21:L21)</f>
        <v>506188</v>
      </c>
      <c r="D21" s="89">
        <f t="shared" ref="D21:L21" si="6">SUM(D22:D23)</f>
        <v>428694</v>
      </c>
      <c r="E21" s="90">
        <f t="shared" si="6"/>
        <v>61715</v>
      </c>
      <c r="F21" s="89">
        <f t="shared" si="6"/>
        <v>0</v>
      </c>
      <c r="G21" s="90">
        <f t="shared" si="6"/>
        <v>0</v>
      </c>
      <c r="H21" s="89">
        <f t="shared" si="6"/>
        <v>15779</v>
      </c>
      <c r="I21" s="90">
        <f t="shared" si="6"/>
        <v>0</v>
      </c>
      <c r="J21" s="89">
        <f t="shared" si="6"/>
        <v>0</v>
      </c>
      <c r="K21" s="90">
        <f t="shared" si="6"/>
        <v>0</v>
      </c>
      <c r="L21" s="89">
        <f t="shared" si="6"/>
        <v>0</v>
      </c>
    </row>
    <row r="22" spans="1:12" ht="25.5" x14ac:dyDescent="0.25">
      <c r="A22" s="85" t="s">
        <v>798</v>
      </c>
      <c r="B22" s="102" t="s">
        <v>185</v>
      </c>
      <c r="C22" s="82">
        <f>SUM(D22:L22)</f>
        <v>428694</v>
      </c>
      <c r="D22" s="89">
        <v>428694</v>
      </c>
      <c r="E22" s="90"/>
      <c r="F22" s="89"/>
      <c r="G22" s="90"/>
      <c r="H22" s="89"/>
      <c r="I22" s="90"/>
      <c r="J22" s="79"/>
      <c r="K22" s="80"/>
      <c r="L22" s="79"/>
    </row>
    <row r="23" spans="1:12" ht="38.25" x14ac:dyDescent="0.25">
      <c r="A23" s="85" t="s">
        <v>800</v>
      </c>
      <c r="B23" s="102" t="s">
        <v>801</v>
      </c>
      <c r="C23" s="82">
        <f>SUM(D23:L23)</f>
        <v>77494</v>
      </c>
      <c r="D23" s="86"/>
      <c r="E23" s="83">
        <v>61715</v>
      </c>
      <c r="F23" s="86"/>
      <c r="G23" s="83"/>
      <c r="H23" s="86">
        <f>15779</f>
        <v>15779</v>
      </c>
      <c r="I23" s="83"/>
      <c r="J23" s="82"/>
      <c r="K23" s="84"/>
      <c r="L23" s="82"/>
    </row>
    <row r="24" spans="1:12" x14ac:dyDescent="0.25">
      <c r="A24" s="87" t="s">
        <v>169</v>
      </c>
      <c r="B24" s="88" t="s">
        <v>180</v>
      </c>
      <c r="C24" s="79">
        <f t="shared" ref="C24:C26" si="7">SUM(D24:L24)</f>
        <v>33940</v>
      </c>
      <c r="D24" s="89">
        <f>33000+940</f>
        <v>33940</v>
      </c>
      <c r="E24" s="90"/>
      <c r="F24" s="89"/>
      <c r="G24" s="90"/>
      <c r="H24" s="89"/>
      <c r="I24" s="90"/>
      <c r="J24" s="79"/>
      <c r="K24" s="80"/>
      <c r="L24" s="79"/>
    </row>
    <row r="25" spans="1:12" x14ac:dyDescent="0.25">
      <c r="A25" s="87" t="s">
        <v>170</v>
      </c>
      <c r="B25" s="88" t="s">
        <v>181</v>
      </c>
      <c r="C25" s="79">
        <f t="shared" si="7"/>
        <v>210000</v>
      </c>
      <c r="D25" s="89">
        <v>167177</v>
      </c>
      <c r="E25" s="90"/>
      <c r="F25" s="89"/>
      <c r="G25" s="90"/>
      <c r="H25" s="89"/>
      <c r="I25" s="90"/>
      <c r="J25" s="79"/>
      <c r="K25" s="80"/>
      <c r="L25" s="79">
        <v>42823</v>
      </c>
    </row>
    <row r="26" spans="1:12" ht="25.5" x14ac:dyDescent="0.25">
      <c r="A26" s="77" t="s">
        <v>171</v>
      </c>
      <c r="B26" s="78" t="s">
        <v>182</v>
      </c>
      <c r="C26" s="79">
        <f t="shared" si="7"/>
        <v>991928</v>
      </c>
      <c r="D26" s="89">
        <f>SUM(D27:D29)</f>
        <v>195952</v>
      </c>
      <c r="E26" s="90">
        <f t="shared" ref="E26:L26" si="8">SUM(E27:E29)</f>
        <v>0</v>
      </c>
      <c r="F26" s="89">
        <f t="shared" si="8"/>
        <v>0</v>
      </c>
      <c r="G26" s="90">
        <f t="shared" si="8"/>
        <v>0</v>
      </c>
      <c r="H26" s="89">
        <f t="shared" si="8"/>
        <v>0</v>
      </c>
      <c r="I26" s="90">
        <f t="shared" si="8"/>
        <v>0</v>
      </c>
      <c r="J26" s="79">
        <f t="shared" si="8"/>
        <v>667007</v>
      </c>
      <c r="K26" s="80">
        <f t="shared" si="8"/>
        <v>0</v>
      </c>
      <c r="L26" s="79">
        <f t="shared" si="8"/>
        <v>128969</v>
      </c>
    </row>
    <row r="27" spans="1:12" ht="25.5" x14ac:dyDescent="0.25">
      <c r="A27" s="85" t="s">
        <v>172</v>
      </c>
      <c r="B27" s="102" t="s">
        <v>376</v>
      </c>
      <c r="C27" s="82">
        <f>SUM(D27:L27)</f>
        <v>641318</v>
      </c>
      <c r="D27" s="86">
        <v>-154658</v>
      </c>
      <c r="E27" s="83"/>
      <c r="F27" s="86"/>
      <c r="G27" s="83"/>
      <c r="H27" s="86"/>
      <c r="I27" s="83"/>
      <c r="J27" s="82">
        <v>667007</v>
      </c>
      <c r="K27" s="84"/>
      <c r="L27" s="82">
        <v>128969</v>
      </c>
    </row>
    <row r="28" spans="1:12" ht="25.5" x14ac:dyDescent="0.25">
      <c r="A28" s="85" t="s">
        <v>173</v>
      </c>
      <c r="B28" s="102" t="s">
        <v>377</v>
      </c>
      <c r="C28" s="82">
        <f t="shared" ref="C28:C29" si="9">SUM(D28:L28)</f>
        <v>350610</v>
      </c>
      <c r="D28" s="86">
        <f>378610-28000</f>
        <v>350610</v>
      </c>
      <c r="E28" s="83"/>
      <c r="F28" s="86"/>
      <c r="G28" s="83"/>
      <c r="H28" s="86"/>
      <c r="I28" s="83"/>
      <c r="J28" s="82"/>
      <c r="K28" s="84"/>
      <c r="L28" s="82"/>
    </row>
    <row r="29" spans="1:12" ht="25.5" hidden="1" x14ac:dyDescent="0.25">
      <c r="A29" s="103" t="s">
        <v>174</v>
      </c>
      <c r="B29" s="104" t="s">
        <v>183</v>
      </c>
      <c r="C29" s="105">
        <f t="shared" si="9"/>
        <v>0</v>
      </c>
      <c r="D29" s="105"/>
      <c r="E29" s="83"/>
      <c r="F29" s="105"/>
      <c r="G29" s="106"/>
      <c r="H29" s="105"/>
      <c r="I29" s="106"/>
      <c r="J29" s="105"/>
      <c r="K29" s="106"/>
      <c r="L29" s="105"/>
    </row>
    <row r="30" spans="1:12" x14ac:dyDescent="0.25">
      <c r="A30" s="87" t="s">
        <v>175</v>
      </c>
      <c r="B30" s="88" t="s">
        <v>184</v>
      </c>
      <c r="C30" s="79">
        <f t="shared" ref="C30" si="10">SUM(D30:L30)</f>
        <v>100000</v>
      </c>
      <c r="D30" s="89">
        <f>258536-214374+53344</f>
        <v>97506</v>
      </c>
      <c r="E30" s="480">
        <f>278340-275846</f>
        <v>2494</v>
      </c>
      <c r="F30" s="89"/>
      <c r="G30" s="90"/>
      <c r="H30" s="79"/>
      <c r="I30" s="80"/>
      <c r="J30" s="79"/>
      <c r="K30" s="80"/>
      <c r="L30" s="79"/>
    </row>
    <row r="31" spans="1:12" x14ac:dyDescent="0.25">
      <c r="A31" s="73" t="s">
        <v>131</v>
      </c>
      <c r="B31" s="74" t="s">
        <v>140</v>
      </c>
      <c r="C31" s="75">
        <f t="shared" ref="C31:C38" si="11">SUM(D31:L31)</f>
        <v>3155335</v>
      </c>
      <c r="D31" s="75">
        <f>D32+D33</f>
        <v>2855276</v>
      </c>
      <c r="E31" s="76">
        <f t="shared" ref="E31:L31" si="12">E32+E33</f>
        <v>0</v>
      </c>
      <c r="F31" s="75">
        <f t="shared" si="12"/>
        <v>210300</v>
      </c>
      <c r="G31" s="76">
        <f t="shared" si="12"/>
        <v>0</v>
      </c>
      <c r="H31" s="75">
        <f t="shared" si="12"/>
        <v>34635</v>
      </c>
      <c r="I31" s="76">
        <f t="shared" si="12"/>
        <v>0</v>
      </c>
      <c r="J31" s="75">
        <f t="shared" si="12"/>
        <v>0</v>
      </c>
      <c r="K31" s="76">
        <f t="shared" si="12"/>
        <v>0</v>
      </c>
      <c r="L31" s="75">
        <f t="shared" si="12"/>
        <v>55124</v>
      </c>
    </row>
    <row r="32" spans="1:12" ht="27" x14ac:dyDescent="0.25">
      <c r="A32" s="87" t="s">
        <v>186</v>
      </c>
      <c r="B32" s="88" t="s">
        <v>735</v>
      </c>
      <c r="C32" s="79">
        <f t="shared" si="11"/>
        <v>2830332</v>
      </c>
      <c r="D32" s="79">
        <f>2564908-34635</f>
        <v>2530273</v>
      </c>
      <c r="E32" s="90"/>
      <c r="F32" s="79">
        <v>210300</v>
      </c>
      <c r="G32" s="80"/>
      <c r="H32" s="79">
        <v>34635</v>
      </c>
      <c r="I32" s="80"/>
      <c r="J32" s="79"/>
      <c r="K32" s="80"/>
      <c r="L32" s="79">
        <v>55124</v>
      </c>
    </row>
    <row r="33" spans="1:12" ht="25.5" x14ac:dyDescent="0.25">
      <c r="A33" s="77" t="s">
        <v>187</v>
      </c>
      <c r="B33" s="78" t="s">
        <v>190</v>
      </c>
      <c r="C33" s="79">
        <f t="shared" si="11"/>
        <v>325003</v>
      </c>
      <c r="D33" s="79">
        <f>SUM(D34:D35)</f>
        <v>325003</v>
      </c>
      <c r="E33" s="90">
        <f t="shared" ref="E33:L33" si="13">SUM(E34:E35)</f>
        <v>0</v>
      </c>
      <c r="F33" s="79">
        <f t="shared" si="13"/>
        <v>0</v>
      </c>
      <c r="G33" s="80">
        <f t="shared" si="13"/>
        <v>0</v>
      </c>
      <c r="H33" s="79">
        <f t="shared" si="13"/>
        <v>0</v>
      </c>
      <c r="I33" s="80">
        <f t="shared" si="13"/>
        <v>0</v>
      </c>
      <c r="J33" s="79">
        <f t="shared" si="13"/>
        <v>0</v>
      </c>
      <c r="K33" s="80">
        <f t="shared" si="13"/>
        <v>0</v>
      </c>
      <c r="L33" s="79">
        <f t="shared" si="13"/>
        <v>0</v>
      </c>
    </row>
    <row r="34" spans="1:12" ht="29.25" customHeight="1" x14ac:dyDescent="0.25">
      <c r="A34" s="85" t="s">
        <v>188</v>
      </c>
      <c r="B34" s="102" t="s">
        <v>736</v>
      </c>
      <c r="C34" s="82">
        <f t="shared" si="11"/>
        <v>325003</v>
      </c>
      <c r="D34" s="82">
        <v>325003</v>
      </c>
      <c r="E34" s="83"/>
      <c r="F34" s="82"/>
      <c r="G34" s="84"/>
      <c r="H34" s="82"/>
      <c r="I34" s="84"/>
      <c r="J34" s="82"/>
      <c r="K34" s="84"/>
      <c r="L34" s="82"/>
    </row>
    <row r="35" spans="1:12" ht="25.5" hidden="1" x14ac:dyDescent="0.25">
      <c r="A35" s="103" t="s">
        <v>189</v>
      </c>
      <c r="B35" s="104" t="s">
        <v>191</v>
      </c>
      <c r="C35" s="105">
        <f t="shared" si="11"/>
        <v>0</v>
      </c>
      <c r="D35" s="105"/>
      <c r="E35" s="106"/>
      <c r="F35" s="105"/>
      <c r="G35" s="106"/>
      <c r="H35" s="105"/>
      <c r="I35" s="106"/>
      <c r="J35" s="105"/>
      <c r="K35" s="106"/>
      <c r="L35" s="105"/>
    </row>
    <row r="36" spans="1:12" x14ac:dyDescent="0.25">
      <c r="A36" s="73" t="s">
        <v>132</v>
      </c>
      <c r="B36" s="74" t="s">
        <v>141</v>
      </c>
      <c r="C36" s="75">
        <f t="shared" si="11"/>
        <v>4806309</v>
      </c>
      <c r="D36" s="75">
        <f>D37+D42+D46</f>
        <v>2310139</v>
      </c>
      <c r="E36" s="76">
        <f t="shared" ref="E36:L36" si="14">E37+E42+E46</f>
        <v>187034</v>
      </c>
      <c r="F36" s="75">
        <f t="shared" si="14"/>
        <v>79950</v>
      </c>
      <c r="G36" s="76">
        <f t="shared" si="14"/>
        <v>0</v>
      </c>
      <c r="H36" s="75">
        <f t="shared" si="14"/>
        <v>9463</v>
      </c>
      <c r="I36" s="76">
        <f t="shared" si="14"/>
        <v>198748</v>
      </c>
      <c r="J36" s="75">
        <f t="shared" si="14"/>
        <v>42215</v>
      </c>
      <c r="K36" s="76">
        <f t="shared" si="14"/>
        <v>0</v>
      </c>
      <c r="L36" s="75">
        <f t="shared" si="14"/>
        <v>1978760</v>
      </c>
    </row>
    <row r="37" spans="1:12" x14ac:dyDescent="0.25">
      <c r="A37" s="77" t="s">
        <v>192</v>
      </c>
      <c r="B37" s="78" t="s">
        <v>201</v>
      </c>
      <c r="C37" s="79">
        <f t="shared" si="11"/>
        <v>4246354</v>
      </c>
      <c r="D37" s="79">
        <f>SUM(D38:D41)</f>
        <v>1888407</v>
      </c>
      <c r="E37" s="80">
        <f t="shared" ref="E37:L37" si="15">SUM(E38:E41)</f>
        <v>187034</v>
      </c>
      <c r="F37" s="79">
        <f t="shared" si="15"/>
        <v>0</v>
      </c>
      <c r="G37" s="80">
        <f t="shared" si="15"/>
        <v>0</v>
      </c>
      <c r="H37" s="79">
        <f t="shared" si="15"/>
        <v>0</v>
      </c>
      <c r="I37" s="80">
        <f t="shared" si="15"/>
        <v>194000</v>
      </c>
      <c r="J37" s="79">
        <f t="shared" si="15"/>
        <v>0</v>
      </c>
      <c r="K37" s="80">
        <f t="shared" si="15"/>
        <v>0</v>
      </c>
      <c r="L37" s="79">
        <f t="shared" si="15"/>
        <v>1976913</v>
      </c>
    </row>
    <row r="38" spans="1:12" ht="38.25" x14ac:dyDescent="0.25">
      <c r="A38" s="85" t="s">
        <v>193</v>
      </c>
      <c r="B38" s="102" t="s">
        <v>378</v>
      </c>
      <c r="C38" s="82">
        <f t="shared" si="11"/>
        <v>717922</v>
      </c>
      <c r="D38" s="82">
        <f>262574+28633+426715</f>
        <v>717922</v>
      </c>
      <c r="E38" s="83"/>
      <c r="F38" s="86"/>
      <c r="G38" s="83"/>
      <c r="H38" s="86"/>
      <c r="I38" s="83"/>
      <c r="J38" s="86"/>
      <c r="K38" s="84"/>
      <c r="L38" s="82"/>
    </row>
    <row r="39" spans="1:12" ht="25.5" x14ac:dyDescent="0.25">
      <c r="A39" s="85" t="s">
        <v>194</v>
      </c>
      <c r="B39" s="102" t="s">
        <v>202</v>
      </c>
      <c r="C39" s="82">
        <f t="shared" ref="C39:C41" si="16">SUM(D39:L39)</f>
        <v>1455993</v>
      </c>
      <c r="D39" s="82">
        <v>741741</v>
      </c>
      <c r="E39" s="83">
        <v>127339</v>
      </c>
      <c r="F39" s="86"/>
      <c r="G39" s="83"/>
      <c r="H39" s="86"/>
      <c r="I39" s="83"/>
      <c r="J39" s="86"/>
      <c r="K39" s="84"/>
      <c r="L39" s="82">
        <v>586913</v>
      </c>
    </row>
    <row r="40" spans="1:12" ht="63.75" x14ac:dyDescent="0.25">
      <c r="A40" s="85" t="s">
        <v>429</v>
      </c>
      <c r="B40" s="102" t="s">
        <v>430</v>
      </c>
      <c r="C40" s="82">
        <f t="shared" si="16"/>
        <v>1818744</v>
      </c>
      <c r="D40" s="82">
        <v>428744</v>
      </c>
      <c r="E40" s="83"/>
      <c r="F40" s="86"/>
      <c r="G40" s="83"/>
      <c r="H40" s="86"/>
      <c r="I40" s="83"/>
      <c r="J40" s="86"/>
      <c r="K40" s="84"/>
      <c r="L40" s="82">
        <v>1390000</v>
      </c>
    </row>
    <row r="41" spans="1:12" ht="38.25" x14ac:dyDescent="0.25">
      <c r="A41" s="85" t="s">
        <v>833</v>
      </c>
      <c r="B41" s="102" t="s">
        <v>834</v>
      </c>
      <c r="C41" s="82">
        <f t="shared" si="16"/>
        <v>253695</v>
      </c>
      <c r="D41" s="82"/>
      <c r="E41" s="83">
        <v>59695</v>
      </c>
      <c r="F41" s="86"/>
      <c r="G41" s="83"/>
      <c r="H41" s="86"/>
      <c r="I41" s="83">
        <v>194000</v>
      </c>
      <c r="J41" s="86"/>
      <c r="K41" s="84"/>
      <c r="L41" s="82"/>
    </row>
    <row r="42" spans="1:12" x14ac:dyDescent="0.25">
      <c r="A42" s="77" t="s">
        <v>195</v>
      </c>
      <c r="B42" s="78" t="s">
        <v>203</v>
      </c>
      <c r="C42" s="79">
        <f t="shared" ref="C42:C47" si="17">SUM(D42:L42)</f>
        <v>405097</v>
      </c>
      <c r="D42" s="79">
        <f>SUM(D43:D45)</f>
        <v>306834</v>
      </c>
      <c r="E42" s="80">
        <f t="shared" ref="E42:L42" si="18">SUM(E43:E45)</f>
        <v>0</v>
      </c>
      <c r="F42" s="79">
        <f t="shared" si="18"/>
        <v>64950</v>
      </c>
      <c r="G42" s="80">
        <f t="shared" si="18"/>
        <v>0</v>
      </c>
      <c r="H42" s="79">
        <f t="shared" si="18"/>
        <v>9463</v>
      </c>
      <c r="I42" s="80">
        <f t="shared" si="18"/>
        <v>4748</v>
      </c>
      <c r="J42" s="79">
        <f t="shared" si="18"/>
        <v>17255</v>
      </c>
      <c r="K42" s="80">
        <f t="shared" si="18"/>
        <v>0</v>
      </c>
      <c r="L42" s="79">
        <f t="shared" si="18"/>
        <v>1847</v>
      </c>
    </row>
    <row r="43" spans="1:12" ht="25.5" x14ac:dyDescent="0.25">
      <c r="A43" s="85" t="s">
        <v>196</v>
      </c>
      <c r="B43" s="102" t="s">
        <v>737</v>
      </c>
      <c r="C43" s="82">
        <f t="shared" si="17"/>
        <v>395046</v>
      </c>
      <c r="D43" s="82">
        <v>306834</v>
      </c>
      <c r="E43" s="83"/>
      <c r="F43" s="86">
        <v>64950</v>
      </c>
      <c r="G43" s="83"/>
      <c r="H43" s="86">
        <f>2537+1623</f>
        <v>4160</v>
      </c>
      <c r="I43" s="83"/>
      <c r="J43" s="86">
        <v>17255</v>
      </c>
      <c r="K43" s="84"/>
      <c r="L43" s="82">
        <v>1847</v>
      </c>
    </row>
    <row r="44" spans="1:12" ht="25.5" x14ac:dyDescent="0.25">
      <c r="A44" s="85" t="s">
        <v>790</v>
      </c>
      <c r="B44" s="102" t="s">
        <v>791</v>
      </c>
      <c r="C44" s="82">
        <f t="shared" si="17"/>
        <v>5303</v>
      </c>
      <c r="D44" s="82"/>
      <c r="E44" s="83"/>
      <c r="F44" s="86"/>
      <c r="G44" s="83"/>
      <c r="H44" s="86">
        <v>5303</v>
      </c>
      <c r="I44" s="83"/>
      <c r="J44" s="86"/>
      <c r="K44" s="84"/>
      <c r="L44" s="82"/>
    </row>
    <row r="45" spans="1:12" ht="38.25" x14ac:dyDescent="0.25">
      <c r="A45" s="85" t="s">
        <v>831</v>
      </c>
      <c r="B45" s="102" t="s">
        <v>832</v>
      </c>
      <c r="C45" s="82">
        <f t="shared" si="17"/>
        <v>4748</v>
      </c>
      <c r="D45" s="82"/>
      <c r="E45" s="83"/>
      <c r="F45" s="86"/>
      <c r="G45" s="83"/>
      <c r="H45" s="86"/>
      <c r="I45" s="83">
        <v>4748</v>
      </c>
      <c r="J45" s="86"/>
      <c r="K45" s="84"/>
      <c r="L45" s="82"/>
    </row>
    <row r="46" spans="1:12" ht="25.5" x14ac:dyDescent="0.25">
      <c r="A46" s="77" t="s">
        <v>197</v>
      </c>
      <c r="B46" s="78" t="s">
        <v>204</v>
      </c>
      <c r="C46" s="79">
        <f t="shared" si="17"/>
        <v>154858</v>
      </c>
      <c r="D46" s="79">
        <f t="shared" ref="D46:L46" si="19">SUM(D47:D49)</f>
        <v>114898</v>
      </c>
      <c r="E46" s="90">
        <f t="shared" si="19"/>
        <v>0</v>
      </c>
      <c r="F46" s="89">
        <f t="shared" si="19"/>
        <v>15000</v>
      </c>
      <c r="G46" s="90">
        <f t="shared" si="19"/>
        <v>0</v>
      </c>
      <c r="H46" s="89">
        <f t="shared" si="19"/>
        <v>0</v>
      </c>
      <c r="I46" s="90">
        <f t="shared" si="19"/>
        <v>0</v>
      </c>
      <c r="J46" s="89">
        <f t="shared" si="19"/>
        <v>24960</v>
      </c>
      <c r="K46" s="80">
        <f t="shared" si="19"/>
        <v>0</v>
      </c>
      <c r="L46" s="79">
        <f t="shared" si="19"/>
        <v>0</v>
      </c>
    </row>
    <row r="47" spans="1:12" ht="26.25" customHeight="1" x14ac:dyDescent="0.25">
      <c r="A47" s="85" t="s">
        <v>198</v>
      </c>
      <c r="B47" s="102" t="s">
        <v>205</v>
      </c>
      <c r="C47" s="82">
        <f t="shared" si="17"/>
        <v>90078</v>
      </c>
      <c r="D47" s="82">
        <v>90078</v>
      </c>
      <c r="E47" s="83"/>
      <c r="F47" s="86"/>
      <c r="G47" s="83"/>
      <c r="H47" s="86"/>
      <c r="I47" s="83"/>
      <c r="J47" s="86"/>
      <c r="K47" s="84"/>
      <c r="L47" s="82"/>
    </row>
    <row r="48" spans="1:12" ht="38.25" x14ac:dyDescent="0.25">
      <c r="A48" s="85" t="s">
        <v>199</v>
      </c>
      <c r="B48" s="102" t="s">
        <v>207</v>
      </c>
      <c r="C48" s="82">
        <f t="shared" ref="C48:C49" si="20">SUM(D48:L48)</f>
        <v>62280</v>
      </c>
      <c r="D48" s="82">
        <f>29675-7355</f>
        <v>22320</v>
      </c>
      <c r="E48" s="83"/>
      <c r="F48" s="86">
        <v>15000</v>
      </c>
      <c r="G48" s="83"/>
      <c r="H48" s="86"/>
      <c r="I48" s="83"/>
      <c r="J48" s="86">
        <v>24960</v>
      </c>
      <c r="K48" s="84"/>
      <c r="L48" s="82"/>
    </row>
    <row r="49" spans="1:12" ht="25.5" x14ac:dyDescent="0.25">
      <c r="A49" s="85" t="s">
        <v>200</v>
      </c>
      <c r="B49" s="102" t="s">
        <v>206</v>
      </c>
      <c r="C49" s="82">
        <f t="shared" si="20"/>
        <v>2500</v>
      </c>
      <c r="D49" s="82">
        <f>3000-500</f>
        <v>2500</v>
      </c>
      <c r="E49" s="83"/>
      <c r="F49" s="86"/>
      <c r="G49" s="83"/>
      <c r="H49" s="86"/>
      <c r="I49" s="84"/>
      <c r="J49" s="82"/>
      <c r="K49" s="84"/>
      <c r="L49" s="82"/>
    </row>
    <row r="50" spans="1:12" x14ac:dyDescent="0.25">
      <c r="A50" s="73" t="s">
        <v>133</v>
      </c>
      <c r="B50" s="74" t="s">
        <v>142</v>
      </c>
      <c r="C50" s="75">
        <f t="shared" ref="C50:C59" si="21">SUM(D50:L50)</f>
        <v>1866639</v>
      </c>
      <c r="D50" s="75">
        <f>D51+D54+D55+D57</f>
        <v>1817442</v>
      </c>
      <c r="E50" s="76">
        <f t="shared" ref="E50:L50" si="22">E51+E54+E55+E57</f>
        <v>21580</v>
      </c>
      <c r="F50" s="75">
        <f t="shared" si="22"/>
        <v>0</v>
      </c>
      <c r="G50" s="76">
        <f t="shared" si="22"/>
        <v>0</v>
      </c>
      <c r="H50" s="75">
        <f t="shared" si="22"/>
        <v>13701</v>
      </c>
      <c r="I50" s="76">
        <f t="shared" si="22"/>
        <v>0</v>
      </c>
      <c r="J50" s="75">
        <f t="shared" si="22"/>
        <v>1934</v>
      </c>
      <c r="K50" s="76">
        <f t="shared" si="22"/>
        <v>888</v>
      </c>
      <c r="L50" s="75">
        <f t="shared" si="22"/>
        <v>11094</v>
      </c>
    </row>
    <row r="51" spans="1:12" x14ac:dyDescent="0.25">
      <c r="A51" s="77" t="s">
        <v>208</v>
      </c>
      <c r="B51" s="78" t="s">
        <v>215</v>
      </c>
      <c r="C51" s="79">
        <f t="shared" si="21"/>
        <v>1286942</v>
      </c>
      <c r="D51" s="79">
        <f>SUM(D52:D53)</f>
        <v>1296942</v>
      </c>
      <c r="E51" s="80">
        <f t="shared" ref="E51:L51" si="23">SUM(E52:E53)</f>
        <v>-10000</v>
      </c>
      <c r="F51" s="79">
        <f t="shared" si="23"/>
        <v>0</v>
      </c>
      <c r="G51" s="80">
        <f t="shared" si="23"/>
        <v>0</v>
      </c>
      <c r="H51" s="79">
        <f t="shared" si="23"/>
        <v>0</v>
      </c>
      <c r="I51" s="80">
        <f t="shared" si="23"/>
        <v>0</v>
      </c>
      <c r="J51" s="79">
        <f t="shared" si="23"/>
        <v>0</v>
      </c>
      <c r="K51" s="80">
        <f t="shared" si="23"/>
        <v>0</v>
      </c>
      <c r="L51" s="79">
        <f t="shared" si="23"/>
        <v>0</v>
      </c>
    </row>
    <row r="52" spans="1:12" ht="25.5" x14ac:dyDescent="0.25">
      <c r="A52" s="85" t="s">
        <v>209</v>
      </c>
      <c r="B52" s="102" t="s">
        <v>222</v>
      </c>
      <c r="C52" s="82">
        <f t="shared" si="21"/>
        <v>933567</v>
      </c>
      <c r="D52" s="82">
        <f>781200+152367</f>
        <v>933567</v>
      </c>
      <c r="E52" s="83"/>
      <c r="F52" s="82"/>
      <c r="G52" s="84"/>
      <c r="H52" s="82"/>
      <c r="I52" s="84"/>
      <c r="J52" s="82"/>
      <c r="K52" s="84"/>
      <c r="L52" s="82"/>
    </row>
    <row r="53" spans="1:12" ht="25.5" x14ac:dyDescent="0.25">
      <c r="A53" s="85" t="s">
        <v>210</v>
      </c>
      <c r="B53" s="102" t="s">
        <v>221</v>
      </c>
      <c r="C53" s="82">
        <f t="shared" si="21"/>
        <v>353375</v>
      </c>
      <c r="D53" s="82">
        <v>363375</v>
      </c>
      <c r="E53" s="83">
        <v>-10000</v>
      </c>
      <c r="F53" s="82"/>
      <c r="G53" s="84"/>
      <c r="H53" s="82"/>
      <c r="I53" s="84"/>
      <c r="J53" s="82"/>
      <c r="K53" s="84"/>
      <c r="L53" s="82"/>
    </row>
    <row r="54" spans="1:12" x14ac:dyDescent="0.25">
      <c r="A54" s="87" t="s">
        <v>211</v>
      </c>
      <c r="B54" s="88" t="s">
        <v>216</v>
      </c>
      <c r="C54" s="79">
        <f t="shared" si="21"/>
        <v>520500</v>
      </c>
      <c r="D54" s="79">
        <f>496300+24200</f>
        <v>520500</v>
      </c>
      <c r="E54" s="90"/>
      <c r="F54" s="79"/>
      <c r="G54" s="80"/>
      <c r="H54" s="79"/>
      <c r="I54" s="80"/>
      <c r="J54" s="79"/>
      <c r="K54" s="80"/>
      <c r="L54" s="79"/>
    </row>
    <row r="55" spans="1:12" ht="25.5" hidden="1" x14ac:dyDescent="0.25">
      <c r="A55" s="77" t="s">
        <v>212</v>
      </c>
      <c r="B55" s="78" t="s">
        <v>217</v>
      </c>
      <c r="C55" s="79">
        <f t="shared" si="21"/>
        <v>0</v>
      </c>
      <c r="D55" s="79">
        <f>D56</f>
        <v>0</v>
      </c>
      <c r="E55" s="90">
        <f t="shared" ref="E55:L55" si="24">E56</f>
        <v>0</v>
      </c>
      <c r="F55" s="79">
        <f t="shared" si="24"/>
        <v>0</v>
      </c>
      <c r="G55" s="80">
        <f t="shared" si="24"/>
        <v>0</v>
      </c>
      <c r="H55" s="79">
        <f t="shared" si="24"/>
        <v>0</v>
      </c>
      <c r="I55" s="80">
        <f t="shared" si="24"/>
        <v>0</v>
      </c>
      <c r="J55" s="79">
        <f t="shared" si="24"/>
        <v>0</v>
      </c>
      <c r="K55" s="80">
        <f t="shared" si="24"/>
        <v>0</v>
      </c>
      <c r="L55" s="79">
        <f t="shared" si="24"/>
        <v>0</v>
      </c>
    </row>
    <row r="56" spans="1:12" hidden="1" x14ac:dyDescent="0.25">
      <c r="A56" s="103" t="s">
        <v>218</v>
      </c>
      <c r="B56" s="104"/>
      <c r="C56" s="105">
        <f t="shared" si="21"/>
        <v>0</v>
      </c>
      <c r="D56" s="105">
        <v>0</v>
      </c>
      <c r="E56" s="106"/>
      <c r="F56" s="105"/>
      <c r="G56" s="106"/>
      <c r="H56" s="105">
        <v>0</v>
      </c>
      <c r="I56" s="106"/>
      <c r="J56" s="105"/>
      <c r="K56" s="106"/>
      <c r="L56" s="105"/>
    </row>
    <row r="57" spans="1:12" ht="25.5" x14ac:dyDescent="0.25">
      <c r="A57" s="77" t="s">
        <v>213</v>
      </c>
      <c r="B57" s="78" t="s">
        <v>219</v>
      </c>
      <c r="C57" s="79">
        <f t="shared" si="21"/>
        <v>59197</v>
      </c>
      <c r="D57" s="79">
        <f>SUM(D58:D59)</f>
        <v>0</v>
      </c>
      <c r="E57" s="90">
        <f t="shared" ref="E57:L57" si="25">SUM(E58:E59)</f>
        <v>31580</v>
      </c>
      <c r="F57" s="89">
        <f t="shared" si="25"/>
        <v>0</v>
      </c>
      <c r="G57" s="90">
        <f t="shared" si="25"/>
        <v>0</v>
      </c>
      <c r="H57" s="89">
        <f t="shared" si="25"/>
        <v>13701</v>
      </c>
      <c r="I57" s="90">
        <f t="shared" si="25"/>
        <v>0</v>
      </c>
      <c r="J57" s="89">
        <f t="shared" si="25"/>
        <v>1934</v>
      </c>
      <c r="K57" s="90">
        <f t="shared" si="25"/>
        <v>888</v>
      </c>
      <c r="L57" s="89">
        <f t="shared" si="25"/>
        <v>11094</v>
      </c>
    </row>
    <row r="58" spans="1:12" ht="25.5" x14ac:dyDescent="0.25">
      <c r="A58" s="117" t="s">
        <v>214</v>
      </c>
      <c r="B58" s="102" t="s">
        <v>220</v>
      </c>
      <c r="C58" s="326">
        <f t="shared" si="21"/>
        <v>45496</v>
      </c>
      <c r="D58" s="326"/>
      <c r="E58" s="327">
        <v>31580</v>
      </c>
      <c r="F58" s="326"/>
      <c r="G58" s="327"/>
      <c r="H58" s="326"/>
      <c r="I58" s="327"/>
      <c r="J58" s="326">
        <v>1934</v>
      </c>
      <c r="K58" s="327">
        <v>888</v>
      </c>
      <c r="L58" s="326">
        <v>11094</v>
      </c>
    </row>
    <row r="59" spans="1:12" ht="51" x14ac:dyDescent="0.25">
      <c r="A59" s="85" t="s">
        <v>802</v>
      </c>
      <c r="B59" s="102" t="s">
        <v>803</v>
      </c>
      <c r="C59" s="91">
        <f t="shared" si="21"/>
        <v>13701</v>
      </c>
      <c r="D59" s="91"/>
      <c r="E59" s="327"/>
      <c r="F59" s="326"/>
      <c r="G59" s="327"/>
      <c r="H59" s="326">
        <f>13701</f>
        <v>13701</v>
      </c>
      <c r="I59" s="327"/>
      <c r="J59" s="326"/>
      <c r="K59" s="327"/>
      <c r="L59" s="326"/>
    </row>
    <row r="60" spans="1:12" x14ac:dyDescent="0.25">
      <c r="A60" s="73" t="s">
        <v>134</v>
      </c>
      <c r="B60" s="74" t="s">
        <v>143</v>
      </c>
      <c r="C60" s="75">
        <f>SUM(D60:L60)</f>
        <v>5312290</v>
      </c>
      <c r="D60" s="75">
        <f>D61+D62+D63</f>
        <v>4323299</v>
      </c>
      <c r="E60" s="76">
        <f t="shared" ref="E60:L60" si="26">E61+E62+E63</f>
        <v>-25668</v>
      </c>
      <c r="F60" s="75">
        <f t="shared" si="26"/>
        <v>118100</v>
      </c>
      <c r="G60" s="76">
        <f t="shared" si="26"/>
        <v>0</v>
      </c>
      <c r="H60" s="75">
        <f t="shared" si="26"/>
        <v>1005000</v>
      </c>
      <c r="I60" s="76">
        <f t="shared" si="26"/>
        <v>-146030</v>
      </c>
      <c r="J60" s="75">
        <f t="shared" si="26"/>
        <v>0</v>
      </c>
      <c r="K60" s="76">
        <f t="shared" si="26"/>
        <v>0</v>
      </c>
      <c r="L60" s="75">
        <f t="shared" si="26"/>
        <v>37589</v>
      </c>
    </row>
    <row r="61" spans="1:12" ht="27" x14ac:dyDescent="0.25">
      <c r="A61" s="87" t="s">
        <v>223</v>
      </c>
      <c r="B61" s="88" t="s">
        <v>234</v>
      </c>
      <c r="C61" s="79">
        <f>SUM(D61:L61)</f>
        <v>1840806</v>
      </c>
      <c r="D61" s="79">
        <v>1018416</v>
      </c>
      <c r="E61" s="90">
        <v>-31580</v>
      </c>
      <c r="F61" s="89"/>
      <c r="G61" s="90"/>
      <c r="H61" s="89">
        <v>1000000</v>
      </c>
      <c r="I61" s="90">
        <f>3970-150000</f>
        <v>-146030</v>
      </c>
      <c r="J61" s="89"/>
      <c r="K61" s="80"/>
      <c r="L61" s="79"/>
    </row>
    <row r="62" spans="1:12" x14ac:dyDescent="0.25">
      <c r="A62" s="87" t="s">
        <v>224</v>
      </c>
      <c r="B62" s="88" t="s">
        <v>231</v>
      </c>
      <c r="C62" s="79">
        <f>SUM(D62:L62)</f>
        <v>584912</v>
      </c>
      <c r="D62" s="79">
        <v>579000</v>
      </c>
      <c r="E62" s="90">
        <v>5912</v>
      </c>
      <c r="F62" s="89"/>
      <c r="G62" s="90"/>
      <c r="H62" s="89"/>
      <c r="I62" s="90"/>
      <c r="J62" s="89"/>
      <c r="K62" s="80"/>
      <c r="L62" s="79"/>
    </row>
    <row r="63" spans="1:12" ht="38.25" x14ac:dyDescent="0.25">
      <c r="A63" s="77" t="s">
        <v>225</v>
      </c>
      <c r="B63" s="78" t="s">
        <v>232</v>
      </c>
      <c r="C63" s="79">
        <f>SUM(D63:L63)</f>
        <v>2886572</v>
      </c>
      <c r="D63" s="79">
        <f>SUM(D64:D69)</f>
        <v>2725883</v>
      </c>
      <c r="E63" s="90">
        <f t="shared" ref="E63:L63" si="27">SUM(E64:E69)</f>
        <v>0</v>
      </c>
      <c r="F63" s="89">
        <f t="shared" si="27"/>
        <v>118100</v>
      </c>
      <c r="G63" s="90">
        <f t="shared" si="27"/>
        <v>0</v>
      </c>
      <c r="H63" s="89">
        <f t="shared" si="27"/>
        <v>5000</v>
      </c>
      <c r="I63" s="90">
        <f t="shared" si="27"/>
        <v>0</v>
      </c>
      <c r="J63" s="89">
        <f t="shared" si="27"/>
        <v>0</v>
      </c>
      <c r="K63" s="80">
        <f t="shared" si="27"/>
        <v>0</v>
      </c>
      <c r="L63" s="79">
        <f t="shared" si="27"/>
        <v>37589</v>
      </c>
    </row>
    <row r="64" spans="1:12" ht="25.5" x14ac:dyDescent="0.25">
      <c r="A64" s="85" t="s">
        <v>226</v>
      </c>
      <c r="B64" s="102" t="s">
        <v>738</v>
      </c>
      <c r="C64" s="82">
        <f>SUM(D64:L64)</f>
        <v>864668</v>
      </c>
      <c r="D64" s="82">
        <v>708979</v>
      </c>
      <c r="E64" s="83"/>
      <c r="F64" s="86">
        <f>116700+1400</f>
        <v>118100</v>
      </c>
      <c r="G64" s="83"/>
      <c r="H64" s="86"/>
      <c r="I64" s="84"/>
      <c r="J64" s="82"/>
      <c r="K64" s="84"/>
      <c r="L64" s="82">
        <v>37589</v>
      </c>
    </row>
    <row r="65" spans="1:12" ht="38.25" x14ac:dyDescent="0.25">
      <c r="A65" s="85" t="s">
        <v>227</v>
      </c>
      <c r="B65" s="102" t="s">
        <v>379</v>
      </c>
      <c r="C65" s="82">
        <f t="shared" ref="C65:C68" si="28">SUM(D65:L65)</f>
        <v>1383807</v>
      </c>
      <c r="D65" s="82">
        <f>1342368+36439</f>
        <v>1378807</v>
      </c>
      <c r="E65" s="92"/>
      <c r="F65" s="93"/>
      <c r="G65" s="92"/>
      <c r="H65" s="93">
        <v>5000</v>
      </c>
      <c r="I65" s="94"/>
      <c r="J65" s="82"/>
      <c r="K65" s="84"/>
      <c r="L65" s="82"/>
    </row>
    <row r="66" spans="1:12" ht="38.25" x14ac:dyDescent="0.25">
      <c r="A66" s="85" t="s">
        <v>228</v>
      </c>
      <c r="B66" s="102" t="s">
        <v>767</v>
      </c>
      <c r="C66" s="82">
        <f t="shared" si="28"/>
        <v>293707</v>
      </c>
      <c r="D66" s="82">
        <f>308707-15000</f>
        <v>293707</v>
      </c>
      <c r="E66" s="83"/>
      <c r="F66" s="86"/>
      <c r="G66" s="83"/>
      <c r="H66" s="86"/>
      <c r="I66" s="84"/>
      <c r="J66" s="82"/>
      <c r="K66" s="84"/>
      <c r="L66" s="82"/>
    </row>
    <row r="67" spans="1:12" ht="25.5" x14ac:dyDescent="0.25">
      <c r="A67" s="85" t="s">
        <v>229</v>
      </c>
      <c r="B67" s="102" t="s">
        <v>233</v>
      </c>
      <c r="C67" s="82">
        <f t="shared" si="28"/>
        <v>280000</v>
      </c>
      <c r="D67" s="82">
        <v>280000</v>
      </c>
      <c r="E67" s="83"/>
      <c r="F67" s="86"/>
      <c r="G67" s="83"/>
      <c r="H67" s="86"/>
      <c r="I67" s="84"/>
      <c r="J67" s="82"/>
      <c r="K67" s="84"/>
      <c r="L67" s="82"/>
    </row>
    <row r="68" spans="1:12" ht="38.25" x14ac:dyDescent="0.25">
      <c r="A68" s="85" t="s">
        <v>230</v>
      </c>
      <c r="B68" s="102" t="s">
        <v>380</v>
      </c>
      <c r="C68" s="82">
        <f t="shared" si="28"/>
        <v>49390</v>
      </c>
      <c r="D68" s="82">
        <v>49390</v>
      </c>
      <c r="E68" s="83"/>
      <c r="F68" s="86"/>
      <c r="G68" s="83"/>
      <c r="H68" s="86"/>
      <c r="I68" s="84"/>
      <c r="J68" s="82"/>
      <c r="K68" s="84"/>
      <c r="L68" s="82"/>
    </row>
    <row r="69" spans="1:12" ht="51" x14ac:dyDescent="0.25">
      <c r="A69" s="85" t="s">
        <v>437</v>
      </c>
      <c r="B69" s="102" t="s">
        <v>438</v>
      </c>
      <c r="C69" s="82">
        <f t="shared" ref="C69" si="29">SUM(D69:L69)</f>
        <v>15000</v>
      </c>
      <c r="D69" s="82">
        <v>15000</v>
      </c>
      <c r="E69" s="83"/>
      <c r="F69" s="86"/>
      <c r="G69" s="83"/>
      <c r="H69" s="86"/>
      <c r="I69" s="84"/>
      <c r="J69" s="82"/>
      <c r="K69" s="84"/>
      <c r="L69" s="82"/>
    </row>
    <row r="70" spans="1:12" x14ac:dyDescent="0.25">
      <c r="A70" s="73" t="s">
        <v>135</v>
      </c>
      <c r="B70" s="74" t="s">
        <v>144</v>
      </c>
      <c r="C70" s="75">
        <f>SUM(D70:L70)</f>
        <v>178053</v>
      </c>
      <c r="D70" s="75">
        <f t="shared" ref="D70:L70" si="30">SUM(D71:D75)</f>
        <v>120095</v>
      </c>
      <c r="E70" s="76">
        <f t="shared" si="30"/>
        <v>0</v>
      </c>
      <c r="F70" s="75">
        <f t="shared" si="30"/>
        <v>0</v>
      </c>
      <c r="G70" s="76">
        <f t="shared" si="30"/>
        <v>0</v>
      </c>
      <c r="H70" s="75">
        <f t="shared" si="30"/>
        <v>46534</v>
      </c>
      <c r="I70" s="76">
        <f t="shared" si="30"/>
        <v>11424</v>
      </c>
      <c r="J70" s="75">
        <f t="shared" si="30"/>
        <v>0</v>
      </c>
      <c r="K70" s="76">
        <f t="shared" si="30"/>
        <v>0</v>
      </c>
      <c r="L70" s="75">
        <f t="shared" si="30"/>
        <v>0</v>
      </c>
    </row>
    <row r="71" spans="1:12" x14ac:dyDescent="0.25">
      <c r="A71" s="85" t="s">
        <v>235</v>
      </c>
      <c r="B71" s="102" t="s">
        <v>239</v>
      </c>
      <c r="C71" s="82">
        <f>SUM(D71:L71)</f>
        <v>60000</v>
      </c>
      <c r="D71" s="82">
        <v>60000</v>
      </c>
      <c r="E71" s="83"/>
      <c r="F71" s="82"/>
      <c r="G71" s="84"/>
      <c r="H71" s="82"/>
      <c r="I71" s="84"/>
      <c r="J71" s="82"/>
      <c r="K71" s="84"/>
      <c r="L71" s="82"/>
    </row>
    <row r="72" spans="1:12" ht="25.5" x14ac:dyDescent="0.25">
      <c r="A72" s="85" t="s">
        <v>236</v>
      </c>
      <c r="B72" s="102" t="s">
        <v>240</v>
      </c>
      <c r="C72" s="82">
        <f t="shared" ref="C72:C75" si="31">SUM(D72:L72)</f>
        <v>12400</v>
      </c>
      <c r="D72" s="82">
        <v>12400</v>
      </c>
      <c r="E72" s="83"/>
      <c r="F72" s="82"/>
      <c r="G72" s="84"/>
      <c r="H72" s="82"/>
      <c r="I72" s="84"/>
      <c r="J72" s="82"/>
      <c r="K72" s="84"/>
      <c r="L72" s="82"/>
    </row>
    <row r="73" spans="1:12" x14ac:dyDescent="0.25">
      <c r="A73" s="85" t="s">
        <v>237</v>
      </c>
      <c r="B73" s="102" t="s">
        <v>241</v>
      </c>
      <c r="C73" s="82">
        <f t="shared" si="31"/>
        <v>40200</v>
      </c>
      <c r="D73" s="82">
        <v>40200</v>
      </c>
      <c r="E73" s="83"/>
      <c r="F73" s="82"/>
      <c r="G73" s="84"/>
      <c r="H73" s="82"/>
      <c r="I73" s="84"/>
      <c r="J73" s="82"/>
      <c r="K73" s="84"/>
      <c r="L73" s="82"/>
    </row>
    <row r="74" spans="1:12" x14ac:dyDescent="0.25">
      <c r="A74" s="85" t="s">
        <v>238</v>
      </c>
      <c r="B74" s="102" t="s">
        <v>242</v>
      </c>
      <c r="C74" s="82">
        <f t="shared" si="31"/>
        <v>7495</v>
      </c>
      <c r="D74" s="82">
        <v>7495</v>
      </c>
      <c r="E74" s="84"/>
      <c r="F74" s="82"/>
      <c r="G74" s="84"/>
      <c r="H74" s="82"/>
      <c r="I74" s="84"/>
      <c r="J74" s="82"/>
      <c r="K74" s="84"/>
      <c r="L74" s="82"/>
    </row>
    <row r="75" spans="1:12" ht="51" x14ac:dyDescent="0.25">
      <c r="A75" s="85" t="s">
        <v>792</v>
      </c>
      <c r="B75" s="102" t="s">
        <v>793</v>
      </c>
      <c r="C75" s="82">
        <f t="shared" si="31"/>
        <v>57958</v>
      </c>
      <c r="D75" s="82"/>
      <c r="E75" s="84"/>
      <c r="F75" s="82"/>
      <c r="G75" s="84"/>
      <c r="H75" s="82">
        <v>46534</v>
      </c>
      <c r="I75" s="83">
        <v>11424</v>
      </c>
      <c r="J75" s="82"/>
      <c r="K75" s="84"/>
      <c r="L75" s="82"/>
    </row>
    <row r="76" spans="1:12" x14ac:dyDescent="0.25">
      <c r="A76" s="73" t="s">
        <v>26</v>
      </c>
      <c r="B76" s="74" t="s">
        <v>145</v>
      </c>
      <c r="C76" s="75">
        <f t="shared" ref="C76:C100" si="32">SUM(D76:L76)</f>
        <v>6855620</v>
      </c>
      <c r="D76" s="75">
        <f>D77+D81+D98+D99</f>
        <v>6026234</v>
      </c>
      <c r="E76" s="76">
        <f t="shared" ref="E76:L76" si="33">E77+E81+E98+E99</f>
        <v>21947</v>
      </c>
      <c r="F76" s="75">
        <f t="shared" si="33"/>
        <v>497362</v>
      </c>
      <c r="G76" s="76">
        <f t="shared" si="33"/>
        <v>14133</v>
      </c>
      <c r="H76" s="75">
        <f t="shared" si="33"/>
        <v>60933</v>
      </c>
      <c r="I76" s="76">
        <f t="shared" si="33"/>
        <v>150000</v>
      </c>
      <c r="J76" s="75">
        <f t="shared" si="33"/>
        <v>19020</v>
      </c>
      <c r="K76" s="76">
        <f t="shared" si="33"/>
        <v>0</v>
      </c>
      <c r="L76" s="75">
        <f t="shared" si="33"/>
        <v>65991</v>
      </c>
    </row>
    <row r="77" spans="1:12" x14ac:dyDescent="0.25">
      <c r="A77" s="77" t="s">
        <v>243</v>
      </c>
      <c r="B77" s="78" t="s">
        <v>269</v>
      </c>
      <c r="C77" s="79">
        <f t="shared" si="32"/>
        <v>1167334</v>
      </c>
      <c r="D77" s="79">
        <f>SUM(D78:D80)</f>
        <v>1118590</v>
      </c>
      <c r="E77" s="80">
        <f t="shared" ref="E77:L77" si="34">SUM(E78:E80)</f>
        <v>14500</v>
      </c>
      <c r="F77" s="79">
        <f t="shared" si="34"/>
        <v>34148</v>
      </c>
      <c r="G77" s="80">
        <f t="shared" si="34"/>
        <v>0</v>
      </c>
      <c r="H77" s="79">
        <f t="shared" si="34"/>
        <v>0</v>
      </c>
      <c r="I77" s="80">
        <f t="shared" si="34"/>
        <v>0</v>
      </c>
      <c r="J77" s="79">
        <f t="shared" si="34"/>
        <v>0</v>
      </c>
      <c r="K77" s="80">
        <f t="shared" si="34"/>
        <v>0</v>
      </c>
      <c r="L77" s="79">
        <f t="shared" si="34"/>
        <v>96</v>
      </c>
    </row>
    <row r="78" spans="1:12" ht="25.5" x14ac:dyDescent="0.25">
      <c r="A78" s="85" t="s">
        <v>244</v>
      </c>
      <c r="B78" s="102" t="s">
        <v>739</v>
      </c>
      <c r="C78" s="82">
        <f t="shared" si="32"/>
        <v>525064</v>
      </c>
      <c r="D78" s="86">
        <v>490820</v>
      </c>
      <c r="E78" s="83"/>
      <c r="F78" s="86">
        <v>34148</v>
      </c>
      <c r="G78" s="83"/>
      <c r="H78" s="86"/>
      <c r="I78" s="83"/>
      <c r="J78" s="86"/>
      <c r="K78" s="83"/>
      <c r="L78" s="86">
        <v>96</v>
      </c>
    </row>
    <row r="79" spans="1:12" x14ac:dyDescent="0.25">
      <c r="A79" s="85" t="s">
        <v>245</v>
      </c>
      <c r="B79" s="102" t="s">
        <v>270</v>
      </c>
      <c r="C79" s="82">
        <f t="shared" si="32"/>
        <v>637270</v>
      </c>
      <c r="D79" s="86">
        <f>622270+500</f>
        <v>622770</v>
      </c>
      <c r="E79" s="83">
        <f>2500+12000</f>
        <v>14500</v>
      </c>
      <c r="F79" s="86"/>
      <c r="G79" s="83"/>
      <c r="H79" s="86"/>
      <c r="I79" s="83"/>
      <c r="J79" s="86"/>
      <c r="K79" s="83"/>
      <c r="L79" s="86"/>
    </row>
    <row r="80" spans="1:12" ht="25.5" x14ac:dyDescent="0.25">
      <c r="A80" s="85" t="s">
        <v>246</v>
      </c>
      <c r="B80" s="102" t="s">
        <v>772</v>
      </c>
      <c r="C80" s="82">
        <f t="shared" si="32"/>
        <v>5000</v>
      </c>
      <c r="D80" s="86">
        <v>5000</v>
      </c>
      <c r="E80" s="83"/>
      <c r="F80" s="86"/>
      <c r="G80" s="83"/>
      <c r="H80" s="86"/>
      <c r="I80" s="83"/>
      <c r="J80" s="86"/>
      <c r="K80" s="83"/>
      <c r="L80" s="86"/>
    </row>
    <row r="81" spans="1:12" x14ac:dyDescent="0.25">
      <c r="A81" s="77" t="s">
        <v>247</v>
      </c>
      <c r="B81" s="78" t="s">
        <v>271</v>
      </c>
      <c r="C81" s="79">
        <f t="shared" si="32"/>
        <v>4909649</v>
      </c>
      <c r="D81" s="79">
        <f>D82+D86+D88+D91+D95</f>
        <v>4288762</v>
      </c>
      <c r="E81" s="90">
        <f t="shared" ref="E81:L81" si="35">E82+E86+E88+E91+E95</f>
        <v>0</v>
      </c>
      <c r="F81" s="89">
        <f t="shared" si="35"/>
        <v>462164</v>
      </c>
      <c r="G81" s="90">
        <f t="shared" si="35"/>
        <v>14133</v>
      </c>
      <c r="H81" s="89">
        <f t="shared" si="35"/>
        <v>60933</v>
      </c>
      <c r="I81" s="90">
        <f t="shared" si="35"/>
        <v>0</v>
      </c>
      <c r="J81" s="89">
        <f t="shared" si="35"/>
        <v>19020</v>
      </c>
      <c r="K81" s="90">
        <f t="shared" si="35"/>
        <v>0</v>
      </c>
      <c r="L81" s="89">
        <f t="shared" si="35"/>
        <v>64637</v>
      </c>
    </row>
    <row r="82" spans="1:12" x14ac:dyDescent="0.25">
      <c r="A82" s="77" t="s">
        <v>248</v>
      </c>
      <c r="B82" s="78" t="s">
        <v>272</v>
      </c>
      <c r="C82" s="79">
        <f t="shared" si="32"/>
        <v>991141</v>
      </c>
      <c r="D82" s="79">
        <f t="shared" ref="D82:L82" si="36">SUM(D83:D85)</f>
        <v>946834</v>
      </c>
      <c r="E82" s="90">
        <f t="shared" si="36"/>
        <v>0</v>
      </c>
      <c r="F82" s="89">
        <f t="shared" si="36"/>
        <v>11664</v>
      </c>
      <c r="G82" s="90">
        <f t="shared" si="36"/>
        <v>0</v>
      </c>
      <c r="H82" s="89">
        <f t="shared" si="36"/>
        <v>11855</v>
      </c>
      <c r="I82" s="90">
        <f t="shared" si="36"/>
        <v>0</v>
      </c>
      <c r="J82" s="89">
        <f t="shared" si="36"/>
        <v>19020</v>
      </c>
      <c r="K82" s="90">
        <f t="shared" si="36"/>
        <v>0</v>
      </c>
      <c r="L82" s="79">
        <f t="shared" si="36"/>
        <v>1768</v>
      </c>
    </row>
    <row r="83" spans="1:12" ht="25.5" x14ac:dyDescent="0.25">
      <c r="A83" s="85" t="s">
        <v>249</v>
      </c>
      <c r="B83" s="102" t="s">
        <v>740</v>
      </c>
      <c r="C83" s="82">
        <f t="shared" si="32"/>
        <v>970131</v>
      </c>
      <c r="D83" s="86">
        <f>924281+20000</f>
        <v>944281</v>
      </c>
      <c r="E83" s="83"/>
      <c r="F83" s="86">
        <v>5318</v>
      </c>
      <c r="G83" s="83"/>
      <c r="H83" s="86"/>
      <c r="I83" s="83"/>
      <c r="J83" s="86">
        <v>19020</v>
      </c>
      <c r="K83" s="83"/>
      <c r="L83" s="86">
        <v>1512</v>
      </c>
    </row>
    <row r="84" spans="1:12" ht="25.5" x14ac:dyDescent="0.25">
      <c r="A84" s="85" t="s">
        <v>250</v>
      </c>
      <c r="B84" s="102" t="s">
        <v>741</v>
      </c>
      <c r="C84" s="82">
        <f t="shared" si="32"/>
        <v>9155</v>
      </c>
      <c r="D84" s="86">
        <v>2553</v>
      </c>
      <c r="E84" s="83"/>
      <c r="F84" s="86">
        <v>6346</v>
      </c>
      <c r="G84" s="83"/>
      <c r="H84" s="86"/>
      <c r="I84" s="83"/>
      <c r="J84" s="86"/>
      <c r="K84" s="83"/>
      <c r="L84" s="86">
        <v>256</v>
      </c>
    </row>
    <row r="85" spans="1:12" ht="38.25" x14ac:dyDescent="0.25">
      <c r="A85" s="85" t="s">
        <v>797</v>
      </c>
      <c r="B85" s="102" t="s">
        <v>796</v>
      </c>
      <c r="C85" s="82">
        <f t="shared" si="32"/>
        <v>11855</v>
      </c>
      <c r="D85" s="86"/>
      <c r="E85" s="83"/>
      <c r="F85" s="86"/>
      <c r="G85" s="83"/>
      <c r="H85" s="86">
        <f>11855</f>
        <v>11855</v>
      </c>
      <c r="I85" s="83"/>
      <c r="J85" s="86"/>
      <c r="K85" s="83"/>
      <c r="L85" s="86"/>
    </row>
    <row r="86" spans="1:12" x14ac:dyDescent="0.25">
      <c r="A86" s="77" t="s">
        <v>251</v>
      </c>
      <c r="B86" s="78" t="s">
        <v>273</v>
      </c>
      <c r="C86" s="79">
        <f t="shared" si="32"/>
        <v>472476</v>
      </c>
      <c r="D86" s="89">
        <f>D87</f>
        <v>445436</v>
      </c>
      <c r="E86" s="90">
        <f t="shared" ref="E86:L86" si="37">E87</f>
        <v>0</v>
      </c>
      <c r="F86" s="89">
        <f t="shared" si="37"/>
        <v>8000</v>
      </c>
      <c r="G86" s="90">
        <f t="shared" si="37"/>
        <v>0</v>
      </c>
      <c r="H86" s="89">
        <f t="shared" si="37"/>
        <v>4432</v>
      </c>
      <c r="I86" s="90">
        <f t="shared" si="37"/>
        <v>0</v>
      </c>
      <c r="J86" s="89">
        <f t="shared" si="37"/>
        <v>0</v>
      </c>
      <c r="K86" s="90">
        <f t="shared" si="37"/>
        <v>0</v>
      </c>
      <c r="L86" s="89">
        <f t="shared" si="37"/>
        <v>14608</v>
      </c>
    </row>
    <row r="87" spans="1:12" ht="38.25" x14ac:dyDescent="0.25">
      <c r="A87" s="85" t="s">
        <v>252</v>
      </c>
      <c r="B87" s="102" t="s">
        <v>742</v>
      </c>
      <c r="C87" s="82">
        <f t="shared" si="32"/>
        <v>472476</v>
      </c>
      <c r="D87" s="86">
        <v>445436</v>
      </c>
      <c r="E87" s="83"/>
      <c r="F87" s="86">
        <v>8000</v>
      </c>
      <c r="G87" s="83"/>
      <c r="H87" s="86">
        <f>1764+2668</f>
        <v>4432</v>
      </c>
      <c r="I87" s="83"/>
      <c r="J87" s="86"/>
      <c r="K87" s="83"/>
      <c r="L87" s="86">
        <v>14608</v>
      </c>
    </row>
    <row r="88" spans="1:12" x14ac:dyDescent="0.25">
      <c r="A88" s="77" t="s">
        <v>253</v>
      </c>
      <c r="B88" s="78" t="s">
        <v>274</v>
      </c>
      <c r="C88" s="79">
        <f t="shared" si="32"/>
        <v>2265333</v>
      </c>
      <c r="D88" s="89">
        <f>D89+D90</f>
        <v>1739759</v>
      </c>
      <c r="E88" s="90">
        <f t="shared" ref="E88:L88" si="38">E89+E90</f>
        <v>0</v>
      </c>
      <c r="F88" s="89">
        <f t="shared" si="38"/>
        <v>442500</v>
      </c>
      <c r="G88" s="90">
        <f t="shared" si="38"/>
        <v>14133</v>
      </c>
      <c r="H88" s="89">
        <f t="shared" si="38"/>
        <v>20681</v>
      </c>
      <c r="I88" s="90">
        <f t="shared" si="38"/>
        <v>0</v>
      </c>
      <c r="J88" s="89">
        <f t="shared" si="38"/>
        <v>0</v>
      </c>
      <c r="K88" s="90">
        <f t="shared" si="38"/>
        <v>0</v>
      </c>
      <c r="L88" s="89">
        <f t="shared" si="38"/>
        <v>48260</v>
      </c>
    </row>
    <row r="89" spans="1:12" ht="15" customHeight="1" x14ac:dyDescent="0.25">
      <c r="A89" s="85" t="s">
        <v>254</v>
      </c>
      <c r="B89" s="102" t="s">
        <v>743</v>
      </c>
      <c r="C89" s="82">
        <f t="shared" si="32"/>
        <v>1621008</v>
      </c>
      <c r="D89" s="86">
        <f>1241757+206622</f>
        <v>1448379</v>
      </c>
      <c r="E89" s="83"/>
      <c r="F89" s="86">
        <v>113500</v>
      </c>
      <c r="G89" s="92">
        <v>14133</v>
      </c>
      <c r="H89" s="86">
        <f>2736</f>
        <v>2736</v>
      </c>
      <c r="I89" s="83"/>
      <c r="J89" s="86"/>
      <c r="K89" s="83"/>
      <c r="L89" s="86">
        <v>42260</v>
      </c>
    </row>
    <row r="90" spans="1:12" x14ac:dyDescent="0.25">
      <c r="A90" s="85" t="s">
        <v>255</v>
      </c>
      <c r="B90" s="102" t="s">
        <v>744</v>
      </c>
      <c r="C90" s="82">
        <f t="shared" si="32"/>
        <v>644325</v>
      </c>
      <c r="D90" s="86">
        <f>287880+3500</f>
        <v>291380</v>
      </c>
      <c r="E90" s="83"/>
      <c r="F90" s="86">
        <f>257000+52000+20000</f>
        <v>329000</v>
      </c>
      <c r="G90" s="92"/>
      <c r="H90" s="86">
        <f>7800+10145</f>
        <v>17945</v>
      </c>
      <c r="I90" s="83"/>
      <c r="J90" s="86"/>
      <c r="K90" s="83"/>
      <c r="L90" s="86">
        <v>6000</v>
      </c>
    </row>
    <row r="91" spans="1:12" x14ac:dyDescent="0.25">
      <c r="A91" s="77" t="s">
        <v>256</v>
      </c>
      <c r="B91" s="78" t="s">
        <v>275</v>
      </c>
      <c r="C91" s="79">
        <f t="shared" si="32"/>
        <v>204652</v>
      </c>
      <c r="D91" s="89">
        <f>SUM(D92:D94)</f>
        <v>200651</v>
      </c>
      <c r="E91" s="90">
        <f t="shared" ref="E91:L91" si="39">SUM(E92:E94)</f>
        <v>0</v>
      </c>
      <c r="F91" s="89">
        <f t="shared" si="39"/>
        <v>0</v>
      </c>
      <c r="G91" s="90">
        <f t="shared" si="39"/>
        <v>0</v>
      </c>
      <c r="H91" s="89">
        <f t="shared" si="39"/>
        <v>4000</v>
      </c>
      <c r="I91" s="90">
        <f t="shared" si="39"/>
        <v>0</v>
      </c>
      <c r="J91" s="89">
        <f t="shared" si="39"/>
        <v>0</v>
      </c>
      <c r="K91" s="90">
        <f t="shared" si="39"/>
        <v>0</v>
      </c>
      <c r="L91" s="89">
        <f t="shared" si="39"/>
        <v>1</v>
      </c>
    </row>
    <row r="92" spans="1:12" ht="25.5" x14ac:dyDescent="0.25">
      <c r="A92" s="85" t="s">
        <v>257</v>
      </c>
      <c r="B92" s="102" t="s">
        <v>276</v>
      </c>
      <c r="C92" s="82">
        <f t="shared" si="32"/>
        <v>102615</v>
      </c>
      <c r="D92" s="86">
        <v>101614</v>
      </c>
      <c r="E92" s="83"/>
      <c r="F92" s="86"/>
      <c r="G92" s="83"/>
      <c r="H92" s="86">
        <v>1000</v>
      </c>
      <c r="I92" s="83"/>
      <c r="J92" s="86"/>
      <c r="K92" s="83"/>
      <c r="L92" s="86">
        <v>1</v>
      </c>
    </row>
    <row r="93" spans="1:12" ht="25.5" x14ac:dyDescent="0.25">
      <c r="A93" s="85" t="s">
        <v>258</v>
      </c>
      <c r="B93" s="102" t="s">
        <v>381</v>
      </c>
      <c r="C93" s="82">
        <f t="shared" si="32"/>
        <v>86081</v>
      </c>
      <c r="D93" s="82">
        <f>79581+3500</f>
        <v>83081</v>
      </c>
      <c r="E93" s="83"/>
      <c r="F93" s="86"/>
      <c r="G93" s="83"/>
      <c r="H93" s="86">
        <f>3000</f>
        <v>3000</v>
      </c>
      <c r="I93" s="83"/>
      <c r="J93" s="86"/>
      <c r="K93" s="84"/>
      <c r="L93" s="82"/>
    </row>
    <row r="94" spans="1:12" ht="25.5" x14ac:dyDescent="0.25">
      <c r="A94" s="85" t="s">
        <v>259</v>
      </c>
      <c r="B94" s="102" t="s">
        <v>277</v>
      </c>
      <c r="C94" s="82">
        <f t="shared" si="32"/>
        <v>15956</v>
      </c>
      <c r="D94" s="82">
        <v>15956</v>
      </c>
      <c r="E94" s="83"/>
      <c r="F94" s="86"/>
      <c r="G94" s="83"/>
      <c r="H94" s="86"/>
      <c r="I94" s="83"/>
      <c r="J94" s="86"/>
      <c r="K94" s="84"/>
      <c r="L94" s="82"/>
    </row>
    <row r="95" spans="1:12" x14ac:dyDescent="0.25">
      <c r="A95" s="77" t="s">
        <v>260</v>
      </c>
      <c r="B95" s="78" t="s">
        <v>278</v>
      </c>
      <c r="C95" s="79">
        <f t="shared" si="32"/>
        <v>976047</v>
      </c>
      <c r="D95" s="79">
        <f>SUM(D96:D97)</f>
        <v>956082</v>
      </c>
      <c r="E95" s="90">
        <f t="shared" ref="E95:L95" si="40">SUM(E96:E97)</f>
        <v>0</v>
      </c>
      <c r="F95" s="89">
        <f t="shared" si="40"/>
        <v>0</v>
      </c>
      <c r="G95" s="90">
        <f t="shared" si="40"/>
        <v>0</v>
      </c>
      <c r="H95" s="89">
        <f t="shared" si="40"/>
        <v>19965</v>
      </c>
      <c r="I95" s="90">
        <f t="shared" si="40"/>
        <v>0</v>
      </c>
      <c r="J95" s="89">
        <f t="shared" si="40"/>
        <v>0</v>
      </c>
      <c r="K95" s="80">
        <f t="shared" si="40"/>
        <v>0</v>
      </c>
      <c r="L95" s="79">
        <f t="shared" si="40"/>
        <v>0</v>
      </c>
    </row>
    <row r="96" spans="1:12" ht="25.5" x14ac:dyDescent="0.25">
      <c r="A96" s="85" t="s">
        <v>261</v>
      </c>
      <c r="B96" s="102" t="s">
        <v>279</v>
      </c>
      <c r="C96" s="82">
        <f t="shared" si="32"/>
        <v>401854</v>
      </c>
      <c r="D96" s="82">
        <v>381889</v>
      </c>
      <c r="E96" s="83"/>
      <c r="F96" s="86"/>
      <c r="G96" s="83"/>
      <c r="H96" s="86">
        <v>19965</v>
      </c>
      <c r="I96" s="83"/>
      <c r="J96" s="86"/>
      <c r="K96" s="84"/>
      <c r="L96" s="82"/>
    </row>
    <row r="97" spans="1:12" x14ac:dyDescent="0.25">
      <c r="A97" s="85" t="s">
        <v>262</v>
      </c>
      <c r="B97" s="102" t="s">
        <v>280</v>
      </c>
      <c r="C97" s="82">
        <f t="shared" si="32"/>
        <v>574193</v>
      </c>
      <c r="D97" s="82">
        <f>446193+1500+126500</f>
        <v>574193</v>
      </c>
      <c r="E97" s="83"/>
      <c r="F97" s="86"/>
      <c r="G97" s="83"/>
      <c r="H97" s="86"/>
      <c r="I97" s="83"/>
      <c r="J97" s="86"/>
      <c r="K97" s="84"/>
      <c r="L97" s="82"/>
    </row>
    <row r="98" spans="1:12" ht="27" x14ac:dyDescent="0.25">
      <c r="A98" s="77" t="s">
        <v>263</v>
      </c>
      <c r="B98" s="88" t="s">
        <v>745</v>
      </c>
      <c r="C98" s="79">
        <f t="shared" si="32"/>
        <v>380072</v>
      </c>
      <c r="D98" s="79">
        <v>370717</v>
      </c>
      <c r="E98" s="90">
        <v>7047</v>
      </c>
      <c r="F98" s="89">
        <v>1050</v>
      </c>
      <c r="G98" s="90"/>
      <c r="H98" s="89"/>
      <c r="I98" s="90"/>
      <c r="J98" s="89"/>
      <c r="K98" s="80"/>
      <c r="L98" s="79">
        <v>1258</v>
      </c>
    </row>
    <row r="99" spans="1:12" ht="25.5" x14ac:dyDescent="0.25">
      <c r="A99" s="77" t="s">
        <v>264</v>
      </c>
      <c r="B99" s="78" t="s">
        <v>281</v>
      </c>
      <c r="C99" s="79">
        <f t="shared" si="32"/>
        <v>398565</v>
      </c>
      <c r="D99" s="79">
        <f>SUM(D100:D103)</f>
        <v>248165</v>
      </c>
      <c r="E99" s="90">
        <f t="shared" ref="E99:L99" si="41">SUM(E100:E103)</f>
        <v>400</v>
      </c>
      <c r="F99" s="89">
        <f t="shared" si="41"/>
        <v>0</v>
      </c>
      <c r="G99" s="90">
        <f t="shared" si="41"/>
        <v>0</v>
      </c>
      <c r="H99" s="89">
        <f t="shared" si="41"/>
        <v>0</v>
      </c>
      <c r="I99" s="90">
        <f t="shared" si="41"/>
        <v>150000</v>
      </c>
      <c r="J99" s="89">
        <f t="shared" si="41"/>
        <v>0</v>
      </c>
      <c r="K99" s="80">
        <f t="shared" si="41"/>
        <v>0</v>
      </c>
      <c r="L99" s="79">
        <f t="shared" si="41"/>
        <v>0</v>
      </c>
    </row>
    <row r="100" spans="1:12" x14ac:dyDescent="0.25">
      <c r="A100" s="85" t="s">
        <v>265</v>
      </c>
      <c r="B100" s="102" t="s">
        <v>282</v>
      </c>
      <c r="C100" s="82">
        <f t="shared" si="32"/>
        <v>42686</v>
      </c>
      <c r="D100" s="82">
        <v>42686</v>
      </c>
      <c r="E100" s="83"/>
      <c r="F100" s="86"/>
      <c r="G100" s="83"/>
      <c r="H100" s="86"/>
      <c r="I100" s="83"/>
      <c r="J100" s="86"/>
      <c r="K100" s="84"/>
      <c r="L100" s="82"/>
    </row>
    <row r="101" spans="1:12" x14ac:dyDescent="0.25">
      <c r="A101" s="85" t="s">
        <v>266</v>
      </c>
      <c r="B101" s="102" t="s">
        <v>283</v>
      </c>
      <c r="C101" s="82">
        <f t="shared" ref="C101:C103" si="42">SUM(D101:L101)</f>
        <v>20000</v>
      </c>
      <c r="D101" s="82">
        <v>20000</v>
      </c>
      <c r="E101" s="83"/>
      <c r="F101" s="86"/>
      <c r="G101" s="83"/>
      <c r="H101" s="86"/>
      <c r="I101" s="83"/>
      <c r="J101" s="86"/>
      <c r="K101" s="84"/>
      <c r="L101" s="82"/>
    </row>
    <row r="102" spans="1:12" ht="25.5" x14ac:dyDescent="0.25">
      <c r="A102" s="85" t="s">
        <v>267</v>
      </c>
      <c r="B102" s="102" t="s">
        <v>284</v>
      </c>
      <c r="C102" s="82">
        <f t="shared" si="42"/>
        <v>4300</v>
      </c>
      <c r="D102" s="82">
        <v>4300</v>
      </c>
      <c r="E102" s="83"/>
      <c r="F102" s="86"/>
      <c r="G102" s="83"/>
      <c r="H102" s="86"/>
      <c r="I102" s="83"/>
      <c r="J102" s="86"/>
      <c r="K102" s="84"/>
      <c r="L102" s="82"/>
    </row>
    <row r="103" spans="1:12" ht="25.5" x14ac:dyDescent="0.25">
      <c r="A103" s="85" t="s">
        <v>268</v>
      </c>
      <c r="B103" s="102" t="s">
        <v>285</v>
      </c>
      <c r="C103" s="82">
        <f t="shared" si="42"/>
        <v>331579</v>
      </c>
      <c r="D103" s="82">
        <f>166225+10600+4354</f>
        <v>181179</v>
      </c>
      <c r="E103" s="83">
        <v>400</v>
      </c>
      <c r="F103" s="86"/>
      <c r="G103" s="83"/>
      <c r="H103" s="86"/>
      <c r="I103" s="83">
        <v>150000</v>
      </c>
      <c r="J103" s="86"/>
      <c r="K103" s="84"/>
      <c r="L103" s="82"/>
    </row>
    <row r="104" spans="1:12" x14ac:dyDescent="0.25">
      <c r="A104" s="73" t="s">
        <v>30</v>
      </c>
      <c r="B104" s="74" t="s">
        <v>146</v>
      </c>
      <c r="C104" s="75">
        <f t="shared" ref="C104:C110" si="43">SUM(D104:L104)</f>
        <v>33627883</v>
      </c>
      <c r="D104" s="75">
        <f>D105+D108+D119+D125+D128+D132</f>
        <v>18716317</v>
      </c>
      <c r="E104" s="76">
        <f t="shared" ref="E104:L104" si="44">E105+E108+E119+E125+E128+E132</f>
        <v>3500</v>
      </c>
      <c r="F104" s="75">
        <f t="shared" si="44"/>
        <v>621483</v>
      </c>
      <c r="G104" s="76">
        <f t="shared" si="44"/>
        <v>33034</v>
      </c>
      <c r="H104" s="75">
        <f t="shared" si="44"/>
        <v>8835436</v>
      </c>
      <c r="I104" s="76">
        <f t="shared" si="44"/>
        <v>4350814</v>
      </c>
      <c r="J104" s="75">
        <f t="shared" si="44"/>
        <v>14700</v>
      </c>
      <c r="K104" s="76">
        <f t="shared" si="44"/>
        <v>0</v>
      </c>
      <c r="L104" s="75">
        <f t="shared" si="44"/>
        <v>1052599</v>
      </c>
    </row>
    <row r="105" spans="1:12" x14ac:dyDescent="0.25">
      <c r="A105" s="77" t="s">
        <v>286</v>
      </c>
      <c r="B105" s="78" t="s">
        <v>287</v>
      </c>
      <c r="C105" s="79">
        <f t="shared" si="43"/>
        <v>7774536</v>
      </c>
      <c r="D105" s="79">
        <f t="shared" ref="D105:L105" si="45">D106+D107</f>
        <v>6779631</v>
      </c>
      <c r="E105" s="80">
        <f t="shared" si="45"/>
        <v>0</v>
      </c>
      <c r="F105" s="79">
        <f t="shared" si="45"/>
        <v>103074</v>
      </c>
      <c r="G105" s="80">
        <f t="shared" si="45"/>
        <v>0</v>
      </c>
      <c r="H105" s="79">
        <f t="shared" si="45"/>
        <v>557424</v>
      </c>
      <c r="I105" s="80">
        <f t="shared" si="45"/>
        <v>293204</v>
      </c>
      <c r="J105" s="79">
        <f t="shared" si="45"/>
        <v>0</v>
      </c>
      <c r="K105" s="80">
        <f t="shared" si="45"/>
        <v>0</v>
      </c>
      <c r="L105" s="79">
        <f t="shared" si="45"/>
        <v>41203</v>
      </c>
    </row>
    <row r="106" spans="1:12" ht="25.5" x14ac:dyDescent="0.25">
      <c r="A106" s="85" t="s">
        <v>307</v>
      </c>
      <c r="B106" s="102" t="s">
        <v>322</v>
      </c>
      <c r="C106" s="82">
        <f t="shared" si="43"/>
        <v>7254287</v>
      </c>
      <c r="D106" s="82">
        <f>6189393+69989</f>
        <v>6259382</v>
      </c>
      <c r="E106" s="83"/>
      <c r="F106" s="86">
        <f>102924+150</f>
        <v>103074</v>
      </c>
      <c r="G106" s="83"/>
      <c r="H106" s="86">
        <v>557424</v>
      </c>
      <c r="I106" s="83">
        <f>293204</f>
        <v>293204</v>
      </c>
      <c r="J106" s="86"/>
      <c r="K106" s="83"/>
      <c r="L106" s="86">
        <v>41203</v>
      </c>
    </row>
    <row r="107" spans="1:12" ht="42.75" customHeight="1" x14ac:dyDescent="0.25">
      <c r="A107" s="85" t="s">
        <v>794</v>
      </c>
      <c r="B107" s="102" t="s">
        <v>795</v>
      </c>
      <c r="C107" s="82">
        <f t="shared" si="43"/>
        <v>520249</v>
      </c>
      <c r="D107" s="82">
        <f>520249</f>
        <v>520249</v>
      </c>
      <c r="E107" s="83"/>
      <c r="F107" s="86"/>
      <c r="G107" s="83"/>
      <c r="H107" s="86"/>
      <c r="I107" s="83"/>
      <c r="J107" s="86"/>
      <c r="K107" s="83"/>
      <c r="L107" s="86"/>
    </row>
    <row r="108" spans="1:12" ht="25.5" x14ac:dyDescent="0.25">
      <c r="A108" s="77" t="s">
        <v>288</v>
      </c>
      <c r="B108" s="78" t="s">
        <v>313</v>
      </c>
      <c r="C108" s="79">
        <f t="shared" si="43"/>
        <v>20415249</v>
      </c>
      <c r="D108" s="79">
        <f>D109+D116</f>
        <v>8322061</v>
      </c>
      <c r="E108" s="90">
        <f t="shared" ref="E108:L108" si="46">E109+E116</f>
        <v>-1090</v>
      </c>
      <c r="F108" s="89">
        <f t="shared" si="46"/>
        <v>164523</v>
      </c>
      <c r="G108" s="90">
        <f t="shared" si="46"/>
        <v>1930</v>
      </c>
      <c r="H108" s="89">
        <f t="shared" si="46"/>
        <v>7422729</v>
      </c>
      <c r="I108" s="90">
        <f t="shared" si="46"/>
        <v>3663110</v>
      </c>
      <c r="J108" s="89">
        <f t="shared" si="46"/>
        <v>14700</v>
      </c>
      <c r="K108" s="90">
        <f t="shared" si="46"/>
        <v>0</v>
      </c>
      <c r="L108" s="89">
        <f t="shared" si="46"/>
        <v>827286</v>
      </c>
    </row>
    <row r="109" spans="1:12" x14ac:dyDescent="0.25">
      <c r="A109" s="96" t="s">
        <v>289</v>
      </c>
      <c r="B109" s="78" t="s">
        <v>308</v>
      </c>
      <c r="C109" s="79">
        <f t="shared" si="43"/>
        <v>18478587</v>
      </c>
      <c r="D109" s="79">
        <f>SUM(D110:D115)</f>
        <v>7809644</v>
      </c>
      <c r="E109" s="90">
        <f t="shared" ref="E109:L109" si="47">SUM(E110:E115)</f>
        <v>-1090</v>
      </c>
      <c r="F109" s="89">
        <f t="shared" si="47"/>
        <v>136451</v>
      </c>
      <c r="G109" s="90">
        <f t="shared" si="47"/>
        <v>78</v>
      </c>
      <c r="H109" s="89">
        <f t="shared" si="47"/>
        <v>6513282</v>
      </c>
      <c r="I109" s="90">
        <f t="shared" si="47"/>
        <v>3479892</v>
      </c>
      <c r="J109" s="89">
        <f t="shared" si="47"/>
        <v>0</v>
      </c>
      <c r="K109" s="80">
        <f t="shared" si="47"/>
        <v>0</v>
      </c>
      <c r="L109" s="79">
        <f t="shared" si="47"/>
        <v>540330</v>
      </c>
    </row>
    <row r="110" spans="1:12" hidden="1" x14ac:dyDescent="0.25">
      <c r="A110" s="103"/>
      <c r="B110" s="104"/>
      <c r="C110" s="105">
        <f t="shared" si="43"/>
        <v>0</v>
      </c>
      <c r="D110" s="105"/>
      <c r="E110" s="83"/>
      <c r="F110" s="86"/>
      <c r="G110" s="83"/>
      <c r="H110" s="86"/>
      <c r="I110" s="83"/>
      <c r="J110" s="86"/>
      <c r="K110" s="106"/>
      <c r="L110" s="105"/>
    </row>
    <row r="111" spans="1:12" hidden="1" x14ac:dyDescent="0.25">
      <c r="A111" s="103"/>
      <c r="B111" s="104"/>
      <c r="C111" s="105">
        <f t="shared" ref="C111:C135" si="48">SUM(D111:L111)</f>
        <v>0</v>
      </c>
      <c r="D111" s="105"/>
      <c r="E111" s="83"/>
      <c r="F111" s="86"/>
      <c r="G111" s="83"/>
      <c r="H111" s="86"/>
      <c r="I111" s="83"/>
      <c r="J111" s="86"/>
      <c r="K111" s="106"/>
      <c r="L111" s="105"/>
    </row>
    <row r="112" spans="1:12" ht="25.5" x14ac:dyDescent="0.25">
      <c r="A112" s="85" t="s">
        <v>290</v>
      </c>
      <c r="B112" s="102" t="s">
        <v>768</v>
      </c>
      <c r="C112" s="82">
        <f t="shared" si="48"/>
        <v>13179149</v>
      </c>
      <c r="D112" s="82">
        <f>4825531+52000</f>
        <v>4877531</v>
      </c>
      <c r="E112" s="83">
        <v>-1090</v>
      </c>
      <c r="F112" s="86">
        <f>117304+107</f>
        <v>117411</v>
      </c>
      <c r="G112" s="83">
        <v>78</v>
      </c>
      <c r="H112" s="86">
        <f>5172556+12157</f>
        <v>5184713</v>
      </c>
      <c r="I112" s="83">
        <v>2721487</v>
      </c>
      <c r="J112" s="86"/>
      <c r="K112" s="83"/>
      <c r="L112" s="86">
        <v>279019</v>
      </c>
    </row>
    <row r="113" spans="1:12" ht="25.5" x14ac:dyDescent="0.25">
      <c r="A113" s="85" t="s">
        <v>291</v>
      </c>
      <c r="B113" s="102" t="s">
        <v>309</v>
      </c>
      <c r="C113" s="82">
        <f t="shared" si="48"/>
        <v>2495954</v>
      </c>
      <c r="D113" s="82">
        <f>90136+212556</f>
        <v>302692</v>
      </c>
      <c r="E113" s="83"/>
      <c r="F113" s="86">
        <v>11790</v>
      </c>
      <c r="G113" s="83"/>
      <c r="H113" s="86">
        <v>1280243</v>
      </c>
      <c r="I113" s="83">
        <v>705060</v>
      </c>
      <c r="J113" s="86"/>
      <c r="K113" s="83"/>
      <c r="L113" s="86">
        <v>196169</v>
      </c>
    </row>
    <row r="114" spans="1:12" ht="25.5" x14ac:dyDescent="0.25">
      <c r="A114" s="85" t="s">
        <v>292</v>
      </c>
      <c r="B114" s="102" t="s">
        <v>310</v>
      </c>
      <c r="C114" s="82">
        <f t="shared" si="48"/>
        <v>174063</v>
      </c>
      <c r="D114" s="82">
        <v>0</v>
      </c>
      <c r="E114" s="83"/>
      <c r="F114" s="86">
        <v>7250</v>
      </c>
      <c r="G114" s="83"/>
      <c r="H114" s="86">
        <f>41499+6827</f>
        <v>48326</v>
      </c>
      <c r="I114" s="83">
        <v>53345</v>
      </c>
      <c r="J114" s="86"/>
      <c r="K114" s="83"/>
      <c r="L114" s="86">
        <v>65142</v>
      </c>
    </row>
    <row r="115" spans="1:12" ht="38.25" x14ac:dyDescent="0.25">
      <c r="A115" s="85" t="s">
        <v>439</v>
      </c>
      <c r="B115" s="102" t="s">
        <v>440</v>
      </c>
      <c r="C115" s="82">
        <f t="shared" ref="C115" si="49">SUM(D115:L115)</f>
        <v>2629421</v>
      </c>
      <c r="D115" s="82">
        <v>2629421</v>
      </c>
      <c r="E115" s="83"/>
      <c r="F115" s="86"/>
      <c r="G115" s="83"/>
      <c r="H115" s="86"/>
      <c r="I115" s="83"/>
      <c r="J115" s="86"/>
      <c r="K115" s="83"/>
      <c r="L115" s="86"/>
    </row>
    <row r="116" spans="1:12" x14ac:dyDescent="0.25">
      <c r="A116" s="96" t="s">
        <v>314</v>
      </c>
      <c r="B116" s="78" t="s">
        <v>311</v>
      </c>
      <c r="C116" s="79">
        <f>SUM(D116:L116)</f>
        <v>1936662</v>
      </c>
      <c r="D116" s="79">
        <f>SUM(D117:D118)</f>
        <v>512417</v>
      </c>
      <c r="E116" s="90">
        <f t="shared" ref="E116:L116" si="50">SUM(E117:E118)</f>
        <v>0</v>
      </c>
      <c r="F116" s="89">
        <f t="shared" si="50"/>
        <v>28072</v>
      </c>
      <c r="G116" s="90">
        <f t="shared" si="50"/>
        <v>1852</v>
      </c>
      <c r="H116" s="89">
        <f t="shared" si="50"/>
        <v>909447</v>
      </c>
      <c r="I116" s="90">
        <f t="shared" si="50"/>
        <v>183218</v>
      </c>
      <c r="J116" s="89">
        <f t="shared" si="50"/>
        <v>14700</v>
      </c>
      <c r="K116" s="80">
        <f t="shared" si="50"/>
        <v>0</v>
      </c>
      <c r="L116" s="79">
        <f t="shared" si="50"/>
        <v>286956</v>
      </c>
    </row>
    <row r="117" spans="1:12" ht="25.5" x14ac:dyDescent="0.25">
      <c r="A117" s="85" t="s">
        <v>293</v>
      </c>
      <c r="B117" s="102" t="s">
        <v>769</v>
      </c>
      <c r="C117" s="82">
        <f t="shared" si="48"/>
        <v>1072625</v>
      </c>
      <c r="D117" s="82">
        <v>512417</v>
      </c>
      <c r="E117" s="83"/>
      <c r="F117" s="86">
        <f>9474+17950+648</f>
        <v>28072</v>
      </c>
      <c r="G117" s="83"/>
      <c r="H117" s="86">
        <v>338764</v>
      </c>
      <c r="I117" s="83">
        <v>166320</v>
      </c>
      <c r="J117" s="86">
        <v>14700</v>
      </c>
      <c r="K117" s="83"/>
      <c r="L117" s="82">
        <v>12352</v>
      </c>
    </row>
    <row r="118" spans="1:12" ht="25.5" x14ac:dyDescent="0.25">
      <c r="A118" s="85" t="s">
        <v>294</v>
      </c>
      <c r="B118" s="102" t="s">
        <v>315</v>
      </c>
      <c r="C118" s="82">
        <f t="shared" si="48"/>
        <v>864037</v>
      </c>
      <c r="D118" s="82"/>
      <c r="E118" s="83"/>
      <c r="F118" s="86"/>
      <c r="G118" s="83">
        <v>1852</v>
      </c>
      <c r="H118" s="86">
        <f>476492+94191</f>
        <v>570683</v>
      </c>
      <c r="I118" s="83">
        <v>16898</v>
      </c>
      <c r="J118" s="86"/>
      <c r="K118" s="83"/>
      <c r="L118" s="82">
        <v>274604</v>
      </c>
    </row>
    <row r="119" spans="1:12" x14ac:dyDescent="0.25">
      <c r="A119" s="77" t="s">
        <v>295</v>
      </c>
      <c r="B119" s="78" t="s">
        <v>312</v>
      </c>
      <c r="C119" s="79">
        <f>SUM(D119:L119)</f>
        <v>3289501</v>
      </c>
      <c r="D119" s="79">
        <f>SUM(D120:D124)</f>
        <v>2089871</v>
      </c>
      <c r="E119" s="90">
        <f t="shared" ref="E119:L119" si="51">SUM(E120:E124)</f>
        <v>0</v>
      </c>
      <c r="F119" s="89">
        <f t="shared" si="51"/>
        <v>186429</v>
      </c>
      <c r="G119" s="90">
        <f t="shared" si="51"/>
        <v>5955</v>
      </c>
      <c r="H119" s="89">
        <f t="shared" si="51"/>
        <v>733094</v>
      </c>
      <c r="I119" s="90">
        <f t="shared" si="51"/>
        <v>194301</v>
      </c>
      <c r="J119" s="79">
        <f t="shared" si="51"/>
        <v>0</v>
      </c>
      <c r="K119" s="80">
        <f t="shared" si="51"/>
        <v>0</v>
      </c>
      <c r="L119" s="79">
        <f t="shared" si="51"/>
        <v>79851</v>
      </c>
    </row>
    <row r="120" spans="1:12" ht="25.5" x14ac:dyDescent="0.25">
      <c r="A120" s="85" t="s">
        <v>43</v>
      </c>
      <c r="B120" s="102" t="s">
        <v>316</v>
      </c>
      <c r="C120" s="82">
        <f t="shared" si="48"/>
        <v>929418</v>
      </c>
      <c r="D120" s="82">
        <v>387992</v>
      </c>
      <c r="E120" s="83"/>
      <c r="F120" s="86">
        <v>55146</v>
      </c>
      <c r="G120" s="83">
        <v>5955</v>
      </c>
      <c r="H120" s="86">
        <v>298614</v>
      </c>
      <c r="I120" s="83">
        <v>167808</v>
      </c>
      <c r="J120" s="86"/>
      <c r="K120" s="83"/>
      <c r="L120" s="82">
        <v>13903</v>
      </c>
    </row>
    <row r="121" spans="1:12" ht="25.5" x14ac:dyDescent="0.25">
      <c r="A121" s="85" t="s">
        <v>45</v>
      </c>
      <c r="B121" s="102" t="s">
        <v>770</v>
      </c>
      <c r="C121" s="82">
        <f t="shared" si="48"/>
        <v>248505</v>
      </c>
      <c r="D121" s="82">
        <v>148421</v>
      </c>
      <c r="E121" s="83"/>
      <c r="F121" s="86">
        <v>13577</v>
      </c>
      <c r="G121" s="83"/>
      <c r="H121" s="86">
        <v>52921</v>
      </c>
      <c r="I121" s="83">
        <v>26493</v>
      </c>
      <c r="J121" s="86"/>
      <c r="K121" s="83"/>
      <c r="L121" s="82">
        <v>7093</v>
      </c>
    </row>
    <row r="122" spans="1:12" ht="25.5" x14ac:dyDescent="0.25">
      <c r="A122" s="85" t="s">
        <v>296</v>
      </c>
      <c r="B122" s="102" t="s">
        <v>771</v>
      </c>
      <c r="C122" s="82">
        <f t="shared" si="48"/>
        <v>2108276</v>
      </c>
      <c r="D122" s="82">
        <v>1553128</v>
      </c>
      <c r="E122" s="83"/>
      <c r="F122" s="86">
        <f>114506+3200</f>
        <v>117706</v>
      </c>
      <c r="G122" s="83"/>
      <c r="H122" s="86">
        <v>378587</v>
      </c>
      <c r="I122" s="83"/>
      <c r="J122" s="86"/>
      <c r="K122" s="83"/>
      <c r="L122" s="82">
        <v>58855</v>
      </c>
    </row>
    <row r="123" spans="1:12" ht="25.5" hidden="1" x14ac:dyDescent="0.25">
      <c r="A123" s="103" t="s">
        <v>297</v>
      </c>
      <c r="B123" s="104" t="s">
        <v>317</v>
      </c>
      <c r="C123" s="105">
        <f t="shared" si="48"/>
        <v>0</v>
      </c>
      <c r="D123" s="105"/>
      <c r="E123" s="106"/>
      <c r="F123" s="105"/>
      <c r="G123" s="106"/>
      <c r="H123" s="105"/>
      <c r="I123" s="106"/>
      <c r="J123" s="105"/>
      <c r="K123" s="106"/>
      <c r="L123" s="105"/>
    </row>
    <row r="124" spans="1:12" x14ac:dyDescent="0.25">
      <c r="A124" s="117" t="s">
        <v>441</v>
      </c>
      <c r="B124" s="118" t="s">
        <v>442</v>
      </c>
      <c r="C124" s="86">
        <f t="shared" ref="C124" si="52">SUM(D124:L124)</f>
        <v>3302</v>
      </c>
      <c r="D124" s="86">
        <v>330</v>
      </c>
      <c r="E124" s="83"/>
      <c r="F124" s="86"/>
      <c r="G124" s="83"/>
      <c r="H124" s="86">
        <v>2972</v>
      </c>
      <c r="I124" s="83"/>
      <c r="J124" s="86"/>
      <c r="K124" s="83"/>
      <c r="L124" s="86"/>
    </row>
    <row r="125" spans="1:12" x14ac:dyDescent="0.25">
      <c r="A125" s="77" t="s">
        <v>301</v>
      </c>
      <c r="B125" s="78" t="s">
        <v>318</v>
      </c>
      <c r="C125" s="79">
        <f>SUM(D125:L125)</f>
        <v>6300</v>
      </c>
      <c r="D125" s="79">
        <f>SUM(D126:D127)</f>
        <v>6300</v>
      </c>
      <c r="E125" s="90">
        <f t="shared" ref="E125:L125" si="53">SUM(E126:E127)</f>
        <v>0</v>
      </c>
      <c r="F125" s="89">
        <f t="shared" si="53"/>
        <v>0</v>
      </c>
      <c r="G125" s="90">
        <f t="shared" si="53"/>
        <v>0</v>
      </c>
      <c r="H125" s="89">
        <f t="shared" si="53"/>
        <v>0</v>
      </c>
      <c r="I125" s="90">
        <f t="shared" si="53"/>
        <v>0</v>
      </c>
      <c r="J125" s="89">
        <f t="shared" si="53"/>
        <v>0</v>
      </c>
      <c r="K125" s="90">
        <f t="shared" si="53"/>
        <v>0</v>
      </c>
      <c r="L125" s="79">
        <f t="shared" si="53"/>
        <v>0</v>
      </c>
    </row>
    <row r="126" spans="1:12" ht="25.5" x14ac:dyDescent="0.25">
      <c r="A126" s="85" t="s">
        <v>49</v>
      </c>
      <c r="B126" s="102" t="s">
        <v>319</v>
      </c>
      <c r="C126" s="82">
        <f t="shared" si="48"/>
        <v>4900</v>
      </c>
      <c r="D126" s="82">
        <f>2900+2000</f>
        <v>4900</v>
      </c>
      <c r="E126" s="83"/>
      <c r="F126" s="86"/>
      <c r="G126" s="83"/>
      <c r="H126" s="86"/>
      <c r="I126" s="83"/>
      <c r="J126" s="86"/>
      <c r="K126" s="83"/>
      <c r="L126" s="82"/>
    </row>
    <row r="127" spans="1:12" ht="25.5" x14ac:dyDescent="0.25">
      <c r="A127" s="85" t="s">
        <v>302</v>
      </c>
      <c r="B127" s="102" t="s">
        <v>323</v>
      </c>
      <c r="C127" s="82">
        <f t="shared" si="48"/>
        <v>1400</v>
      </c>
      <c r="D127" s="82">
        <v>1400</v>
      </c>
      <c r="E127" s="83"/>
      <c r="F127" s="86"/>
      <c r="G127" s="83"/>
      <c r="H127" s="86"/>
      <c r="I127" s="83"/>
      <c r="J127" s="82"/>
      <c r="K127" s="84"/>
      <c r="L127" s="82"/>
    </row>
    <row r="128" spans="1:12" ht="12.75" customHeight="1" x14ac:dyDescent="0.25">
      <c r="A128" s="77" t="s">
        <v>298</v>
      </c>
      <c r="B128" s="78" t="s">
        <v>320</v>
      </c>
      <c r="C128" s="79">
        <f>SUM(D128:L128)</f>
        <v>1183542</v>
      </c>
      <c r="D128" s="79">
        <f>SUM(D129:D131)</f>
        <v>740151</v>
      </c>
      <c r="E128" s="90">
        <f t="shared" ref="E128:L128" si="54">SUM(E129:E131)</f>
        <v>3500</v>
      </c>
      <c r="F128" s="89">
        <f t="shared" si="54"/>
        <v>166707</v>
      </c>
      <c r="G128" s="90">
        <f t="shared" si="54"/>
        <v>24346</v>
      </c>
      <c r="H128" s="89">
        <f t="shared" si="54"/>
        <v>105379</v>
      </c>
      <c r="I128" s="90">
        <f t="shared" si="54"/>
        <v>40507</v>
      </c>
      <c r="J128" s="79">
        <f t="shared" si="54"/>
        <v>0</v>
      </c>
      <c r="K128" s="80">
        <f t="shared" si="54"/>
        <v>0</v>
      </c>
      <c r="L128" s="79">
        <f t="shared" si="54"/>
        <v>102952</v>
      </c>
    </row>
    <row r="129" spans="1:12" ht="38.25" x14ac:dyDescent="0.25">
      <c r="A129" s="85" t="s">
        <v>299</v>
      </c>
      <c r="B129" s="102" t="s">
        <v>746</v>
      </c>
      <c r="C129" s="82">
        <f t="shared" si="48"/>
        <v>947365</v>
      </c>
      <c r="D129" s="82">
        <f>735151+5000</f>
        <v>740151</v>
      </c>
      <c r="E129" s="83">
        <v>3500</v>
      </c>
      <c r="F129" s="86">
        <v>138584</v>
      </c>
      <c r="G129" s="83">
        <v>24346</v>
      </c>
      <c r="H129" s="86"/>
      <c r="I129" s="83"/>
      <c r="J129" s="86"/>
      <c r="K129" s="83"/>
      <c r="L129" s="82">
        <v>40784</v>
      </c>
    </row>
    <row r="130" spans="1:12" ht="27.75" customHeight="1" x14ac:dyDescent="0.25">
      <c r="A130" s="85" t="s">
        <v>300</v>
      </c>
      <c r="B130" s="102" t="s">
        <v>747</v>
      </c>
      <c r="C130" s="82">
        <f t="shared" si="48"/>
        <v>183625</v>
      </c>
      <c r="D130" s="82"/>
      <c r="E130" s="83"/>
      <c r="F130" s="86">
        <f>4008+24115</f>
        <v>28123</v>
      </c>
      <c r="G130" s="83"/>
      <c r="H130" s="86">
        <f>36115+15855+23656</f>
        <v>75626</v>
      </c>
      <c r="I130" s="83">
        <v>30000</v>
      </c>
      <c r="J130" s="86"/>
      <c r="K130" s="83"/>
      <c r="L130" s="82">
        <v>49876</v>
      </c>
    </row>
    <row r="131" spans="1:12" x14ac:dyDescent="0.25">
      <c r="A131" s="85" t="s">
        <v>387</v>
      </c>
      <c r="B131" s="102" t="s">
        <v>388</v>
      </c>
      <c r="C131" s="82">
        <f t="shared" ref="C131" si="55">SUM(D131:L131)</f>
        <v>52552</v>
      </c>
      <c r="D131" s="82"/>
      <c r="E131" s="83"/>
      <c r="F131" s="86"/>
      <c r="G131" s="83"/>
      <c r="H131" s="86">
        <f>8207+21546</f>
        <v>29753</v>
      </c>
      <c r="I131" s="83">
        <v>10507</v>
      </c>
      <c r="J131" s="86"/>
      <c r="K131" s="83"/>
      <c r="L131" s="82">
        <v>12292</v>
      </c>
    </row>
    <row r="132" spans="1:12" x14ac:dyDescent="0.25">
      <c r="A132" s="77" t="s">
        <v>303</v>
      </c>
      <c r="B132" s="78" t="s">
        <v>321</v>
      </c>
      <c r="C132" s="79">
        <f>SUM(D132:L132)</f>
        <v>958755</v>
      </c>
      <c r="D132" s="79">
        <f>SUM(D133:D135)</f>
        <v>778303</v>
      </c>
      <c r="E132" s="90">
        <f t="shared" ref="E132:L132" si="56">SUM(E133:E135)</f>
        <v>1090</v>
      </c>
      <c r="F132" s="89">
        <f t="shared" si="56"/>
        <v>750</v>
      </c>
      <c r="G132" s="90">
        <f t="shared" si="56"/>
        <v>803</v>
      </c>
      <c r="H132" s="89">
        <f t="shared" si="56"/>
        <v>16810</v>
      </c>
      <c r="I132" s="90">
        <f t="shared" si="56"/>
        <v>159692</v>
      </c>
      <c r="J132" s="89">
        <f t="shared" si="56"/>
        <v>0</v>
      </c>
      <c r="K132" s="90">
        <f t="shared" si="56"/>
        <v>0</v>
      </c>
      <c r="L132" s="79">
        <f t="shared" si="56"/>
        <v>1307</v>
      </c>
    </row>
    <row r="133" spans="1:12" ht="25.5" x14ac:dyDescent="0.25">
      <c r="A133" s="85" t="s">
        <v>304</v>
      </c>
      <c r="B133" s="102" t="s">
        <v>748</v>
      </c>
      <c r="C133" s="82">
        <f t="shared" si="48"/>
        <v>728505</v>
      </c>
      <c r="D133" s="82">
        <v>725980</v>
      </c>
      <c r="E133" s="83">
        <v>1090</v>
      </c>
      <c r="F133" s="86">
        <v>500</v>
      </c>
      <c r="G133" s="83"/>
      <c r="H133" s="86"/>
      <c r="I133" s="83"/>
      <c r="J133" s="86"/>
      <c r="K133" s="83"/>
      <c r="L133" s="82">
        <v>935</v>
      </c>
    </row>
    <row r="134" spans="1:12" ht="25.5" x14ac:dyDescent="0.25">
      <c r="A134" s="117" t="s">
        <v>305</v>
      </c>
      <c r="B134" s="118" t="s">
        <v>749</v>
      </c>
      <c r="C134" s="86">
        <f t="shared" si="48"/>
        <v>176502</v>
      </c>
      <c r="D134" s="86"/>
      <c r="E134" s="83"/>
      <c r="F134" s="86"/>
      <c r="G134" s="83"/>
      <c r="H134" s="86">
        <v>16810</v>
      </c>
      <c r="I134" s="83">
        <v>159692</v>
      </c>
      <c r="J134" s="86"/>
      <c r="K134" s="83"/>
      <c r="L134" s="86"/>
    </row>
    <row r="135" spans="1:12" ht="25.5" x14ac:dyDescent="0.25">
      <c r="A135" s="85" t="s">
        <v>306</v>
      </c>
      <c r="B135" s="102" t="s">
        <v>750</v>
      </c>
      <c r="C135" s="82">
        <f t="shared" si="48"/>
        <v>53748</v>
      </c>
      <c r="D135" s="82">
        <v>52323</v>
      </c>
      <c r="E135" s="83"/>
      <c r="F135" s="86">
        <v>250</v>
      </c>
      <c r="G135" s="83">
        <v>803</v>
      </c>
      <c r="H135" s="86"/>
      <c r="I135" s="83"/>
      <c r="J135" s="82"/>
      <c r="K135" s="84"/>
      <c r="L135" s="82">
        <v>372</v>
      </c>
    </row>
    <row r="136" spans="1:12" x14ac:dyDescent="0.25">
      <c r="A136" s="73" t="s">
        <v>57</v>
      </c>
      <c r="B136" s="74" t="s">
        <v>147</v>
      </c>
      <c r="C136" s="75">
        <f>SUM(D136:L136)</f>
        <v>4696578</v>
      </c>
      <c r="D136" s="75">
        <f>D137+D144+D147+D151+D152+D153+D160</f>
        <v>4219414</v>
      </c>
      <c r="E136" s="76">
        <f t="shared" ref="E136:L136" si="57">E137+E144+E147+E151+E152+E153+E160</f>
        <v>24000</v>
      </c>
      <c r="F136" s="75">
        <f t="shared" si="57"/>
        <v>41276</v>
      </c>
      <c r="G136" s="76">
        <f t="shared" si="57"/>
        <v>0</v>
      </c>
      <c r="H136" s="75">
        <f t="shared" si="57"/>
        <v>370499</v>
      </c>
      <c r="I136" s="76">
        <f t="shared" si="57"/>
        <v>4037</v>
      </c>
      <c r="J136" s="75">
        <f t="shared" si="57"/>
        <v>3142</v>
      </c>
      <c r="K136" s="76">
        <f t="shared" si="57"/>
        <v>0</v>
      </c>
      <c r="L136" s="75">
        <f t="shared" si="57"/>
        <v>34210</v>
      </c>
    </row>
    <row r="137" spans="1:12" x14ac:dyDescent="0.25">
      <c r="A137" s="77" t="s">
        <v>324</v>
      </c>
      <c r="B137" s="78" t="s">
        <v>369</v>
      </c>
      <c r="C137" s="79">
        <f>SUM(D137:L137)</f>
        <v>697149</v>
      </c>
      <c r="D137" s="79">
        <f>SUM(D138:D143)</f>
        <v>368305</v>
      </c>
      <c r="E137" s="80">
        <f t="shared" ref="E137:L137" si="58">SUM(E138:E143)</f>
        <v>646</v>
      </c>
      <c r="F137" s="79">
        <f t="shared" si="58"/>
        <v>10060</v>
      </c>
      <c r="G137" s="80">
        <f t="shared" si="58"/>
        <v>0</v>
      </c>
      <c r="H137" s="79">
        <f t="shared" si="58"/>
        <v>302048</v>
      </c>
      <c r="I137" s="80">
        <f t="shared" si="58"/>
        <v>4037</v>
      </c>
      <c r="J137" s="79">
        <f t="shared" si="58"/>
        <v>3000</v>
      </c>
      <c r="K137" s="80">
        <f t="shared" si="58"/>
        <v>0</v>
      </c>
      <c r="L137" s="79">
        <f t="shared" si="58"/>
        <v>9053</v>
      </c>
    </row>
    <row r="138" spans="1:12" ht="25.5" x14ac:dyDescent="0.25">
      <c r="A138" s="85" t="s">
        <v>325</v>
      </c>
      <c r="B138" s="102" t="s">
        <v>766</v>
      </c>
      <c r="C138" s="82">
        <f>SUM(D138:L138)</f>
        <v>347056</v>
      </c>
      <c r="D138" s="82">
        <f>95731-2000</f>
        <v>93731</v>
      </c>
      <c r="E138" s="84"/>
      <c r="F138" s="82"/>
      <c r="G138" s="84"/>
      <c r="H138" s="82">
        <v>253323</v>
      </c>
      <c r="I138" s="84"/>
      <c r="J138" s="82"/>
      <c r="K138" s="84"/>
      <c r="L138" s="82">
        <v>2</v>
      </c>
    </row>
    <row r="139" spans="1:12" ht="38.25" x14ac:dyDescent="0.25">
      <c r="A139" s="85" t="s">
        <v>326</v>
      </c>
      <c r="B139" s="102" t="s">
        <v>350</v>
      </c>
      <c r="C139" s="82">
        <f t="shared" ref="C139:C150" si="59">SUM(D139:L139)</f>
        <v>84309</v>
      </c>
      <c r="D139" s="82">
        <v>77988</v>
      </c>
      <c r="E139" s="83"/>
      <c r="F139" s="86">
        <v>2560</v>
      </c>
      <c r="G139" s="84"/>
      <c r="H139" s="82"/>
      <c r="I139" s="84"/>
      <c r="J139" s="82">
        <v>3000</v>
      </c>
      <c r="K139" s="84"/>
      <c r="L139" s="82">
        <v>761</v>
      </c>
    </row>
    <row r="140" spans="1:12" x14ac:dyDescent="0.25">
      <c r="A140" s="85" t="s">
        <v>327</v>
      </c>
      <c r="B140" s="102" t="s">
        <v>351</v>
      </c>
      <c r="C140" s="82">
        <f t="shared" si="59"/>
        <v>70444</v>
      </c>
      <c r="D140" s="82">
        <v>69066</v>
      </c>
      <c r="E140" s="83"/>
      <c r="F140" s="86">
        <v>1000</v>
      </c>
      <c r="G140" s="84"/>
      <c r="H140" s="82"/>
      <c r="I140" s="84"/>
      <c r="J140" s="82"/>
      <c r="K140" s="84"/>
      <c r="L140" s="82">
        <v>378</v>
      </c>
    </row>
    <row r="141" spans="1:12" x14ac:dyDescent="0.25">
      <c r="A141" s="85" t="s">
        <v>328</v>
      </c>
      <c r="B141" s="102" t="s">
        <v>352</v>
      </c>
      <c r="C141" s="82">
        <f t="shared" si="59"/>
        <v>68523</v>
      </c>
      <c r="D141" s="82">
        <v>65814</v>
      </c>
      <c r="E141" s="83"/>
      <c r="F141" s="86">
        <v>2200</v>
      </c>
      <c r="G141" s="84"/>
      <c r="H141" s="82"/>
      <c r="I141" s="83"/>
      <c r="J141" s="82"/>
      <c r="K141" s="84"/>
      <c r="L141" s="82">
        <v>509</v>
      </c>
    </row>
    <row r="142" spans="1:12" x14ac:dyDescent="0.25">
      <c r="A142" s="85" t="s">
        <v>329</v>
      </c>
      <c r="B142" s="102" t="s">
        <v>353</v>
      </c>
      <c r="C142" s="82">
        <f t="shared" si="59"/>
        <v>111306</v>
      </c>
      <c r="D142" s="82">
        <v>61706</v>
      </c>
      <c r="E142" s="83"/>
      <c r="F142" s="86">
        <v>4300</v>
      </c>
      <c r="G142" s="83"/>
      <c r="H142" s="86">
        <v>43180</v>
      </c>
      <c r="I142" s="83"/>
      <c r="J142" s="86"/>
      <c r="K142" s="84"/>
      <c r="L142" s="82">
        <v>2120</v>
      </c>
    </row>
    <row r="143" spans="1:12" x14ac:dyDescent="0.25">
      <c r="A143" s="85" t="s">
        <v>389</v>
      </c>
      <c r="B143" s="102" t="s">
        <v>390</v>
      </c>
      <c r="C143" s="82">
        <f t="shared" ref="C143" si="60">SUM(D143:L143)</f>
        <v>15511</v>
      </c>
      <c r="D143" s="82"/>
      <c r="E143" s="83">
        <v>646</v>
      </c>
      <c r="F143" s="86"/>
      <c r="G143" s="83"/>
      <c r="H143" s="86">
        <f>3109+2436</f>
        <v>5545</v>
      </c>
      <c r="I143" s="83">
        <v>4037</v>
      </c>
      <c r="J143" s="86"/>
      <c r="K143" s="84"/>
      <c r="L143" s="82">
        <v>5283</v>
      </c>
    </row>
    <row r="144" spans="1:12" x14ac:dyDescent="0.25">
      <c r="A144" s="77" t="s">
        <v>330</v>
      </c>
      <c r="B144" s="78" t="s">
        <v>382</v>
      </c>
      <c r="C144" s="79">
        <f>SUM(D144:L144)</f>
        <v>443535</v>
      </c>
      <c r="D144" s="79">
        <f>SUM(D145:D146)</f>
        <v>424962</v>
      </c>
      <c r="E144" s="90">
        <f t="shared" ref="E144:L144" si="61">SUM(E145:E146)</f>
        <v>0</v>
      </c>
      <c r="F144" s="89">
        <f t="shared" si="61"/>
        <v>11000</v>
      </c>
      <c r="G144" s="90">
        <f t="shared" si="61"/>
        <v>0</v>
      </c>
      <c r="H144" s="89">
        <f t="shared" si="61"/>
        <v>0</v>
      </c>
      <c r="I144" s="90">
        <f t="shared" si="61"/>
        <v>0</v>
      </c>
      <c r="J144" s="89">
        <f t="shared" si="61"/>
        <v>0</v>
      </c>
      <c r="K144" s="80">
        <f t="shared" si="61"/>
        <v>0</v>
      </c>
      <c r="L144" s="79">
        <f t="shared" si="61"/>
        <v>7573</v>
      </c>
    </row>
    <row r="145" spans="1:12" ht="17.25" customHeight="1" x14ac:dyDescent="0.25">
      <c r="A145" s="85" t="s">
        <v>331</v>
      </c>
      <c r="B145" s="102" t="s">
        <v>354</v>
      </c>
      <c r="C145" s="82">
        <f t="shared" si="59"/>
        <v>265470</v>
      </c>
      <c r="D145" s="82">
        <v>250294</v>
      </c>
      <c r="E145" s="83"/>
      <c r="F145" s="86">
        <v>11000</v>
      </c>
      <c r="G145" s="83"/>
      <c r="H145" s="86"/>
      <c r="I145" s="83"/>
      <c r="J145" s="86"/>
      <c r="K145" s="84"/>
      <c r="L145" s="82">
        <v>4176</v>
      </c>
    </row>
    <row r="146" spans="1:12" x14ac:dyDescent="0.25">
      <c r="A146" s="85" t="s">
        <v>332</v>
      </c>
      <c r="B146" s="102" t="s">
        <v>355</v>
      </c>
      <c r="C146" s="82">
        <f t="shared" si="59"/>
        <v>178065</v>
      </c>
      <c r="D146" s="82">
        <f>150668+25000-1000</f>
        <v>174668</v>
      </c>
      <c r="E146" s="83"/>
      <c r="F146" s="86"/>
      <c r="G146" s="83"/>
      <c r="H146" s="86"/>
      <c r="I146" s="83"/>
      <c r="J146" s="86"/>
      <c r="K146" s="84"/>
      <c r="L146" s="82">
        <v>3397</v>
      </c>
    </row>
    <row r="147" spans="1:12" x14ac:dyDescent="0.25">
      <c r="A147" s="77" t="s">
        <v>333</v>
      </c>
      <c r="B147" s="78" t="s">
        <v>356</v>
      </c>
      <c r="C147" s="79">
        <f>SUM(D147:L147)</f>
        <v>789055</v>
      </c>
      <c r="D147" s="79">
        <f>SUM(D148:D150)</f>
        <v>757254</v>
      </c>
      <c r="E147" s="90">
        <f t="shared" ref="E147:L147" si="62">SUM(E148:E150)</f>
        <v>-646</v>
      </c>
      <c r="F147" s="89">
        <f t="shared" si="62"/>
        <v>6782</v>
      </c>
      <c r="G147" s="90">
        <f t="shared" si="62"/>
        <v>0</v>
      </c>
      <c r="H147" s="89">
        <f t="shared" si="62"/>
        <v>18451</v>
      </c>
      <c r="I147" s="90">
        <f t="shared" si="62"/>
        <v>0</v>
      </c>
      <c r="J147" s="89">
        <f t="shared" si="62"/>
        <v>0</v>
      </c>
      <c r="K147" s="80">
        <f t="shared" si="62"/>
        <v>0</v>
      </c>
      <c r="L147" s="79">
        <f t="shared" si="62"/>
        <v>7214</v>
      </c>
    </row>
    <row r="148" spans="1:12" ht="38.25" x14ac:dyDescent="0.25">
      <c r="A148" s="85" t="s">
        <v>334</v>
      </c>
      <c r="B148" s="102" t="s">
        <v>357</v>
      </c>
      <c r="C148" s="82">
        <f t="shared" si="59"/>
        <v>597980</v>
      </c>
      <c r="D148" s="82">
        <v>588377</v>
      </c>
      <c r="E148" s="83">
        <v>-646</v>
      </c>
      <c r="F148" s="86">
        <v>2846</v>
      </c>
      <c r="G148" s="83"/>
      <c r="H148" s="86">
        <v>291</v>
      </c>
      <c r="I148" s="83"/>
      <c r="J148" s="86"/>
      <c r="K148" s="84"/>
      <c r="L148" s="82">
        <v>7112</v>
      </c>
    </row>
    <row r="149" spans="1:12" ht="25.5" x14ac:dyDescent="0.25">
      <c r="A149" s="85" t="s">
        <v>335</v>
      </c>
      <c r="B149" s="102" t="s">
        <v>751</v>
      </c>
      <c r="C149" s="82">
        <f t="shared" si="59"/>
        <v>168978</v>
      </c>
      <c r="D149" s="82">
        <v>168877</v>
      </c>
      <c r="E149" s="83"/>
      <c r="F149" s="86"/>
      <c r="G149" s="83"/>
      <c r="H149" s="86"/>
      <c r="I149" s="83"/>
      <c r="J149" s="86"/>
      <c r="K149" s="84"/>
      <c r="L149" s="82">
        <v>101</v>
      </c>
    </row>
    <row r="150" spans="1:12" ht="51" x14ac:dyDescent="0.25">
      <c r="A150" s="85" t="s">
        <v>336</v>
      </c>
      <c r="B150" s="102" t="s">
        <v>358</v>
      </c>
      <c r="C150" s="82">
        <f t="shared" si="59"/>
        <v>22097</v>
      </c>
      <c r="D150" s="82"/>
      <c r="E150" s="83"/>
      <c r="F150" s="86">
        <f>400+3536</f>
        <v>3936</v>
      </c>
      <c r="G150" s="83"/>
      <c r="H150" s="82">
        <f>11646+6514</f>
        <v>18160</v>
      </c>
      <c r="I150" s="83"/>
      <c r="J150" s="82"/>
      <c r="K150" s="84"/>
      <c r="L150" s="82">
        <v>1</v>
      </c>
    </row>
    <row r="151" spans="1:12" x14ac:dyDescent="0.25">
      <c r="A151" s="87" t="s">
        <v>337</v>
      </c>
      <c r="B151" s="88" t="s">
        <v>359</v>
      </c>
      <c r="C151" s="79">
        <f>SUM(D151:L151)</f>
        <v>70186</v>
      </c>
      <c r="D151" s="79">
        <v>20000</v>
      </c>
      <c r="E151" s="90"/>
      <c r="F151" s="89"/>
      <c r="G151" s="90"/>
      <c r="H151" s="79">
        <f>35000+15000</f>
        <v>50000</v>
      </c>
      <c r="I151" s="90"/>
      <c r="J151" s="79"/>
      <c r="K151" s="80"/>
      <c r="L151" s="79">
        <v>186</v>
      </c>
    </row>
    <row r="152" spans="1:12" ht="27" x14ac:dyDescent="0.25">
      <c r="A152" s="87" t="s">
        <v>338</v>
      </c>
      <c r="B152" s="88" t="s">
        <v>360</v>
      </c>
      <c r="C152" s="79">
        <f>SUM(D152:L152)</f>
        <v>500000</v>
      </c>
      <c r="D152" s="79">
        <v>500000</v>
      </c>
      <c r="E152" s="90"/>
      <c r="F152" s="89"/>
      <c r="G152" s="90"/>
      <c r="H152" s="79"/>
      <c r="I152" s="90"/>
      <c r="J152" s="79"/>
      <c r="K152" s="80"/>
      <c r="L152" s="79"/>
    </row>
    <row r="153" spans="1:12" ht="25.5" x14ac:dyDescent="0.25">
      <c r="A153" s="77" t="s">
        <v>339</v>
      </c>
      <c r="B153" s="78" t="s">
        <v>361</v>
      </c>
      <c r="C153" s="79">
        <f>SUM(D153:L153)</f>
        <v>953022</v>
      </c>
      <c r="D153" s="79">
        <f>SUM(D154:D159)</f>
        <v>913987</v>
      </c>
      <c r="E153" s="90">
        <f t="shared" ref="E153:L153" si="63">SUM(E154:E159)</f>
        <v>24000</v>
      </c>
      <c r="F153" s="89">
        <f t="shared" si="63"/>
        <v>12240</v>
      </c>
      <c r="G153" s="90">
        <f t="shared" si="63"/>
        <v>0</v>
      </c>
      <c r="H153" s="79">
        <f t="shared" si="63"/>
        <v>0</v>
      </c>
      <c r="I153" s="80">
        <f t="shared" si="63"/>
        <v>0</v>
      </c>
      <c r="J153" s="79">
        <f t="shared" si="63"/>
        <v>142</v>
      </c>
      <c r="K153" s="80">
        <f t="shared" si="63"/>
        <v>0</v>
      </c>
      <c r="L153" s="79">
        <f t="shared" si="63"/>
        <v>2653</v>
      </c>
    </row>
    <row r="154" spans="1:12" x14ac:dyDescent="0.25">
      <c r="A154" s="85" t="s">
        <v>340</v>
      </c>
      <c r="B154" s="102" t="s">
        <v>362</v>
      </c>
      <c r="C154" s="82">
        <f t="shared" ref="C154:C164" si="64">SUM(D154:L154)</f>
        <v>9033</v>
      </c>
      <c r="D154" s="82">
        <v>9033</v>
      </c>
      <c r="E154" s="83"/>
      <c r="F154" s="86"/>
      <c r="G154" s="83"/>
      <c r="H154" s="82"/>
      <c r="I154" s="84"/>
      <c r="J154" s="82"/>
      <c r="K154" s="84"/>
      <c r="L154" s="82"/>
    </row>
    <row r="155" spans="1:12" ht="51" x14ac:dyDescent="0.25">
      <c r="A155" s="85" t="s">
        <v>341</v>
      </c>
      <c r="B155" s="102" t="s">
        <v>765</v>
      </c>
      <c r="C155" s="82">
        <f t="shared" si="64"/>
        <v>89031</v>
      </c>
      <c r="D155" s="82">
        <f>83031+3000+3000</f>
        <v>89031</v>
      </c>
      <c r="E155" s="83"/>
      <c r="F155" s="86"/>
      <c r="G155" s="83"/>
      <c r="H155" s="82"/>
      <c r="I155" s="84"/>
      <c r="J155" s="82"/>
      <c r="K155" s="84"/>
      <c r="L155" s="82"/>
    </row>
    <row r="156" spans="1:12" x14ac:dyDescent="0.25">
      <c r="A156" s="85" t="s">
        <v>342</v>
      </c>
      <c r="B156" s="102" t="s">
        <v>363</v>
      </c>
      <c r="C156" s="82">
        <f t="shared" si="64"/>
        <v>84456</v>
      </c>
      <c r="D156" s="82">
        <v>80268</v>
      </c>
      <c r="E156" s="83"/>
      <c r="F156" s="86">
        <v>4000</v>
      </c>
      <c r="G156" s="83"/>
      <c r="H156" s="82"/>
      <c r="I156" s="84"/>
      <c r="J156" s="82"/>
      <c r="K156" s="84"/>
      <c r="L156" s="82">
        <v>188</v>
      </c>
    </row>
    <row r="157" spans="1:12" ht="25.5" x14ac:dyDescent="0.25">
      <c r="A157" s="85" t="s">
        <v>343</v>
      </c>
      <c r="B157" s="102" t="s">
        <v>752</v>
      </c>
      <c r="C157" s="82">
        <f t="shared" si="64"/>
        <v>667569</v>
      </c>
      <c r="D157" s="82">
        <f>609488+26487</f>
        <v>635975</v>
      </c>
      <c r="E157" s="92">
        <v>24000</v>
      </c>
      <c r="F157" s="82">
        <v>5240</v>
      </c>
      <c r="G157" s="84"/>
      <c r="H157" s="82"/>
      <c r="I157" s="84"/>
      <c r="J157" s="82"/>
      <c r="K157" s="84"/>
      <c r="L157" s="82">
        <v>2354</v>
      </c>
    </row>
    <row r="158" spans="1:12" x14ac:dyDescent="0.25">
      <c r="A158" s="85" t="s">
        <v>344</v>
      </c>
      <c r="B158" s="102" t="s">
        <v>364</v>
      </c>
      <c r="C158" s="82">
        <f t="shared" si="64"/>
        <v>15200</v>
      </c>
      <c r="D158" s="82">
        <v>12200</v>
      </c>
      <c r="E158" s="83"/>
      <c r="F158" s="82">
        <v>3000</v>
      </c>
      <c r="G158" s="84"/>
      <c r="H158" s="82"/>
      <c r="I158" s="84"/>
      <c r="J158" s="82"/>
      <c r="K158" s="84"/>
      <c r="L158" s="82"/>
    </row>
    <row r="159" spans="1:12" ht="25.5" x14ac:dyDescent="0.25">
      <c r="A159" s="85" t="s">
        <v>345</v>
      </c>
      <c r="B159" s="102" t="s">
        <v>753</v>
      </c>
      <c r="C159" s="82">
        <f t="shared" si="64"/>
        <v>87733</v>
      </c>
      <c r="D159" s="82">
        <v>87480</v>
      </c>
      <c r="E159" s="83"/>
      <c r="F159" s="82"/>
      <c r="G159" s="84"/>
      <c r="H159" s="82"/>
      <c r="I159" s="84"/>
      <c r="J159" s="82">
        <v>142</v>
      </c>
      <c r="K159" s="84"/>
      <c r="L159" s="82">
        <v>111</v>
      </c>
    </row>
    <row r="160" spans="1:12" ht="25.5" x14ac:dyDescent="0.25">
      <c r="A160" s="77" t="s">
        <v>346</v>
      </c>
      <c r="B160" s="78" t="s">
        <v>365</v>
      </c>
      <c r="C160" s="79">
        <f>SUM(D160:L160)</f>
        <v>1243631</v>
      </c>
      <c r="D160" s="79">
        <f>SUM(D161:D164)</f>
        <v>1234906</v>
      </c>
      <c r="E160" s="80">
        <f t="shared" ref="E160:L160" si="65">SUM(E161:E164)</f>
        <v>0</v>
      </c>
      <c r="F160" s="79">
        <f t="shared" si="65"/>
        <v>1194</v>
      </c>
      <c r="G160" s="80">
        <f t="shared" si="65"/>
        <v>0</v>
      </c>
      <c r="H160" s="79">
        <f t="shared" si="65"/>
        <v>0</v>
      </c>
      <c r="I160" s="80">
        <f t="shared" si="65"/>
        <v>0</v>
      </c>
      <c r="J160" s="79">
        <f t="shared" si="65"/>
        <v>0</v>
      </c>
      <c r="K160" s="80">
        <f t="shared" si="65"/>
        <v>0</v>
      </c>
      <c r="L160" s="79">
        <f t="shared" si="65"/>
        <v>7531</v>
      </c>
    </row>
    <row r="161" spans="1:12" ht="25.5" x14ac:dyDescent="0.25">
      <c r="A161" s="85" t="s">
        <v>366</v>
      </c>
      <c r="B161" s="102" t="s">
        <v>754</v>
      </c>
      <c r="C161" s="82">
        <f t="shared" si="64"/>
        <v>989431</v>
      </c>
      <c r="D161" s="82">
        <v>984714</v>
      </c>
      <c r="E161" s="83"/>
      <c r="F161" s="82">
        <v>1194</v>
      </c>
      <c r="G161" s="84"/>
      <c r="H161" s="82"/>
      <c r="I161" s="84"/>
      <c r="J161" s="82"/>
      <c r="K161" s="84"/>
      <c r="L161" s="82">
        <v>3523</v>
      </c>
    </row>
    <row r="162" spans="1:12" ht="38.25" hidden="1" x14ac:dyDescent="0.25">
      <c r="A162" s="103" t="s">
        <v>347</v>
      </c>
      <c r="B162" s="104" t="s">
        <v>367</v>
      </c>
      <c r="C162" s="105">
        <f t="shared" si="64"/>
        <v>0</v>
      </c>
      <c r="D162" s="105"/>
      <c r="E162" s="106"/>
      <c r="F162" s="105"/>
      <c r="G162" s="106"/>
      <c r="H162" s="105"/>
      <c r="I162" s="106"/>
      <c r="J162" s="105"/>
      <c r="K162" s="106"/>
      <c r="L162" s="105"/>
    </row>
    <row r="163" spans="1:12" ht="25.5" x14ac:dyDescent="0.25">
      <c r="A163" s="85" t="s">
        <v>348</v>
      </c>
      <c r="B163" s="102" t="s">
        <v>383</v>
      </c>
      <c r="C163" s="82">
        <f t="shared" si="64"/>
        <v>9200</v>
      </c>
      <c r="D163" s="82">
        <v>9200</v>
      </c>
      <c r="E163" s="84"/>
      <c r="F163" s="82"/>
      <c r="G163" s="84"/>
      <c r="H163" s="82"/>
      <c r="I163" s="84"/>
      <c r="J163" s="82"/>
      <c r="K163" s="84"/>
      <c r="L163" s="82"/>
    </row>
    <row r="164" spans="1:12" ht="25.5" x14ac:dyDescent="0.25">
      <c r="A164" s="85" t="s">
        <v>349</v>
      </c>
      <c r="B164" s="102" t="s">
        <v>368</v>
      </c>
      <c r="C164" s="82">
        <f t="shared" si="64"/>
        <v>245000</v>
      </c>
      <c r="D164" s="82">
        <v>240992</v>
      </c>
      <c r="E164" s="84"/>
      <c r="F164" s="82"/>
      <c r="G164" s="84"/>
      <c r="H164" s="82"/>
      <c r="I164" s="84"/>
      <c r="J164" s="82"/>
      <c r="K164" s="84"/>
      <c r="L164" s="82">
        <v>4008</v>
      </c>
    </row>
    <row r="165" spans="1:12" x14ac:dyDescent="0.25">
      <c r="A165" s="71"/>
      <c r="B165" s="97" t="s">
        <v>136</v>
      </c>
      <c r="C165" s="52">
        <f>SUM(D165:L165)</f>
        <v>6332012</v>
      </c>
      <c r="D165" s="52">
        <f>D166+D167+D173</f>
        <v>3110869</v>
      </c>
      <c r="E165" s="72">
        <f t="shared" ref="E165:L165" si="66">E166+E167+E173</f>
        <v>-842319</v>
      </c>
      <c r="F165" s="52">
        <f t="shared" si="66"/>
        <v>0</v>
      </c>
      <c r="G165" s="72">
        <f t="shared" si="66"/>
        <v>0</v>
      </c>
      <c r="H165" s="52">
        <f t="shared" si="66"/>
        <v>2528491</v>
      </c>
      <c r="I165" s="72">
        <f t="shared" si="66"/>
        <v>0</v>
      </c>
      <c r="J165" s="52">
        <f t="shared" si="66"/>
        <v>0</v>
      </c>
      <c r="K165" s="72">
        <f t="shared" si="66"/>
        <v>0</v>
      </c>
      <c r="L165" s="52">
        <f t="shared" si="66"/>
        <v>1534971</v>
      </c>
    </row>
    <row r="166" spans="1:12" x14ac:dyDescent="0.25">
      <c r="A166" s="77" t="s">
        <v>137</v>
      </c>
      <c r="B166" s="78" t="s">
        <v>148</v>
      </c>
      <c r="C166" s="79">
        <f>SUM(D166:L166)</f>
        <v>4063462</v>
      </c>
      <c r="D166" s="79"/>
      <c r="E166" s="90"/>
      <c r="F166" s="89"/>
      <c r="G166" s="90"/>
      <c r="H166" s="89">
        <v>2528491</v>
      </c>
      <c r="I166" s="90"/>
      <c r="J166" s="89"/>
      <c r="K166" s="80"/>
      <c r="L166" s="53">
        <v>1534971</v>
      </c>
    </row>
    <row r="167" spans="1:12" ht="25.5" x14ac:dyDescent="0.25">
      <c r="A167" s="77" t="s">
        <v>138</v>
      </c>
      <c r="B167" s="78" t="s">
        <v>149</v>
      </c>
      <c r="C167" s="79">
        <f>SUM(D167:L167)</f>
        <v>2144043</v>
      </c>
      <c r="D167" s="79">
        <f>SUM(D168:D172)</f>
        <v>2810869</v>
      </c>
      <c r="E167" s="90">
        <f t="shared" ref="E167:L167" si="67">SUM(E168:E172)</f>
        <v>-666826</v>
      </c>
      <c r="F167" s="89">
        <f t="shared" si="67"/>
        <v>0</v>
      </c>
      <c r="G167" s="90">
        <f t="shared" si="67"/>
        <v>0</v>
      </c>
      <c r="H167" s="89">
        <f t="shared" si="67"/>
        <v>0</v>
      </c>
      <c r="I167" s="90">
        <f t="shared" si="67"/>
        <v>0</v>
      </c>
      <c r="J167" s="89">
        <f t="shared" si="67"/>
        <v>0</v>
      </c>
      <c r="K167" s="80">
        <f t="shared" si="67"/>
        <v>0</v>
      </c>
      <c r="L167" s="79">
        <f t="shared" si="67"/>
        <v>0</v>
      </c>
    </row>
    <row r="168" spans="1:12" ht="15" customHeight="1" x14ac:dyDescent="0.25">
      <c r="A168" s="95"/>
      <c r="B168" s="102" t="s">
        <v>755</v>
      </c>
      <c r="C168" s="82">
        <f t="shared" ref="C168:C172" si="68">SUM(D168:L168)</f>
        <v>40000</v>
      </c>
      <c r="D168" s="82">
        <v>40000</v>
      </c>
      <c r="E168" s="83"/>
      <c r="F168" s="82"/>
      <c r="G168" s="84"/>
      <c r="H168" s="82"/>
      <c r="I168" s="84"/>
      <c r="J168" s="82"/>
      <c r="K168" s="84"/>
      <c r="L168" s="55"/>
    </row>
    <row r="169" spans="1:12" x14ac:dyDescent="0.25">
      <c r="A169" s="95"/>
      <c r="B169" s="102" t="s">
        <v>428</v>
      </c>
      <c r="C169" s="82">
        <f t="shared" si="68"/>
        <v>1496459</v>
      </c>
      <c r="D169" s="82">
        <v>2165586</v>
      </c>
      <c r="E169" s="83">
        <v>-669127</v>
      </c>
      <c r="F169" s="82"/>
      <c r="G169" s="84"/>
      <c r="H169" s="82"/>
      <c r="I169" s="84"/>
      <c r="J169" s="82"/>
      <c r="K169" s="84"/>
      <c r="L169" s="55"/>
    </row>
    <row r="170" spans="1:12" x14ac:dyDescent="0.25">
      <c r="A170" s="95"/>
      <c r="B170" s="102" t="s">
        <v>427</v>
      </c>
      <c r="C170" s="82">
        <f t="shared" si="68"/>
        <v>520244</v>
      </c>
      <c r="D170" s="82">
        <v>517943</v>
      </c>
      <c r="E170" s="83">
        <v>2301</v>
      </c>
      <c r="F170" s="82"/>
      <c r="G170" s="84"/>
      <c r="H170" s="82"/>
      <c r="I170" s="84"/>
      <c r="J170" s="82"/>
      <c r="K170" s="84"/>
      <c r="L170" s="55"/>
    </row>
    <row r="171" spans="1:12" x14ac:dyDescent="0.25">
      <c r="A171" s="95"/>
      <c r="B171" s="102" t="s">
        <v>425</v>
      </c>
      <c r="C171" s="82">
        <f t="shared" si="68"/>
        <v>37340</v>
      </c>
      <c r="D171" s="82">
        <v>37340</v>
      </c>
      <c r="E171" s="83"/>
      <c r="F171" s="82"/>
      <c r="G171" s="84"/>
      <c r="H171" s="82"/>
      <c r="I171" s="84"/>
      <c r="J171" s="82"/>
      <c r="K171" s="84"/>
      <c r="L171" s="55"/>
    </row>
    <row r="172" spans="1:12" x14ac:dyDescent="0.25">
      <c r="A172" s="95"/>
      <c r="B172" s="102" t="s">
        <v>424</v>
      </c>
      <c r="C172" s="82">
        <f t="shared" si="68"/>
        <v>50000</v>
      </c>
      <c r="D172" s="82">
        <v>50000</v>
      </c>
      <c r="E172" s="83"/>
      <c r="F172" s="82"/>
      <c r="G172" s="84"/>
      <c r="H172" s="82"/>
      <c r="I172" s="84"/>
      <c r="J172" s="82"/>
      <c r="K172" s="84"/>
      <c r="L172" s="55"/>
    </row>
    <row r="173" spans="1:12" ht="15.75" customHeight="1" x14ac:dyDescent="0.25">
      <c r="A173" s="77" t="s">
        <v>116</v>
      </c>
      <c r="B173" s="78" t="s">
        <v>151</v>
      </c>
      <c r="C173" s="79">
        <f>SUM(D173:K173)</f>
        <v>124507</v>
      </c>
      <c r="D173" s="79">
        <v>300000</v>
      </c>
      <c r="E173" s="90">
        <v>-175493</v>
      </c>
      <c r="F173" s="79"/>
      <c r="G173" s="80"/>
      <c r="H173" s="79"/>
      <c r="I173" s="80"/>
      <c r="J173" s="79"/>
      <c r="K173" s="80"/>
      <c r="L173" s="53"/>
    </row>
    <row r="174" spans="1:12" x14ac:dyDescent="0.25">
      <c r="A174" s="98"/>
      <c r="B174" s="99" t="s">
        <v>370</v>
      </c>
      <c r="C174" s="100">
        <f>C11+C165</f>
        <v>72732464</v>
      </c>
      <c r="D174" s="100">
        <f>D11+D165</f>
        <v>48141077</v>
      </c>
      <c r="E174" s="101">
        <f>E11+E165</f>
        <v>-545717</v>
      </c>
      <c r="F174" s="100">
        <f t="shared" ref="F174:L174" si="69">F11+F165</f>
        <v>1869661</v>
      </c>
      <c r="G174" s="101">
        <f t="shared" si="69"/>
        <v>47167</v>
      </c>
      <c r="H174" s="100">
        <f t="shared" si="69"/>
        <v>12924756</v>
      </c>
      <c r="I174" s="101">
        <f t="shared" si="69"/>
        <v>4570404</v>
      </c>
      <c r="J174" s="100">
        <f t="shared" si="69"/>
        <v>748018</v>
      </c>
      <c r="K174" s="101">
        <f t="shared" si="69"/>
        <v>888</v>
      </c>
      <c r="L174" s="100">
        <f t="shared" si="69"/>
        <v>4976210</v>
      </c>
    </row>
    <row r="175" spans="1:12" x14ac:dyDescent="0.25">
      <c r="A175" s="25"/>
      <c r="B175" s="22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2" x14ac:dyDescent="0.25">
      <c r="A176" s="25"/>
      <c r="B176" s="22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2" ht="18.75" x14ac:dyDescent="0.3">
      <c r="A177" s="369" t="s">
        <v>126</v>
      </c>
      <c r="B177" s="369"/>
      <c r="C177" s="17"/>
      <c r="D177" s="17"/>
      <c r="E177" s="17"/>
      <c r="F177" s="17"/>
      <c r="G177" s="17"/>
      <c r="H177" s="17"/>
      <c r="I177" s="17"/>
      <c r="J177" s="17"/>
      <c r="K177" s="370" t="s">
        <v>127</v>
      </c>
      <c r="L177" s="370"/>
    </row>
    <row r="178" spans="1:12" x14ac:dyDescent="0.25">
      <c r="A178" s="25"/>
      <c r="B178" s="22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2" x14ac:dyDescent="0.25">
      <c r="A179" s="25"/>
      <c r="B179" s="22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2" x14ac:dyDescent="0.25">
      <c r="A180" s="25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2" x14ac:dyDescent="0.25">
      <c r="A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2" x14ac:dyDescent="0.25">
      <c r="A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2" x14ac:dyDescent="0.25">
      <c r="A183" s="25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2" x14ac:dyDescent="0.25">
      <c r="A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2" x14ac:dyDescent="0.25">
      <c r="A185" s="25"/>
      <c r="B185" s="22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2" x14ac:dyDescent="0.25">
      <c r="A186" s="25"/>
      <c r="B186" s="22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2" x14ac:dyDescent="0.25">
      <c r="A187" s="25"/>
      <c r="B187" s="22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2" x14ac:dyDescent="0.25">
      <c r="A188" s="25"/>
      <c r="B188" s="22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2" x14ac:dyDescent="0.25">
      <c r="A189" s="25"/>
      <c r="B189" s="22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2" x14ac:dyDescent="0.25">
      <c r="A190" s="25"/>
      <c r="B190" s="22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2" x14ac:dyDescent="0.25">
      <c r="A191" s="25"/>
      <c r="B191" s="22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2" x14ac:dyDescent="0.25">
      <c r="A192" s="25"/>
      <c r="B192" s="22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 x14ac:dyDescent="0.25">
      <c r="A193" s="25"/>
      <c r="B193" s="22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 x14ac:dyDescent="0.25">
      <c r="A194" s="25"/>
      <c r="B194" s="22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 x14ac:dyDescent="0.25">
      <c r="A195" s="25"/>
      <c r="B195" s="22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 x14ac:dyDescent="0.25">
      <c r="A196" s="25"/>
      <c r="B196" s="22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 x14ac:dyDescent="0.25">
      <c r="A197" s="25"/>
      <c r="B197" s="22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 x14ac:dyDescent="0.25">
      <c r="A198" s="25"/>
      <c r="B198" s="22"/>
      <c r="C198" s="25"/>
      <c r="D198" s="25"/>
      <c r="E198" s="25"/>
      <c r="F198" s="25"/>
      <c r="G198" s="25"/>
      <c r="H198" s="25"/>
      <c r="I198" s="25"/>
      <c r="J198" s="25"/>
      <c r="K198" s="25"/>
    </row>
    <row r="199" spans="1:11" x14ac:dyDescent="0.25">
      <c r="A199" s="25"/>
      <c r="B199" s="22"/>
      <c r="C199" s="25"/>
      <c r="D199" s="25"/>
      <c r="E199" s="25"/>
      <c r="F199" s="25"/>
      <c r="G199" s="25"/>
      <c r="H199" s="25"/>
      <c r="I199" s="25"/>
      <c r="J199" s="25"/>
      <c r="K199" s="25"/>
    </row>
    <row r="200" spans="1:11" x14ac:dyDescent="0.25">
      <c r="A200" s="25"/>
      <c r="B200" s="22"/>
      <c r="C200" s="25"/>
      <c r="D200" s="25"/>
      <c r="E200" s="25"/>
      <c r="F200" s="25"/>
      <c r="G200" s="25"/>
      <c r="H200" s="25"/>
      <c r="I200" s="25"/>
      <c r="J200" s="25"/>
      <c r="K200" s="25"/>
    </row>
    <row r="201" spans="1:11" x14ac:dyDescent="0.25">
      <c r="A201" s="25"/>
      <c r="B201" s="22"/>
      <c r="C201" s="25"/>
      <c r="D201" s="25"/>
      <c r="E201" s="25"/>
      <c r="F201" s="25"/>
      <c r="G201" s="25"/>
      <c r="H201" s="25"/>
      <c r="I201" s="25"/>
      <c r="J201" s="25"/>
      <c r="K201" s="25"/>
    </row>
    <row r="202" spans="1:11" x14ac:dyDescent="0.25">
      <c r="A202" s="25"/>
      <c r="B202" s="22"/>
      <c r="C202" s="25"/>
      <c r="D202" s="25"/>
      <c r="E202" s="25"/>
      <c r="F202" s="25"/>
      <c r="G202" s="25"/>
      <c r="H202" s="25"/>
      <c r="I202" s="25"/>
      <c r="J202" s="25"/>
      <c r="K202" s="25"/>
    </row>
    <row r="203" spans="1:11" x14ac:dyDescent="0.25">
      <c r="A203" s="25"/>
      <c r="B203" s="22"/>
      <c r="C203" s="25"/>
      <c r="D203" s="25"/>
      <c r="E203" s="25"/>
      <c r="F203" s="25"/>
      <c r="G203" s="25"/>
      <c r="H203" s="25"/>
      <c r="I203" s="25"/>
      <c r="J203" s="25"/>
      <c r="K203" s="25"/>
    </row>
    <row r="204" spans="1:11" x14ac:dyDescent="0.25">
      <c r="A204" s="25"/>
      <c r="B204" s="22"/>
      <c r="C204" s="25"/>
      <c r="D204" s="25"/>
      <c r="E204" s="25"/>
      <c r="F204" s="25"/>
      <c r="G204" s="25"/>
      <c r="H204" s="25"/>
      <c r="I204" s="25"/>
      <c r="J204" s="25"/>
      <c r="K204" s="25"/>
    </row>
    <row r="205" spans="1:11" x14ac:dyDescent="0.25">
      <c r="A205" s="25"/>
      <c r="B205" s="22"/>
      <c r="C205" s="25"/>
      <c r="D205" s="25"/>
      <c r="E205" s="25"/>
      <c r="F205" s="25"/>
      <c r="G205" s="25"/>
      <c r="H205" s="25"/>
      <c r="I205" s="25"/>
      <c r="J205" s="25"/>
      <c r="K205" s="25"/>
    </row>
    <row r="206" spans="1:11" x14ac:dyDescent="0.25">
      <c r="A206" s="25"/>
      <c r="B206" s="22"/>
      <c r="C206" s="25"/>
      <c r="D206" s="25"/>
      <c r="E206" s="25"/>
      <c r="F206" s="25"/>
      <c r="G206" s="25"/>
      <c r="H206" s="25"/>
      <c r="I206" s="25"/>
      <c r="J206" s="25"/>
      <c r="K206" s="25"/>
    </row>
    <row r="207" spans="1:11" x14ac:dyDescent="0.25">
      <c r="A207" s="25"/>
      <c r="B207" s="22"/>
      <c r="C207" s="25"/>
      <c r="D207" s="25"/>
      <c r="E207" s="25"/>
      <c r="F207" s="25"/>
      <c r="G207" s="25"/>
      <c r="H207" s="25"/>
      <c r="I207" s="25"/>
      <c r="J207" s="25"/>
      <c r="K207" s="25"/>
    </row>
  </sheetData>
  <mergeCells count="10">
    <mergeCell ref="A177:B177"/>
    <mergeCell ref="K177:L177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247"/>
  <sheetViews>
    <sheetView showGridLines="0" topLeftCell="A1230" zoomScale="90" zoomScaleNormal="90" workbookViewId="0">
      <selection activeCell="F1227" sqref="F1227"/>
    </sheetView>
  </sheetViews>
  <sheetFormatPr defaultRowHeight="15.75" x14ac:dyDescent="0.25"/>
  <cols>
    <col min="1" max="1" width="2.7109375" style="285" customWidth="1"/>
    <col min="2" max="2" width="63.5703125" style="285" customWidth="1"/>
    <col min="3" max="3" width="12.5703125" style="286" customWidth="1"/>
    <col min="4" max="4" width="6.85546875" style="286" customWidth="1"/>
    <col min="5" max="5" width="6" style="286" customWidth="1"/>
    <col min="6" max="6" width="14.85546875" style="286" customWidth="1"/>
    <col min="7" max="16384" width="9.140625" style="285"/>
  </cols>
  <sheetData>
    <row r="1" spans="1:6" x14ac:dyDescent="0.25">
      <c r="B1" s="285" t="s">
        <v>0</v>
      </c>
      <c r="F1" s="287" t="s">
        <v>962</v>
      </c>
    </row>
    <row r="2" spans="1:6" x14ac:dyDescent="0.25">
      <c r="F2" s="288" t="s">
        <v>391</v>
      </c>
    </row>
    <row r="3" spans="1:6" x14ac:dyDescent="0.25">
      <c r="F3" s="288" t="s">
        <v>811</v>
      </c>
    </row>
    <row r="5" spans="1:6" ht="37.5" customHeight="1" x14ac:dyDescent="0.25">
      <c r="B5" s="376" t="s">
        <v>836</v>
      </c>
      <c r="C5" s="377"/>
      <c r="D5" s="377"/>
      <c r="E5" s="377"/>
      <c r="F5" s="377"/>
    </row>
    <row r="6" spans="1:6" ht="45" customHeight="1" x14ac:dyDescent="0.25">
      <c r="A6" s="378" t="s">
        <v>384</v>
      </c>
      <c r="B6" s="379"/>
      <c r="C6" s="352" t="s">
        <v>696</v>
      </c>
      <c r="D6" s="380" t="s">
        <v>961</v>
      </c>
      <c r="E6" s="381"/>
      <c r="F6" s="352" t="s">
        <v>807</v>
      </c>
    </row>
    <row r="7" spans="1:6" ht="14.25" customHeight="1" x14ac:dyDescent="0.25"/>
    <row r="8" spans="1:6" ht="15.75" customHeight="1" x14ac:dyDescent="0.25">
      <c r="A8" s="382" t="s">
        <v>697</v>
      </c>
      <c r="B8" s="373"/>
      <c r="C8" s="373"/>
      <c r="D8" s="373"/>
      <c r="E8" s="373"/>
      <c r="F8" s="373"/>
    </row>
    <row r="9" spans="1:6" ht="15.75" customHeight="1" x14ac:dyDescent="0.25">
      <c r="A9" s="382" t="s">
        <v>698</v>
      </c>
      <c r="B9" s="383"/>
      <c r="C9" s="353">
        <v>5836125</v>
      </c>
      <c r="D9" s="384">
        <v>65620</v>
      </c>
      <c r="E9" s="385"/>
      <c r="F9" s="353">
        <v>5901745</v>
      </c>
    </row>
    <row r="10" spans="1:6" ht="15.75" customHeight="1" x14ac:dyDescent="0.25">
      <c r="A10" s="372" t="s">
        <v>699</v>
      </c>
      <c r="B10" s="373"/>
      <c r="C10" s="354">
        <v>3075233</v>
      </c>
      <c r="D10" s="374">
        <v>400</v>
      </c>
      <c r="E10" s="375"/>
      <c r="F10" s="354">
        <v>3075633</v>
      </c>
    </row>
    <row r="11" spans="1:6" ht="15.75" customHeight="1" x14ac:dyDescent="0.25">
      <c r="A11" s="372" t="s">
        <v>700</v>
      </c>
      <c r="B11" s="373"/>
      <c r="C11" s="354">
        <v>2386487</v>
      </c>
      <c r="D11" s="374">
        <v>0</v>
      </c>
      <c r="E11" s="374"/>
      <c r="F11" s="354">
        <v>2386487</v>
      </c>
    </row>
    <row r="12" spans="1:6" ht="15.75" customHeight="1" x14ac:dyDescent="0.25">
      <c r="A12" s="372" t="s">
        <v>701</v>
      </c>
      <c r="B12" s="373"/>
      <c r="C12" s="354">
        <v>688746</v>
      </c>
      <c r="D12" s="374">
        <v>400</v>
      </c>
      <c r="E12" s="375"/>
      <c r="F12" s="354">
        <v>689146</v>
      </c>
    </row>
    <row r="13" spans="1:6" ht="15.75" customHeight="1" x14ac:dyDescent="0.25">
      <c r="A13" s="372" t="s">
        <v>702</v>
      </c>
      <c r="B13" s="373"/>
      <c r="C13" s="354">
        <v>1362513</v>
      </c>
      <c r="D13" s="374">
        <v>3505</v>
      </c>
      <c r="E13" s="375"/>
      <c r="F13" s="354">
        <v>1366018</v>
      </c>
    </row>
    <row r="14" spans="1:6" ht="15.75" customHeight="1" x14ac:dyDescent="0.25">
      <c r="A14" s="372" t="s">
        <v>837</v>
      </c>
      <c r="B14" s="373"/>
      <c r="C14" s="354">
        <v>29703</v>
      </c>
      <c r="D14" s="374">
        <v>0</v>
      </c>
      <c r="E14" s="374"/>
      <c r="F14" s="354">
        <v>29703</v>
      </c>
    </row>
    <row r="15" spans="1:6" ht="15.75" customHeight="1" x14ac:dyDescent="0.25">
      <c r="A15" s="372" t="s">
        <v>703</v>
      </c>
      <c r="B15" s="373"/>
      <c r="C15" s="354">
        <v>1081953</v>
      </c>
      <c r="D15" s="374">
        <v>2905</v>
      </c>
      <c r="E15" s="375"/>
      <c r="F15" s="354">
        <v>1084858</v>
      </c>
    </row>
    <row r="16" spans="1:6" ht="15.75" customHeight="1" x14ac:dyDescent="0.25">
      <c r="A16" s="372" t="s">
        <v>838</v>
      </c>
      <c r="B16" s="373"/>
      <c r="C16" s="354">
        <v>97506</v>
      </c>
      <c r="D16" s="374">
        <v>2494</v>
      </c>
      <c r="E16" s="375"/>
      <c r="F16" s="354">
        <v>100000</v>
      </c>
    </row>
    <row r="17" spans="1:6" ht="31.5" customHeight="1" x14ac:dyDescent="0.25">
      <c r="A17" s="372" t="s">
        <v>704</v>
      </c>
      <c r="B17" s="373"/>
      <c r="C17" s="354">
        <v>236557</v>
      </c>
      <c r="D17" s="374">
        <v>600</v>
      </c>
      <c r="E17" s="375"/>
      <c r="F17" s="354">
        <v>237157</v>
      </c>
    </row>
    <row r="18" spans="1:6" ht="15.75" customHeight="1" x14ac:dyDescent="0.25">
      <c r="A18" s="372" t="s">
        <v>839</v>
      </c>
      <c r="B18" s="373"/>
      <c r="C18" s="354">
        <v>14300</v>
      </c>
      <c r="D18" s="374">
        <v>0</v>
      </c>
      <c r="E18" s="374"/>
      <c r="F18" s="354">
        <v>14300</v>
      </c>
    </row>
    <row r="19" spans="1:6" ht="15.75" customHeight="1" x14ac:dyDescent="0.25">
      <c r="A19" s="372" t="s">
        <v>840</v>
      </c>
      <c r="B19" s="373"/>
      <c r="C19" s="354">
        <v>50000</v>
      </c>
      <c r="D19" s="374">
        <v>0</v>
      </c>
      <c r="E19" s="374"/>
      <c r="F19" s="354">
        <v>50000</v>
      </c>
    </row>
    <row r="20" spans="1:6" ht="15.75" customHeight="1" x14ac:dyDescent="0.25">
      <c r="A20" s="372" t="s">
        <v>841</v>
      </c>
      <c r="B20" s="373"/>
      <c r="C20" s="354">
        <v>50000</v>
      </c>
      <c r="D20" s="374">
        <v>0</v>
      </c>
      <c r="E20" s="374"/>
      <c r="F20" s="354">
        <v>50000</v>
      </c>
    </row>
    <row r="21" spans="1:6" ht="15.75" customHeight="1" x14ac:dyDescent="0.25">
      <c r="A21" s="372" t="s">
        <v>705</v>
      </c>
      <c r="B21" s="373"/>
      <c r="C21" s="354">
        <v>139361</v>
      </c>
      <c r="D21" s="374">
        <v>61715</v>
      </c>
      <c r="E21" s="375"/>
      <c r="F21" s="354">
        <v>201076</v>
      </c>
    </row>
    <row r="22" spans="1:6" ht="15.75" customHeight="1" x14ac:dyDescent="0.25">
      <c r="A22" s="372" t="s">
        <v>842</v>
      </c>
      <c r="B22" s="373"/>
      <c r="C22" s="354">
        <v>24457</v>
      </c>
      <c r="D22" s="374">
        <v>61715</v>
      </c>
      <c r="E22" s="375"/>
      <c r="F22" s="354">
        <v>86172</v>
      </c>
    </row>
    <row r="23" spans="1:6" ht="15.75" customHeight="1" x14ac:dyDescent="0.25">
      <c r="A23" s="372" t="s">
        <v>706</v>
      </c>
      <c r="B23" s="373"/>
      <c r="C23" s="354">
        <v>114904</v>
      </c>
      <c r="D23" s="374">
        <v>0</v>
      </c>
      <c r="E23" s="374"/>
      <c r="F23" s="354">
        <v>114904</v>
      </c>
    </row>
    <row r="24" spans="1:6" ht="31.5" customHeight="1" x14ac:dyDescent="0.25">
      <c r="A24" s="372" t="s">
        <v>843</v>
      </c>
      <c r="B24" s="373"/>
      <c r="C24" s="354">
        <v>1209018</v>
      </c>
      <c r="D24" s="374">
        <v>0</v>
      </c>
      <c r="E24" s="374"/>
      <c r="F24" s="354">
        <v>1209018</v>
      </c>
    </row>
    <row r="25" spans="1:6" ht="15.75" customHeight="1" x14ac:dyDescent="0.25">
      <c r="A25" s="372" t="s">
        <v>844</v>
      </c>
      <c r="B25" s="373"/>
      <c r="C25" s="354">
        <v>991828</v>
      </c>
      <c r="D25" s="374">
        <v>0</v>
      </c>
      <c r="E25" s="374"/>
      <c r="F25" s="354">
        <v>991828</v>
      </c>
    </row>
    <row r="26" spans="1:6" ht="15.75" customHeight="1" x14ac:dyDescent="0.25">
      <c r="A26" s="372" t="s">
        <v>845</v>
      </c>
      <c r="B26" s="373"/>
      <c r="C26" s="354">
        <v>217190</v>
      </c>
      <c r="D26" s="374">
        <v>0</v>
      </c>
      <c r="E26" s="374"/>
      <c r="F26" s="354">
        <v>217190</v>
      </c>
    </row>
    <row r="27" spans="1:6" ht="14.25" customHeight="1" x14ac:dyDescent="0.25"/>
    <row r="28" spans="1:6" ht="15.75" customHeight="1" x14ac:dyDescent="0.25">
      <c r="A28" s="382" t="s">
        <v>707</v>
      </c>
      <c r="B28" s="373"/>
      <c r="C28" s="373"/>
      <c r="D28" s="373"/>
      <c r="E28" s="373"/>
      <c r="F28" s="373"/>
    </row>
    <row r="29" spans="1:6" ht="15.75" customHeight="1" x14ac:dyDescent="0.25">
      <c r="A29" s="382" t="s">
        <v>698</v>
      </c>
      <c r="B29" s="383"/>
      <c r="C29" s="353">
        <v>3475472</v>
      </c>
      <c r="D29" s="384">
        <v>0</v>
      </c>
      <c r="E29" s="384"/>
      <c r="F29" s="353">
        <v>3475472</v>
      </c>
    </row>
    <row r="30" spans="1:6" ht="15.75" customHeight="1" x14ac:dyDescent="0.25">
      <c r="A30" s="372" t="s">
        <v>699</v>
      </c>
      <c r="B30" s="373"/>
      <c r="C30" s="354">
        <v>2875836</v>
      </c>
      <c r="D30" s="374">
        <v>0</v>
      </c>
      <c r="E30" s="374"/>
      <c r="F30" s="354">
        <v>2875836</v>
      </c>
    </row>
    <row r="31" spans="1:6" ht="15.75" customHeight="1" x14ac:dyDescent="0.25">
      <c r="A31" s="372" t="s">
        <v>700</v>
      </c>
      <c r="B31" s="373"/>
      <c r="C31" s="354">
        <v>2232331</v>
      </c>
      <c r="D31" s="374">
        <v>0</v>
      </c>
      <c r="E31" s="374"/>
      <c r="F31" s="354">
        <v>2232331</v>
      </c>
    </row>
    <row r="32" spans="1:6" ht="15.75" customHeight="1" x14ac:dyDescent="0.25">
      <c r="A32" s="372" t="s">
        <v>701</v>
      </c>
      <c r="B32" s="373"/>
      <c r="C32" s="354">
        <v>643505</v>
      </c>
      <c r="D32" s="374">
        <v>0</v>
      </c>
      <c r="E32" s="374"/>
      <c r="F32" s="354">
        <v>643505</v>
      </c>
    </row>
    <row r="33" spans="1:6" ht="15.75" customHeight="1" x14ac:dyDescent="0.25">
      <c r="A33" s="372" t="s">
        <v>702</v>
      </c>
      <c r="B33" s="373"/>
      <c r="C33" s="354">
        <v>586636</v>
      </c>
      <c r="D33" s="374">
        <v>0</v>
      </c>
      <c r="E33" s="374"/>
      <c r="F33" s="354">
        <v>586636</v>
      </c>
    </row>
    <row r="34" spans="1:6" ht="15.75" customHeight="1" x14ac:dyDescent="0.25">
      <c r="A34" s="372" t="s">
        <v>837</v>
      </c>
      <c r="B34" s="373"/>
      <c r="C34" s="354">
        <v>24500</v>
      </c>
      <c r="D34" s="374">
        <v>0</v>
      </c>
      <c r="E34" s="374"/>
      <c r="F34" s="354">
        <v>24500</v>
      </c>
    </row>
    <row r="35" spans="1:6" ht="15.75" customHeight="1" x14ac:dyDescent="0.25">
      <c r="A35" s="372" t="s">
        <v>703</v>
      </c>
      <c r="B35" s="373"/>
      <c r="C35" s="354">
        <v>359197</v>
      </c>
      <c r="D35" s="374">
        <v>0</v>
      </c>
      <c r="E35" s="374"/>
      <c r="F35" s="354">
        <v>359197</v>
      </c>
    </row>
    <row r="36" spans="1:6" ht="31.5" customHeight="1" x14ac:dyDescent="0.25">
      <c r="A36" s="372" t="s">
        <v>704</v>
      </c>
      <c r="B36" s="373"/>
      <c r="C36" s="354">
        <v>188639</v>
      </c>
      <c r="D36" s="374">
        <v>0</v>
      </c>
      <c r="E36" s="374"/>
      <c r="F36" s="354">
        <v>188639</v>
      </c>
    </row>
    <row r="37" spans="1:6" ht="15.75" customHeight="1" x14ac:dyDescent="0.25">
      <c r="A37" s="372" t="s">
        <v>839</v>
      </c>
      <c r="B37" s="373"/>
      <c r="C37" s="354">
        <v>14300</v>
      </c>
      <c r="D37" s="374">
        <v>0</v>
      </c>
      <c r="E37" s="374"/>
      <c r="F37" s="354">
        <v>14300</v>
      </c>
    </row>
    <row r="38" spans="1:6" ht="15.75" customHeight="1" x14ac:dyDescent="0.25">
      <c r="A38" s="372" t="s">
        <v>705</v>
      </c>
      <c r="B38" s="373"/>
      <c r="C38" s="354">
        <v>13000</v>
      </c>
      <c r="D38" s="374">
        <v>0</v>
      </c>
      <c r="E38" s="374"/>
      <c r="F38" s="354">
        <v>13000</v>
      </c>
    </row>
    <row r="39" spans="1:6" ht="15.75" customHeight="1" x14ac:dyDescent="0.25">
      <c r="A39" s="372" t="s">
        <v>706</v>
      </c>
      <c r="B39" s="373"/>
      <c r="C39" s="354">
        <v>13000</v>
      </c>
      <c r="D39" s="374">
        <v>0</v>
      </c>
      <c r="E39" s="374"/>
      <c r="F39" s="354">
        <v>13000</v>
      </c>
    </row>
    <row r="40" spans="1:6" ht="14.25" customHeight="1" x14ac:dyDescent="0.25"/>
    <row r="41" spans="1:6" ht="15.75" customHeight="1" x14ac:dyDescent="0.25">
      <c r="A41" s="382" t="s">
        <v>846</v>
      </c>
      <c r="B41" s="373"/>
      <c r="C41" s="373"/>
      <c r="D41" s="373"/>
      <c r="E41" s="373"/>
      <c r="F41" s="373"/>
    </row>
    <row r="42" spans="1:6" ht="15.75" customHeight="1" x14ac:dyDescent="0.25">
      <c r="A42" s="382" t="s">
        <v>698</v>
      </c>
      <c r="B42" s="383"/>
      <c r="C42" s="353">
        <v>246956</v>
      </c>
      <c r="D42" s="384">
        <v>0</v>
      </c>
      <c r="E42" s="384"/>
      <c r="F42" s="353">
        <v>246956</v>
      </c>
    </row>
    <row r="43" spans="1:6" ht="15.75" customHeight="1" x14ac:dyDescent="0.25">
      <c r="A43" s="372" t="s">
        <v>699</v>
      </c>
      <c r="B43" s="373"/>
      <c r="C43" s="354">
        <v>8900</v>
      </c>
      <c r="D43" s="374">
        <v>0</v>
      </c>
      <c r="E43" s="374"/>
      <c r="F43" s="354">
        <v>8900</v>
      </c>
    </row>
    <row r="44" spans="1:6" ht="15.75" customHeight="1" x14ac:dyDescent="0.25">
      <c r="A44" s="372" t="s">
        <v>700</v>
      </c>
      <c r="B44" s="373"/>
      <c r="C44" s="354">
        <v>7000</v>
      </c>
      <c r="D44" s="374">
        <v>0</v>
      </c>
      <c r="E44" s="374"/>
      <c r="F44" s="354">
        <v>7000</v>
      </c>
    </row>
    <row r="45" spans="1:6" ht="15.75" customHeight="1" x14ac:dyDescent="0.25">
      <c r="A45" s="372" t="s">
        <v>701</v>
      </c>
      <c r="B45" s="373"/>
      <c r="C45" s="354">
        <v>1900</v>
      </c>
      <c r="D45" s="374">
        <v>0</v>
      </c>
      <c r="E45" s="374"/>
      <c r="F45" s="354">
        <v>1900</v>
      </c>
    </row>
    <row r="46" spans="1:6" ht="15.75" customHeight="1" x14ac:dyDescent="0.25">
      <c r="A46" s="372" t="s">
        <v>702</v>
      </c>
      <c r="B46" s="373"/>
      <c r="C46" s="354">
        <v>20866</v>
      </c>
      <c r="D46" s="374">
        <v>0</v>
      </c>
      <c r="E46" s="374"/>
      <c r="F46" s="354">
        <v>20866</v>
      </c>
    </row>
    <row r="47" spans="1:6" ht="15.75" customHeight="1" x14ac:dyDescent="0.25">
      <c r="A47" s="372" t="s">
        <v>837</v>
      </c>
      <c r="B47" s="373"/>
      <c r="C47" s="354">
        <v>5000</v>
      </c>
      <c r="D47" s="374">
        <v>0</v>
      </c>
      <c r="E47" s="374"/>
      <c r="F47" s="354">
        <v>5000</v>
      </c>
    </row>
    <row r="48" spans="1:6" ht="15.75" customHeight="1" x14ac:dyDescent="0.25">
      <c r="A48" s="372" t="s">
        <v>703</v>
      </c>
      <c r="B48" s="373"/>
      <c r="C48" s="354">
        <v>15866</v>
      </c>
      <c r="D48" s="374">
        <v>0</v>
      </c>
      <c r="E48" s="374"/>
      <c r="F48" s="354">
        <v>15866</v>
      </c>
    </row>
    <row r="49" spans="1:6" ht="31.5" customHeight="1" x14ac:dyDescent="0.25">
      <c r="A49" s="372" t="s">
        <v>843</v>
      </c>
      <c r="B49" s="373"/>
      <c r="C49" s="354">
        <v>217190</v>
      </c>
      <c r="D49" s="374">
        <v>0</v>
      </c>
      <c r="E49" s="374"/>
      <c r="F49" s="354">
        <v>217190</v>
      </c>
    </row>
    <row r="50" spans="1:6" ht="15.75" customHeight="1" x14ac:dyDescent="0.25">
      <c r="A50" s="372" t="s">
        <v>845</v>
      </c>
      <c r="B50" s="373"/>
      <c r="C50" s="354">
        <v>217190</v>
      </c>
      <c r="D50" s="374">
        <v>0</v>
      </c>
      <c r="E50" s="374"/>
      <c r="F50" s="354">
        <v>217190</v>
      </c>
    </row>
    <row r="51" spans="1:6" ht="14.25" customHeight="1" x14ac:dyDescent="0.25"/>
    <row r="52" spans="1:6" ht="31.5" customHeight="1" x14ac:dyDescent="0.25">
      <c r="A52" s="382" t="s">
        <v>847</v>
      </c>
      <c r="B52" s="373"/>
      <c r="C52" s="373"/>
      <c r="D52" s="373"/>
      <c r="E52" s="373"/>
      <c r="F52" s="373"/>
    </row>
    <row r="53" spans="1:6" ht="15.75" customHeight="1" x14ac:dyDescent="0.25">
      <c r="A53" s="382" t="s">
        <v>698</v>
      </c>
      <c r="B53" s="383"/>
      <c r="C53" s="353">
        <v>13553</v>
      </c>
      <c r="D53" s="384">
        <v>1411</v>
      </c>
      <c r="E53" s="385"/>
      <c r="F53" s="353">
        <v>14964</v>
      </c>
    </row>
    <row r="54" spans="1:6" ht="15.75" customHeight="1" x14ac:dyDescent="0.25">
      <c r="A54" s="372" t="s">
        <v>699</v>
      </c>
      <c r="B54" s="373"/>
      <c r="C54" s="354">
        <v>7270</v>
      </c>
      <c r="D54" s="374">
        <v>400</v>
      </c>
      <c r="E54" s="375"/>
      <c r="F54" s="354">
        <v>7670</v>
      </c>
    </row>
    <row r="55" spans="1:6" ht="15.75" customHeight="1" x14ac:dyDescent="0.25">
      <c r="A55" s="372" t="s">
        <v>700</v>
      </c>
      <c r="B55" s="373"/>
      <c r="C55" s="354">
        <v>5700</v>
      </c>
      <c r="D55" s="374">
        <v>0</v>
      </c>
      <c r="E55" s="374"/>
      <c r="F55" s="354">
        <v>5700</v>
      </c>
    </row>
    <row r="56" spans="1:6" ht="15.75" customHeight="1" x14ac:dyDescent="0.25">
      <c r="A56" s="372" t="s">
        <v>701</v>
      </c>
      <c r="B56" s="373"/>
      <c r="C56" s="354">
        <v>1570</v>
      </c>
      <c r="D56" s="374">
        <v>400</v>
      </c>
      <c r="E56" s="375"/>
      <c r="F56" s="354">
        <v>1970</v>
      </c>
    </row>
    <row r="57" spans="1:6" ht="15.75" customHeight="1" x14ac:dyDescent="0.25">
      <c r="A57" s="372" t="s">
        <v>702</v>
      </c>
      <c r="B57" s="373"/>
      <c r="C57" s="354">
        <v>5479</v>
      </c>
      <c r="D57" s="374">
        <v>1011</v>
      </c>
      <c r="E57" s="375"/>
      <c r="F57" s="354">
        <v>6490</v>
      </c>
    </row>
    <row r="58" spans="1:6" ht="15.75" customHeight="1" x14ac:dyDescent="0.25">
      <c r="A58" s="372" t="s">
        <v>703</v>
      </c>
      <c r="B58" s="373"/>
      <c r="C58" s="354">
        <v>3152</v>
      </c>
      <c r="D58" s="374">
        <v>411</v>
      </c>
      <c r="E58" s="375"/>
      <c r="F58" s="354">
        <v>3563</v>
      </c>
    </row>
    <row r="59" spans="1:6" ht="31.5" customHeight="1" x14ac:dyDescent="0.25">
      <c r="A59" s="372" t="s">
        <v>704</v>
      </c>
      <c r="B59" s="373"/>
      <c r="C59" s="354">
        <v>2327</v>
      </c>
      <c r="D59" s="374">
        <v>600</v>
      </c>
      <c r="E59" s="375"/>
      <c r="F59" s="354">
        <v>2927</v>
      </c>
    </row>
    <row r="60" spans="1:6" ht="15.75" customHeight="1" x14ac:dyDescent="0.25">
      <c r="A60" s="372" t="s">
        <v>705</v>
      </c>
      <c r="B60" s="373"/>
      <c r="C60" s="354">
        <v>804</v>
      </c>
      <c r="D60" s="374">
        <v>0</v>
      </c>
      <c r="E60" s="374"/>
      <c r="F60" s="354">
        <v>804</v>
      </c>
    </row>
    <row r="61" spans="1:6" ht="15.75" customHeight="1" x14ac:dyDescent="0.25">
      <c r="A61" s="372" t="s">
        <v>706</v>
      </c>
      <c r="B61" s="373"/>
      <c r="C61" s="354">
        <v>804</v>
      </c>
      <c r="D61" s="374">
        <v>0</v>
      </c>
      <c r="E61" s="374"/>
      <c r="F61" s="354">
        <v>804</v>
      </c>
    </row>
    <row r="62" spans="1:6" ht="14.25" customHeight="1" x14ac:dyDescent="0.25"/>
    <row r="63" spans="1:6" ht="15.75" customHeight="1" x14ac:dyDescent="0.25">
      <c r="A63" s="382" t="s">
        <v>848</v>
      </c>
      <c r="B63" s="373"/>
      <c r="C63" s="373"/>
      <c r="D63" s="373"/>
      <c r="E63" s="373"/>
      <c r="F63" s="373"/>
    </row>
    <row r="64" spans="1:6" ht="15.75" customHeight="1" x14ac:dyDescent="0.25">
      <c r="A64" s="382" t="s">
        <v>698</v>
      </c>
      <c r="B64" s="383"/>
      <c r="C64" s="353">
        <v>50855</v>
      </c>
      <c r="D64" s="384">
        <v>0</v>
      </c>
      <c r="E64" s="384"/>
      <c r="F64" s="353">
        <v>50855</v>
      </c>
    </row>
    <row r="65" spans="1:6" ht="15.75" customHeight="1" x14ac:dyDescent="0.25">
      <c r="A65" s="372" t="s">
        <v>702</v>
      </c>
      <c r="B65" s="373"/>
      <c r="C65" s="354">
        <v>50855</v>
      </c>
      <c r="D65" s="374">
        <v>0</v>
      </c>
      <c r="E65" s="374"/>
      <c r="F65" s="354">
        <v>50855</v>
      </c>
    </row>
    <row r="66" spans="1:6" ht="15.75" customHeight="1" x14ac:dyDescent="0.25">
      <c r="A66" s="372" t="s">
        <v>703</v>
      </c>
      <c r="B66" s="373"/>
      <c r="C66" s="354">
        <v>50855</v>
      </c>
      <c r="D66" s="374">
        <v>0</v>
      </c>
      <c r="E66" s="374"/>
      <c r="F66" s="354">
        <v>50855</v>
      </c>
    </row>
    <row r="67" spans="1:6" ht="14.25" customHeight="1" x14ac:dyDescent="0.25"/>
    <row r="68" spans="1:6" ht="15.75" customHeight="1" x14ac:dyDescent="0.25">
      <c r="A68" s="382" t="s">
        <v>849</v>
      </c>
      <c r="B68" s="373"/>
      <c r="C68" s="373"/>
      <c r="D68" s="373"/>
      <c r="E68" s="373"/>
      <c r="F68" s="373"/>
    </row>
    <row r="69" spans="1:6" ht="15.75" customHeight="1" x14ac:dyDescent="0.25">
      <c r="A69" s="382" t="s">
        <v>698</v>
      </c>
      <c r="B69" s="383"/>
      <c r="C69" s="353">
        <v>196332</v>
      </c>
      <c r="D69" s="384">
        <v>0</v>
      </c>
      <c r="E69" s="384"/>
      <c r="F69" s="353">
        <v>196332</v>
      </c>
    </row>
    <row r="70" spans="1:6" ht="15.75" customHeight="1" x14ac:dyDescent="0.25">
      <c r="A70" s="372" t="s">
        <v>699</v>
      </c>
      <c r="B70" s="373"/>
      <c r="C70" s="354">
        <v>183227</v>
      </c>
      <c r="D70" s="374">
        <v>0</v>
      </c>
      <c r="E70" s="374"/>
      <c r="F70" s="354">
        <v>183227</v>
      </c>
    </row>
    <row r="71" spans="1:6" ht="15.75" customHeight="1" x14ac:dyDescent="0.25">
      <c r="A71" s="372" t="s">
        <v>700</v>
      </c>
      <c r="B71" s="373"/>
      <c r="C71" s="354">
        <v>141456</v>
      </c>
      <c r="D71" s="374">
        <v>0</v>
      </c>
      <c r="E71" s="374"/>
      <c r="F71" s="354">
        <v>141456</v>
      </c>
    </row>
    <row r="72" spans="1:6" ht="15.75" customHeight="1" x14ac:dyDescent="0.25">
      <c r="A72" s="372" t="s">
        <v>701</v>
      </c>
      <c r="B72" s="373"/>
      <c r="C72" s="354">
        <v>41771</v>
      </c>
      <c r="D72" s="374">
        <v>0</v>
      </c>
      <c r="E72" s="374"/>
      <c r="F72" s="354">
        <v>41771</v>
      </c>
    </row>
    <row r="73" spans="1:6" ht="15.75" customHeight="1" x14ac:dyDescent="0.25">
      <c r="A73" s="372" t="s">
        <v>702</v>
      </c>
      <c r="B73" s="373"/>
      <c r="C73" s="354">
        <v>10705</v>
      </c>
      <c r="D73" s="374">
        <v>0</v>
      </c>
      <c r="E73" s="374"/>
      <c r="F73" s="354">
        <v>10705</v>
      </c>
    </row>
    <row r="74" spans="1:6" ht="15.75" customHeight="1" x14ac:dyDescent="0.25">
      <c r="A74" s="372" t="s">
        <v>703</v>
      </c>
      <c r="B74" s="373"/>
      <c r="C74" s="354">
        <v>5814</v>
      </c>
      <c r="D74" s="374">
        <v>0</v>
      </c>
      <c r="E74" s="374"/>
      <c r="F74" s="354">
        <v>5814</v>
      </c>
    </row>
    <row r="75" spans="1:6" ht="31.5" customHeight="1" x14ac:dyDescent="0.25">
      <c r="A75" s="372" t="s">
        <v>704</v>
      </c>
      <c r="B75" s="373"/>
      <c r="C75" s="354">
        <v>4891</v>
      </c>
      <c r="D75" s="374">
        <v>0</v>
      </c>
      <c r="E75" s="374"/>
      <c r="F75" s="354">
        <v>4891</v>
      </c>
    </row>
    <row r="76" spans="1:6" ht="15.75" customHeight="1" x14ac:dyDescent="0.25">
      <c r="A76" s="372" t="s">
        <v>705</v>
      </c>
      <c r="B76" s="373"/>
      <c r="C76" s="354">
        <v>2400</v>
      </c>
      <c r="D76" s="374">
        <v>0</v>
      </c>
      <c r="E76" s="374"/>
      <c r="F76" s="354">
        <v>2400</v>
      </c>
    </row>
    <row r="77" spans="1:6" ht="15.75" customHeight="1" x14ac:dyDescent="0.25">
      <c r="A77" s="372" t="s">
        <v>706</v>
      </c>
      <c r="B77" s="373"/>
      <c r="C77" s="354">
        <v>2400</v>
      </c>
      <c r="D77" s="374">
        <v>0</v>
      </c>
      <c r="E77" s="374"/>
      <c r="F77" s="354">
        <v>2400</v>
      </c>
    </row>
    <row r="78" spans="1:6" ht="9.75" customHeight="1" x14ac:dyDescent="0.25"/>
    <row r="79" spans="1:6" ht="15.75" customHeight="1" x14ac:dyDescent="0.25">
      <c r="A79" s="382" t="s">
        <v>850</v>
      </c>
      <c r="B79" s="373"/>
      <c r="C79" s="373"/>
      <c r="D79" s="373"/>
      <c r="E79" s="373"/>
      <c r="F79" s="373"/>
    </row>
    <row r="80" spans="1:6" ht="15.75" customHeight="1" x14ac:dyDescent="0.25">
      <c r="A80" s="382" t="s">
        <v>698</v>
      </c>
      <c r="B80" s="383"/>
      <c r="C80" s="353">
        <v>75110</v>
      </c>
      <c r="D80" s="384">
        <v>0</v>
      </c>
      <c r="E80" s="384"/>
      <c r="F80" s="353">
        <v>75110</v>
      </c>
    </row>
    <row r="81" spans="1:6" ht="15.75" customHeight="1" x14ac:dyDescent="0.25">
      <c r="A81" s="372" t="s">
        <v>702</v>
      </c>
      <c r="B81" s="373"/>
      <c r="C81" s="354">
        <v>75110</v>
      </c>
      <c r="D81" s="374">
        <v>0</v>
      </c>
      <c r="E81" s="374"/>
      <c r="F81" s="354">
        <v>75110</v>
      </c>
    </row>
    <row r="82" spans="1:6" ht="15.75" customHeight="1" x14ac:dyDescent="0.25">
      <c r="A82" s="372" t="s">
        <v>703</v>
      </c>
      <c r="B82" s="373"/>
      <c r="C82" s="354">
        <v>75110</v>
      </c>
      <c r="D82" s="374">
        <v>0</v>
      </c>
      <c r="E82" s="374"/>
      <c r="F82" s="354">
        <v>75110</v>
      </c>
    </row>
    <row r="83" spans="1:6" ht="11.25" customHeight="1" x14ac:dyDescent="0.25"/>
    <row r="84" spans="1:6" ht="15.75" customHeight="1" x14ac:dyDescent="0.25">
      <c r="A84" s="382" t="s">
        <v>851</v>
      </c>
      <c r="B84" s="373"/>
      <c r="C84" s="373"/>
      <c r="D84" s="373"/>
      <c r="E84" s="373"/>
      <c r="F84" s="373"/>
    </row>
    <row r="85" spans="1:6" ht="15.75" customHeight="1" x14ac:dyDescent="0.25">
      <c r="A85" s="382" t="s">
        <v>698</v>
      </c>
      <c r="B85" s="383"/>
      <c r="C85" s="353">
        <v>428694</v>
      </c>
      <c r="D85" s="384">
        <v>0</v>
      </c>
      <c r="E85" s="384"/>
      <c r="F85" s="353">
        <v>428694</v>
      </c>
    </row>
    <row r="86" spans="1:6" ht="15.75" customHeight="1" x14ac:dyDescent="0.25">
      <c r="A86" s="372" t="s">
        <v>702</v>
      </c>
      <c r="B86" s="373"/>
      <c r="C86" s="354">
        <v>317594</v>
      </c>
      <c r="D86" s="374">
        <v>0</v>
      </c>
      <c r="E86" s="374"/>
      <c r="F86" s="354">
        <v>317594</v>
      </c>
    </row>
    <row r="87" spans="1:6" ht="15.75" customHeight="1" x14ac:dyDescent="0.25">
      <c r="A87" s="372" t="s">
        <v>703</v>
      </c>
      <c r="B87" s="373"/>
      <c r="C87" s="354">
        <v>276894</v>
      </c>
      <c r="D87" s="374">
        <v>0</v>
      </c>
      <c r="E87" s="374"/>
      <c r="F87" s="354">
        <v>276894</v>
      </c>
    </row>
    <row r="88" spans="1:6" ht="31.5" customHeight="1" x14ac:dyDescent="0.25">
      <c r="A88" s="372" t="s">
        <v>704</v>
      </c>
      <c r="B88" s="373"/>
      <c r="C88" s="354">
        <v>40700</v>
      </c>
      <c r="D88" s="374">
        <v>0</v>
      </c>
      <c r="E88" s="374"/>
      <c r="F88" s="354">
        <v>40700</v>
      </c>
    </row>
    <row r="89" spans="1:6" ht="15.75" customHeight="1" x14ac:dyDescent="0.25">
      <c r="A89" s="372" t="s">
        <v>705</v>
      </c>
      <c r="B89" s="373"/>
      <c r="C89" s="354">
        <v>111100</v>
      </c>
      <c r="D89" s="374">
        <v>0</v>
      </c>
      <c r="E89" s="374"/>
      <c r="F89" s="354">
        <v>111100</v>
      </c>
    </row>
    <row r="90" spans="1:6" ht="15.75" customHeight="1" x14ac:dyDescent="0.25">
      <c r="A90" s="372" t="s">
        <v>842</v>
      </c>
      <c r="B90" s="373"/>
      <c r="C90" s="354">
        <v>12400</v>
      </c>
      <c r="D90" s="374">
        <v>0</v>
      </c>
      <c r="E90" s="374"/>
      <c r="F90" s="354">
        <v>12400</v>
      </c>
    </row>
    <row r="91" spans="1:6" ht="15.75" customHeight="1" x14ac:dyDescent="0.25">
      <c r="A91" s="372" t="s">
        <v>706</v>
      </c>
      <c r="B91" s="373"/>
      <c r="C91" s="354">
        <v>98700</v>
      </c>
      <c r="D91" s="374">
        <v>0</v>
      </c>
      <c r="E91" s="374"/>
      <c r="F91" s="354">
        <v>98700</v>
      </c>
    </row>
    <row r="92" spans="1:6" ht="11.25" customHeight="1" x14ac:dyDescent="0.25"/>
    <row r="93" spans="1:6" ht="15.75" customHeight="1" x14ac:dyDescent="0.25">
      <c r="A93" s="382" t="s">
        <v>852</v>
      </c>
      <c r="B93" s="373"/>
      <c r="C93" s="373"/>
      <c r="D93" s="373"/>
      <c r="E93" s="373"/>
      <c r="F93" s="373"/>
    </row>
    <row r="94" spans="1:6" ht="15.75" customHeight="1" x14ac:dyDescent="0.25">
      <c r="A94" s="382" t="s">
        <v>698</v>
      </c>
      <c r="B94" s="383"/>
      <c r="C94" s="353">
        <v>15779</v>
      </c>
      <c r="D94" s="384">
        <v>61715</v>
      </c>
      <c r="E94" s="385"/>
      <c r="F94" s="353">
        <v>77494</v>
      </c>
    </row>
    <row r="95" spans="1:6" ht="15.75" customHeight="1" x14ac:dyDescent="0.25">
      <c r="A95" s="372" t="s">
        <v>702</v>
      </c>
      <c r="B95" s="373"/>
      <c r="C95" s="354">
        <v>3722</v>
      </c>
      <c r="D95" s="374">
        <v>0</v>
      </c>
      <c r="E95" s="374"/>
      <c r="F95" s="354">
        <v>3722</v>
      </c>
    </row>
    <row r="96" spans="1:6" ht="15.75" customHeight="1" x14ac:dyDescent="0.25">
      <c r="A96" s="372" t="s">
        <v>837</v>
      </c>
      <c r="B96" s="373"/>
      <c r="C96" s="354">
        <v>203</v>
      </c>
      <c r="D96" s="374">
        <v>0</v>
      </c>
      <c r="E96" s="374"/>
      <c r="F96" s="354">
        <v>203</v>
      </c>
    </row>
    <row r="97" spans="1:6" ht="15.75" customHeight="1" x14ac:dyDescent="0.25">
      <c r="A97" s="372" t="s">
        <v>703</v>
      </c>
      <c r="B97" s="373"/>
      <c r="C97" s="354">
        <v>3519</v>
      </c>
      <c r="D97" s="374">
        <v>0</v>
      </c>
      <c r="E97" s="374"/>
      <c r="F97" s="354">
        <v>3519</v>
      </c>
    </row>
    <row r="98" spans="1:6" ht="15.75" customHeight="1" x14ac:dyDescent="0.25">
      <c r="A98" s="372" t="s">
        <v>705</v>
      </c>
      <c r="B98" s="373"/>
      <c r="C98" s="354">
        <v>12057</v>
      </c>
      <c r="D98" s="374">
        <v>61715</v>
      </c>
      <c r="E98" s="375"/>
      <c r="F98" s="354">
        <v>73772</v>
      </c>
    </row>
    <row r="99" spans="1:6" ht="15.75" customHeight="1" x14ac:dyDescent="0.25">
      <c r="A99" s="372" t="s">
        <v>842</v>
      </c>
      <c r="B99" s="373"/>
      <c r="C99" s="354">
        <v>12057</v>
      </c>
      <c r="D99" s="374">
        <v>61715</v>
      </c>
      <c r="E99" s="375"/>
      <c r="F99" s="354">
        <v>73772</v>
      </c>
    </row>
    <row r="100" spans="1:6" ht="12" customHeight="1" x14ac:dyDescent="0.25"/>
    <row r="101" spans="1:6" ht="15.75" customHeight="1" x14ac:dyDescent="0.25">
      <c r="A101" s="382" t="s">
        <v>853</v>
      </c>
      <c r="B101" s="373"/>
      <c r="C101" s="373"/>
      <c r="D101" s="373"/>
      <c r="E101" s="373"/>
      <c r="F101" s="373"/>
    </row>
    <row r="102" spans="1:6" ht="15.75" customHeight="1" x14ac:dyDescent="0.25">
      <c r="A102" s="382" t="s">
        <v>698</v>
      </c>
      <c r="B102" s="383"/>
      <c r="C102" s="353">
        <v>33940</v>
      </c>
      <c r="D102" s="384">
        <v>0</v>
      </c>
      <c r="E102" s="384"/>
      <c r="F102" s="353">
        <v>33940</v>
      </c>
    </row>
    <row r="103" spans="1:6" ht="15.75" customHeight="1" x14ac:dyDescent="0.25">
      <c r="A103" s="372" t="s">
        <v>702</v>
      </c>
      <c r="B103" s="373"/>
      <c r="C103" s="354">
        <v>33940</v>
      </c>
      <c r="D103" s="374">
        <v>0</v>
      </c>
      <c r="E103" s="374"/>
      <c r="F103" s="354">
        <v>33940</v>
      </c>
    </row>
    <row r="104" spans="1:6" ht="15.75" customHeight="1" x14ac:dyDescent="0.25">
      <c r="A104" s="372" t="s">
        <v>703</v>
      </c>
      <c r="B104" s="373"/>
      <c r="C104" s="354">
        <v>33940</v>
      </c>
      <c r="D104" s="374">
        <v>0</v>
      </c>
      <c r="E104" s="374"/>
      <c r="F104" s="354">
        <v>33940</v>
      </c>
    </row>
    <row r="105" spans="1:6" ht="14.25" customHeight="1" x14ac:dyDescent="0.25"/>
    <row r="106" spans="1:6" ht="15.75" customHeight="1" x14ac:dyDescent="0.25">
      <c r="A106" s="382" t="s">
        <v>854</v>
      </c>
      <c r="B106" s="373"/>
      <c r="C106" s="373"/>
      <c r="D106" s="373"/>
      <c r="E106" s="373"/>
      <c r="F106" s="373"/>
    </row>
    <row r="107" spans="1:6" ht="15.75" customHeight="1" x14ac:dyDescent="0.25">
      <c r="A107" s="382" t="s">
        <v>698</v>
      </c>
      <c r="B107" s="383"/>
      <c r="C107" s="353">
        <v>210000</v>
      </c>
      <c r="D107" s="384">
        <v>0</v>
      </c>
      <c r="E107" s="384"/>
      <c r="F107" s="353">
        <v>210000</v>
      </c>
    </row>
    <row r="108" spans="1:6" ht="15.75" customHeight="1" x14ac:dyDescent="0.25">
      <c r="A108" s="372" t="s">
        <v>702</v>
      </c>
      <c r="B108" s="373"/>
      <c r="C108" s="354">
        <v>160000</v>
      </c>
      <c r="D108" s="374">
        <v>0</v>
      </c>
      <c r="E108" s="374"/>
      <c r="F108" s="354">
        <v>160000</v>
      </c>
    </row>
    <row r="109" spans="1:6" ht="15.75" customHeight="1" x14ac:dyDescent="0.25">
      <c r="A109" s="372" t="s">
        <v>703</v>
      </c>
      <c r="B109" s="373"/>
      <c r="C109" s="354">
        <v>160000</v>
      </c>
      <c r="D109" s="374">
        <v>0</v>
      </c>
      <c r="E109" s="374"/>
      <c r="F109" s="354">
        <v>160000</v>
      </c>
    </row>
    <row r="110" spans="1:6" ht="15.75" customHeight="1" x14ac:dyDescent="0.25">
      <c r="A110" s="372" t="s">
        <v>840</v>
      </c>
      <c r="B110" s="373"/>
      <c r="C110" s="354">
        <v>50000</v>
      </c>
      <c r="D110" s="374">
        <v>0</v>
      </c>
      <c r="E110" s="374"/>
      <c r="F110" s="354">
        <v>50000</v>
      </c>
    </row>
    <row r="111" spans="1:6" ht="15.75" customHeight="1" x14ac:dyDescent="0.25">
      <c r="A111" s="372" t="s">
        <v>841</v>
      </c>
      <c r="B111" s="373"/>
      <c r="C111" s="354">
        <v>50000</v>
      </c>
      <c r="D111" s="374">
        <v>0</v>
      </c>
      <c r="E111" s="374"/>
      <c r="F111" s="354">
        <v>50000</v>
      </c>
    </row>
    <row r="112" spans="1:6" ht="14.25" customHeight="1" x14ac:dyDescent="0.25"/>
    <row r="113" spans="1:6" ht="15.75" customHeight="1" x14ac:dyDescent="0.25">
      <c r="A113" s="382" t="s">
        <v>855</v>
      </c>
      <c r="B113" s="373"/>
      <c r="C113" s="373"/>
      <c r="D113" s="373"/>
      <c r="E113" s="373"/>
      <c r="F113" s="373"/>
    </row>
    <row r="114" spans="1:6" ht="15.75" customHeight="1" x14ac:dyDescent="0.25">
      <c r="A114" s="382" t="s">
        <v>698</v>
      </c>
      <c r="B114" s="383"/>
      <c r="C114" s="353">
        <v>641318</v>
      </c>
      <c r="D114" s="384">
        <v>0</v>
      </c>
      <c r="E114" s="384"/>
      <c r="F114" s="353">
        <v>641318</v>
      </c>
    </row>
    <row r="115" spans="1:6" ht="15.75" customHeight="1" x14ac:dyDescent="0.25">
      <c r="A115" s="372" t="s">
        <v>702</v>
      </c>
      <c r="B115" s="373"/>
      <c r="C115" s="354">
        <v>100</v>
      </c>
      <c r="D115" s="374">
        <v>0</v>
      </c>
      <c r="E115" s="374"/>
      <c r="F115" s="354">
        <v>100</v>
      </c>
    </row>
    <row r="116" spans="1:6" ht="15.75" customHeight="1" x14ac:dyDescent="0.25">
      <c r="A116" s="372" t="s">
        <v>703</v>
      </c>
      <c r="B116" s="373"/>
      <c r="C116" s="354">
        <v>100</v>
      </c>
      <c r="D116" s="374">
        <v>0</v>
      </c>
      <c r="E116" s="374"/>
      <c r="F116" s="354">
        <v>100</v>
      </c>
    </row>
    <row r="117" spans="1:6" ht="31.5" customHeight="1" x14ac:dyDescent="0.25">
      <c r="A117" s="372" t="s">
        <v>843</v>
      </c>
      <c r="B117" s="373"/>
      <c r="C117" s="354">
        <v>641218</v>
      </c>
      <c r="D117" s="374">
        <v>0</v>
      </c>
      <c r="E117" s="374"/>
      <c r="F117" s="354">
        <v>641218</v>
      </c>
    </row>
    <row r="118" spans="1:6" ht="15.75" customHeight="1" x14ac:dyDescent="0.25">
      <c r="A118" s="372" t="s">
        <v>844</v>
      </c>
      <c r="B118" s="373"/>
      <c r="C118" s="354">
        <v>641218</v>
      </c>
      <c r="D118" s="374">
        <v>0</v>
      </c>
      <c r="E118" s="374"/>
      <c r="F118" s="354">
        <v>641218</v>
      </c>
    </row>
    <row r="119" spans="1:6" ht="14.25" customHeight="1" x14ac:dyDescent="0.25"/>
    <row r="120" spans="1:6" ht="15.75" customHeight="1" x14ac:dyDescent="0.25">
      <c r="A120" s="382" t="s">
        <v>856</v>
      </c>
      <c r="B120" s="373"/>
      <c r="C120" s="373"/>
      <c r="D120" s="373"/>
      <c r="E120" s="373"/>
      <c r="F120" s="373"/>
    </row>
    <row r="121" spans="1:6" ht="15.75" customHeight="1" x14ac:dyDescent="0.25">
      <c r="A121" s="382" t="s">
        <v>698</v>
      </c>
      <c r="B121" s="383"/>
      <c r="C121" s="353">
        <v>350610</v>
      </c>
      <c r="D121" s="384">
        <v>0</v>
      </c>
      <c r="E121" s="384"/>
      <c r="F121" s="353">
        <v>350610</v>
      </c>
    </row>
    <row r="122" spans="1:6" ht="31.5" customHeight="1" x14ac:dyDescent="0.25">
      <c r="A122" s="372" t="s">
        <v>843</v>
      </c>
      <c r="B122" s="373"/>
      <c r="C122" s="354">
        <v>350610</v>
      </c>
      <c r="D122" s="374">
        <v>0</v>
      </c>
      <c r="E122" s="374"/>
      <c r="F122" s="354">
        <v>350610</v>
      </c>
    </row>
    <row r="123" spans="1:6" ht="15.75" customHeight="1" x14ac:dyDescent="0.25">
      <c r="A123" s="372" t="s">
        <v>844</v>
      </c>
      <c r="B123" s="373"/>
      <c r="C123" s="354">
        <v>350610</v>
      </c>
      <c r="D123" s="374">
        <v>0</v>
      </c>
      <c r="E123" s="374"/>
      <c r="F123" s="354">
        <v>350610</v>
      </c>
    </row>
    <row r="124" spans="1:6" ht="14.25" customHeight="1" x14ac:dyDescent="0.25"/>
    <row r="125" spans="1:6" ht="15.75" customHeight="1" x14ac:dyDescent="0.25">
      <c r="A125" s="382" t="s">
        <v>857</v>
      </c>
      <c r="B125" s="373"/>
      <c r="C125" s="373"/>
      <c r="D125" s="373"/>
      <c r="E125" s="373"/>
      <c r="F125" s="373"/>
    </row>
    <row r="126" spans="1:6" ht="15.75" customHeight="1" x14ac:dyDescent="0.25">
      <c r="A126" s="382" t="s">
        <v>698</v>
      </c>
      <c r="B126" s="383"/>
      <c r="C126" s="353">
        <v>97506</v>
      </c>
      <c r="D126" s="384">
        <v>2494</v>
      </c>
      <c r="E126" s="385"/>
      <c r="F126" s="353">
        <v>100000</v>
      </c>
    </row>
    <row r="127" spans="1:6" ht="15.75" customHeight="1" x14ac:dyDescent="0.25">
      <c r="A127" s="372" t="s">
        <v>702</v>
      </c>
      <c r="B127" s="373"/>
      <c r="C127" s="354">
        <v>97506</v>
      </c>
      <c r="D127" s="374">
        <v>2494</v>
      </c>
      <c r="E127" s="375"/>
      <c r="F127" s="354">
        <v>100000</v>
      </c>
    </row>
    <row r="128" spans="1:6" ht="15.75" customHeight="1" x14ac:dyDescent="0.25">
      <c r="A128" s="372" t="s">
        <v>703</v>
      </c>
      <c r="B128" s="373"/>
      <c r="C128" s="354">
        <v>97506</v>
      </c>
      <c r="D128" s="374">
        <v>2494</v>
      </c>
      <c r="E128" s="375"/>
      <c r="F128" s="354">
        <v>100000</v>
      </c>
    </row>
    <row r="129" spans="1:6" ht="15.75" customHeight="1" x14ac:dyDescent="0.25">
      <c r="A129" s="372" t="s">
        <v>838</v>
      </c>
      <c r="B129" s="373"/>
      <c r="C129" s="354">
        <v>97506</v>
      </c>
      <c r="D129" s="374">
        <v>2494</v>
      </c>
      <c r="E129" s="375"/>
      <c r="F129" s="354">
        <v>100000</v>
      </c>
    </row>
    <row r="130" spans="1:6" ht="14.25" customHeight="1" x14ac:dyDescent="0.25"/>
    <row r="131" spans="1:6" ht="15.75" customHeight="1" x14ac:dyDescent="0.25">
      <c r="A131" s="382" t="s">
        <v>708</v>
      </c>
      <c r="B131" s="373"/>
      <c r="C131" s="373"/>
      <c r="D131" s="373"/>
      <c r="E131" s="373"/>
      <c r="F131" s="373"/>
    </row>
    <row r="132" spans="1:6" ht="15.75" customHeight="1" x14ac:dyDescent="0.25">
      <c r="A132" s="382" t="s">
        <v>698</v>
      </c>
      <c r="B132" s="383"/>
      <c r="C132" s="353">
        <v>3155335</v>
      </c>
      <c r="D132" s="384">
        <v>0</v>
      </c>
      <c r="E132" s="384"/>
      <c r="F132" s="353">
        <v>3155335</v>
      </c>
    </row>
    <row r="133" spans="1:6" ht="15.75" customHeight="1" x14ac:dyDescent="0.25">
      <c r="A133" s="372" t="s">
        <v>699</v>
      </c>
      <c r="B133" s="373"/>
      <c r="C133" s="354">
        <v>2590766</v>
      </c>
      <c r="D133" s="374">
        <v>0</v>
      </c>
      <c r="E133" s="374"/>
      <c r="F133" s="354">
        <v>2590766</v>
      </c>
    </row>
    <row r="134" spans="1:6" ht="15.75" customHeight="1" x14ac:dyDescent="0.25">
      <c r="A134" s="372" t="s">
        <v>700</v>
      </c>
      <c r="B134" s="373"/>
      <c r="C134" s="354">
        <v>1860527</v>
      </c>
      <c r="D134" s="374">
        <v>0</v>
      </c>
      <c r="E134" s="374"/>
      <c r="F134" s="354">
        <v>1860527</v>
      </c>
    </row>
    <row r="135" spans="1:6" ht="15.75" customHeight="1" x14ac:dyDescent="0.25">
      <c r="A135" s="372" t="s">
        <v>701</v>
      </c>
      <c r="B135" s="373"/>
      <c r="C135" s="354">
        <v>730239</v>
      </c>
      <c r="D135" s="374">
        <v>0</v>
      </c>
      <c r="E135" s="374"/>
      <c r="F135" s="354">
        <v>730239</v>
      </c>
    </row>
    <row r="136" spans="1:6" ht="15.75" customHeight="1" x14ac:dyDescent="0.25">
      <c r="A136" s="372" t="s">
        <v>702</v>
      </c>
      <c r="B136" s="373"/>
      <c r="C136" s="354">
        <v>396565</v>
      </c>
      <c r="D136" s="374">
        <v>0</v>
      </c>
      <c r="E136" s="374"/>
      <c r="F136" s="354">
        <v>396565</v>
      </c>
    </row>
    <row r="137" spans="1:6" ht="15.75" customHeight="1" x14ac:dyDescent="0.25">
      <c r="A137" s="372" t="s">
        <v>837</v>
      </c>
      <c r="B137" s="373"/>
      <c r="C137" s="354">
        <v>6570</v>
      </c>
      <c r="D137" s="374">
        <v>0</v>
      </c>
      <c r="E137" s="374"/>
      <c r="F137" s="354">
        <v>6570</v>
      </c>
    </row>
    <row r="138" spans="1:6" ht="15.75" customHeight="1" x14ac:dyDescent="0.25">
      <c r="A138" s="372" t="s">
        <v>703</v>
      </c>
      <c r="B138" s="373"/>
      <c r="C138" s="354">
        <v>226440</v>
      </c>
      <c r="D138" s="374">
        <v>0</v>
      </c>
      <c r="E138" s="374"/>
      <c r="F138" s="354">
        <v>226440</v>
      </c>
    </row>
    <row r="139" spans="1:6" ht="31.5" customHeight="1" x14ac:dyDescent="0.25">
      <c r="A139" s="372" t="s">
        <v>704</v>
      </c>
      <c r="B139" s="373"/>
      <c r="C139" s="354">
        <v>133055</v>
      </c>
      <c r="D139" s="374">
        <v>0</v>
      </c>
      <c r="E139" s="374"/>
      <c r="F139" s="354">
        <v>133055</v>
      </c>
    </row>
    <row r="140" spans="1:6" ht="15.75" customHeight="1" x14ac:dyDescent="0.25">
      <c r="A140" s="372" t="s">
        <v>839</v>
      </c>
      <c r="B140" s="373"/>
      <c r="C140" s="354">
        <v>30500</v>
      </c>
      <c r="D140" s="374">
        <v>0</v>
      </c>
      <c r="E140" s="374"/>
      <c r="F140" s="354">
        <v>30500</v>
      </c>
    </row>
    <row r="141" spans="1:6" ht="15.75" customHeight="1" x14ac:dyDescent="0.25">
      <c r="A141" s="372" t="s">
        <v>705</v>
      </c>
      <c r="B141" s="373"/>
      <c r="C141" s="354">
        <v>168004</v>
      </c>
      <c r="D141" s="374">
        <v>0</v>
      </c>
      <c r="E141" s="374"/>
      <c r="F141" s="354">
        <v>168004</v>
      </c>
    </row>
    <row r="142" spans="1:6" ht="15.75" customHeight="1" x14ac:dyDescent="0.25">
      <c r="A142" s="372" t="s">
        <v>842</v>
      </c>
      <c r="B142" s="373"/>
      <c r="C142" s="354">
        <v>45000</v>
      </c>
      <c r="D142" s="374">
        <v>0</v>
      </c>
      <c r="E142" s="374"/>
      <c r="F142" s="354">
        <v>45000</v>
      </c>
    </row>
    <row r="143" spans="1:6" ht="15.75" customHeight="1" x14ac:dyDescent="0.25">
      <c r="A143" s="372" t="s">
        <v>706</v>
      </c>
      <c r="B143" s="373"/>
      <c r="C143" s="354">
        <v>123004</v>
      </c>
      <c r="D143" s="374">
        <v>0</v>
      </c>
      <c r="E143" s="374"/>
      <c r="F143" s="354">
        <v>123004</v>
      </c>
    </row>
    <row r="144" spans="1:6" ht="14.25" customHeight="1" x14ac:dyDescent="0.25"/>
    <row r="145" spans="1:6" ht="15.75" customHeight="1" x14ac:dyDescent="0.25">
      <c r="A145" s="382" t="s">
        <v>858</v>
      </c>
      <c r="B145" s="373"/>
      <c r="C145" s="373"/>
      <c r="D145" s="373"/>
      <c r="E145" s="373"/>
      <c r="F145" s="373"/>
    </row>
    <row r="146" spans="1:6" ht="15.75" customHeight="1" x14ac:dyDescent="0.25">
      <c r="A146" s="382" t="s">
        <v>698</v>
      </c>
      <c r="B146" s="383"/>
      <c r="C146" s="353">
        <v>2830332</v>
      </c>
      <c r="D146" s="384">
        <v>0</v>
      </c>
      <c r="E146" s="384"/>
      <c r="F146" s="353">
        <v>2830332</v>
      </c>
    </row>
    <row r="147" spans="1:6" ht="15.75" customHeight="1" x14ac:dyDescent="0.25">
      <c r="A147" s="372" t="s">
        <v>699</v>
      </c>
      <c r="B147" s="373"/>
      <c r="C147" s="354">
        <v>2433398</v>
      </c>
      <c r="D147" s="374">
        <v>0</v>
      </c>
      <c r="E147" s="374"/>
      <c r="F147" s="354">
        <v>2433398</v>
      </c>
    </row>
    <row r="148" spans="1:6" ht="15.75" customHeight="1" x14ac:dyDescent="0.25">
      <c r="A148" s="372" t="s">
        <v>700</v>
      </c>
      <c r="B148" s="373"/>
      <c r="C148" s="354">
        <v>1738385</v>
      </c>
      <c r="D148" s="374">
        <v>0</v>
      </c>
      <c r="E148" s="374"/>
      <c r="F148" s="354">
        <v>1738385</v>
      </c>
    </row>
    <row r="149" spans="1:6" ht="15.75" customHeight="1" x14ac:dyDescent="0.25">
      <c r="A149" s="372" t="s">
        <v>701</v>
      </c>
      <c r="B149" s="373"/>
      <c r="C149" s="354">
        <v>695013</v>
      </c>
      <c r="D149" s="374">
        <v>0</v>
      </c>
      <c r="E149" s="374"/>
      <c r="F149" s="354">
        <v>695013</v>
      </c>
    </row>
    <row r="150" spans="1:6" ht="15.75" customHeight="1" x14ac:dyDescent="0.25">
      <c r="A150" s="372" t="s">
        <v>702</v>
      </c>
      <c r="B150" s="373"/>
      <c r="C150" s="354">
        <v>300230</v>
      </c>
      <c r="D150" s="374">
        <v>0</v>
      </c>
      <c r="E150" s="374"/>
      <c r="F150" s="354">
        <v>300230</v>
      </c>
    </row>
    <row r="151" spans="1:6" ht="15.75" customHeight="1" x14ac:dyDescent="0.25">
      <c r="A151" s="372" t="s">
        <v>837</v>
      </c>
      <c r="B151" s="373"/>
      <c r="C151" s="354">
        <v>4570</v>
      </c>
      <c r="D151" s="374">
        <v>0</v>
      </c>
      <c r="E151" s="374"/>
      <c r="F151" s="354">
        <v>4570</v>
      </c>
    </row>
    <row r="152" spans="1:6" ht="15.75" customHeight="1" x14ac:dyDescent="0.25">
      <c r="A152" s="372" t="s">
        <v>703</v>
      </c>
      <c r="B152" s="373"/>
      <c r="C152" s="354">
        <v>137885</v>
      </c>
      <c r="D152" s="374">
        <v>0</v>
      </c>
      <c r="E152" s="374"/>
      <c r="F152" s="354">
        <v>137885</v>
      </c>
    </row>
    <row r="153" spans="1:6" ht="31.5" customHeight="1" x14ac:dyDescent="0.25">
      <c r="A153" s="372" t="s">
        <v>704</v>
      </c>
      <c r="B153" s="373"/>
      <c r="C153" s="354">
        <v>127275</v>
      </c>
      <c r="D153" s="374">
        <v>0</v>
      </c>
      <c r="E153" s="374"/>
      <c r="F153" s="354">
        <v>127275</v>
      </c>
    </row>
    <row r="154" spans="1:6" ht="15.75" customHeight="1" x14ac:dyDescent="0.25">
      <c r="A154" s="372" t="s">
        <v>839</v>
      </c>
      <c r="B154" s="373"/>
      <c r="C154" s="354">
        <v>30500</v>
      </c>
      <c r="D154" s="374">
        <v>0</v>
      </c>
      <c r="E154" s="374"/>
      <c r="F154" s="354">
        <v>30500</v>
      </c>
    </row>
    <row r="155" spans="1:6" ht="15.75" customHeight="1" x14ac:dyDescent="0.25">
      <c r="A155" s="372" t="s">
        <v>705</v>
      </c>
      <c r="B155" s="373"/>
      <c r="C155" s="354">
        <v>96704</v>
      </c>
      <c r="D155" s="374">
        <v>0</v>
      </c>
      <c r="E155" s="374"/>
      <c r="F155" s="354">
        <v>96704</v>
      </c>
    </row>
    <row r="156" spans="1:6" ht="15.75" customHeight="1" x14ac:dyDescent="0.25">
      <c r="A156" s="372" t="s">
        <v>706</v>
      </c>
      <c r="B156" s="373"/>
      <c r="C156" s="354">
        <v>96704</v>
      </c>
      <c r="D156" s="374">
        <v>0</v>
      </c>
      <c r="E156" s="374"/>
      <c r="F156" s="354">
        <v>96704</v>
      </c>
    </row>
    <row r="157" spans="1:6" ht="11.25" customHeight="1" x14ac:dyDescent="0.25"/>
    <row r="158" spans="1:6" ht="15.75" customHeight="1" x14ac:dyDescent="0.25">
      <c r="A158" s="382" t="s">
        <v>859</v>
      </c>
      <c r="B158" s="373"/>
      <c r="C158" s="373"/>
      <c r="D158" s="373"/>
      <c r="E158" s="373"/>
      <c r="F158" s="373"/>
    </row>
    <row r="159" spans="1:6" ht="15.75" customHeight="1" x14ac:dyDescent="0.25">
      <c r="A159" s="382" t="s">
        <v>698</v>
      </c>
      <c r="B159" s="383"/>
      <c r="C159" s="353">
        <v>325003</v>
      </c>
      <c r="D159" s="384">
        <v>0</v>
      </c>
      <c r="E159" s="384"/>
      <c r="F159" s="353">
        <v>325003</v>
      </c>
    </row>
    <row r="160" spans="1:6" ht="15.75" customHeight="1" x14ac:dyDescent="0.25">
      <c r="A160" s="372" t="s">
        <v>699</v>
      </c>
      <c r="B160" s="373"/>
      <c r="C160" s="354">
        <v>157368</v>
      </c>
      <c r="D160" s="374">
        <v>0</v>
      </c>
      <c r="E160" s="374"/>
      <c r="F160" s="354">
        <v>157368</v>
      </c>
    </row>
    <row r="161" spans="1:6" ht="15.75" customHeight="1" x14ac:dyDescent="0.25">
      <c r="A161" s="372" t="s">
        <v>700</v>
      </c>
      <c r="B161" s="373"/>
      <c r="C161" s="354">
        <v>122142</v>
      </c>
      <c r="D161" s="374">
        <v>0</v>
      </c>
      <c r="E161" s="374"/>
      <c r="F161" s="354">
        <v>122142</v>
      </c>
    </row>
    <row r="162" spans="1:6" ht="15.75" customHeight="1" x14ac:dyDescent="0.25">
      <c r="A162" s="372" t="s">
        <v>701</v>
      </c>
      <c r="B162" s="373"/>
      <c r="C162" s="354">
        <v>35226</v>
      </c>
      <c r="D162" s="374">
        <v>0</v>
      </c>
      <c r="E162" s="374"/>
      <c r="F162" s="354">
        <v>35226</v>
      </c>
    </row>
    <row r="163" spans="1:6" ht="15.75" customHeight="1" x14ac:dyDescent="0.25">
      <c r="A163" s="372" t="s">
        <v>702</v>
      </c>
      <c r="B163" s="373"/>
      <c r="C163" s="354">
        <v>96335</v>
      </c>
      <c r="D163" s="374">
        <v>0</v>
      </c>
      <c r="E163" s="374"/>
      <c r="F163" s="354">
        <v>96335</v>
      </c>
    </row>
    <row r="164" spans="1:6" ht="15.75" customHeight="1" x14ac:dyDescent="0.25">
      <c r="A164" s="372" t="s">
        <v>837</v>
      </c>
      <c r="B164" s="373"/>
      <c r="C164" s="354">
        <v>2000</v>
      </c>
      <c r="D164" s="374">
        <v>0</v>
      </c>
      <c r="E164" s="374"/>
      <c r="F164" s="354">
        <v>2000</v>
      </c>
    </row>
    <row r="165" spans="1:6" ht="15.75" customHeight="1" x14ac:dyDescent="0.25">
      <c r="A165" s="372" t="s">
        <v>703</v>
      </c>
      <c r="B165" s="373"/>
      <c r="C165" s="354">
        <v>88555</v>
      </c>
      <c r="D165" s="374">
        <v>0</v>
      </c>
      <c r="E165" s="374"/>
      <c r="F165" s="354">
        <v>88555</v>
      </c>
    </row>
    <row r="166" spans="1:6" ht="31.5" customHeight="1" x14ac:dyDescent="0.25">
      <c r="A166" s="372" t="s">
        <v>704</v>
      </c>
      <c r="B166" s="373"/>
      <c r="C166" s="354">
        <v>5780</v>
      </c>
      <c r="D166" s="374">
        <v>0</v>
      </c>
      <c r="E166" s="374"/>
      <c r="F166" s="354">
        <v>5780</v>
      </c>
    </row>
    <row r="167" spans="1:6" ht="15.75" customHeight="1" x14ac:dyDescent="0.25">
      <c r="A167" s="372" t="s">
        <v>705</v>
      </c>
      <c r="B167" s="373"/>
      <c r="C167" s="354">
        <v>71300</v>
      </c>
      <c r="D167" s="374">
        <v>0</v>
      </c>
      <c r="E167" s="374"/>
      <c r="F167" s="354">
        <v>71300</v>
      </c>
    </row>
    <row r="168" spans="1:6" ht="15.75" customHeight="1" x14ac:dyDescent="0.25">
      <c r="A168" s="372" t="s">
        <v>842</v>
      </c>
      <c r="B168" s="373"/>
      <c r="C168" s="354">
        <v>45000</v>
      </c>
      <c r="D168" s="374">
        <v>0</v>
      </c>
      <c r="E168" s="374"/>
      <c r="F168" s="354">
        <v>45000</v>
      </c>
    </row>
    <row r="169" spans="1:6" ht="15.75" customHeight="1" x14ac:dyDescent="0.25">
      <c r="A169" s="372" t="s">
        <v>706</v>
      </c>
      <c r="B169" s="373"/>
      <c r="C169" s="354">
        <v>26300</v>
      </c>
      <c r="D169" s="374">
        <v>0</v>
      </c>
      <c r="E169" s="374"/>
      <c r="F169" s="354">
        <v>26300</v>
      </c>
    </row>
    <row r="170" spans="1:6" ht="11.25" customHeight="1" x14ac:dyDescent="0.25"/>
    <row r="171" spans="1:6" ht="15.75" customHeight="1" x14ac:dyDescent="0.25">
      <c r="A171" s="382" t="s">
        <v>709</v>
      </c>
      <c r="B171" s="373"/>
      <c r="C171" s="373"/>
      <c r="D171" s="373"/>
      <c r="E171" s="373"/>
      <c r="F171" s="373"/>
    </row>
    <row r="172" spans="1:6" ht="15.75" customHeight="1" x14ac:dyDescent="0.25">
      <c r="A172" s="382" t="s">
        <v>698</v>
      </c>
      <c r="B172" s="383"/>
      <c r="C172" s="353">
        <v>4420527</v>
      </c>
      <c r="D172" s="384">
        <v>385782</v>
      </c>
      <c r="E172" s="385"/>
      <c r="F172" s="353">
        <v>4806309</v>
      </c>
    </row>
    <row r="173" spans="1:6" ht="15.75" customHeight="1" x14ac:dyDescent="0.25">
      <c r="A173" s="372" t="s">
        <v>699</v>
      </c>
      <c r="B173" s="373"/>
      <c r="C173" s="354">
        <v>217506</v>
      </c>
      <c r="D173" s="374">
        <v>0</v>
      </c>
      <c r="E173" s="374"/>
      <c r="F173" s="354">
        <v>217506</v>
      </c>
    </row>
    <row r="174" spans="1:6" ht="15.75" customHeight="1" x14ac:dyDescent="0.25">
      <c r="A174" s="372" t="s">
        <v>700</v>
      </c>
      <c r="B174" s="373"/>
      <c r="C174" s="354">
        <v>168254</v>
      </c>
      <c r="D174" s="374">
        <v>0</v>
      </c>
      <c r="E174" s="374"/>
      <c r="F174" s="354">
        <v>168254</v>
      </c>
    </row>
    <row r="175" spans="1:6" ht="15.75" customHeight="1" x14ac:dyDescent="0.25">
      <c r="A175" s="372" t="s">
        <v>701</v>
      </c>
      <c r="B175" s="373"/>
      <c r="C175" s="354">
        <v>49252</v>
      </c>
      <c r="D175" s="374">
        <v>0</v>
      </c>
      <c r="E175" s="374"/>
      <c r="F175" s="354">
        <v>49252</v>
      </c>
    </row>
    <row r="176" spans="1:6" ht="15.75" customHeight="1" x14ac:dyDescent="0.25">
      <c r="A176" s="372" t="s">
        <v>702</v>
      </c>
      <c r="B176" s="373"/>
      <c r="C176" s="354">
        <v>420030</v>
      </c>
      <c r="D176" s="374">
        <v>0</v>
      </c>
      <c r="E176" s="374"/>
      <c r="F176" s="354">
        <v>420030</v>
      </c>
    </row>
    <row r="177" spans="1:6" ht="15.75" customHeight="1" x14ac:dyDescent="0.25">
      <c r="A177" s="372" t="s">
        <v>837</v>
      </c>
      <c r="B177" s="373"/>
      <c r="C177" s="354">
        <v>9030</v>
      </c>
      <c r="D177" s="374">
        <v>0</v>
      </c>
      <c r="E177" s="374"/>
      <c r="F177" s="354">
        <v>9030</v>
      </c>
    </row>
    <row r="178" spans="1:6" ht="15.75" customHeight="1" x14ac:dyDescent="0.25">
      <c r="A178" s="372" t="s">
        <v>703</v>
      </c>
      <c r="B178" s="373"/>
      <c r="C178" s="354">
        <v>344083</v>
      </c>
      <c r="D178" s="374">
        <v>-2000</v>
      </c>
      <c r="E178" s="375"/>
      <c r="F178" s="354">
        <v>342083</v>
      </c>
    </row>
    <row r="179" spans="1:6" ht="31.5" customHeight="1" x14ac:dyDescent="0.25">
      <c r="A179" s="372" t="s">
        <v>704</v>
      </c>
      <c r="B179" s="373"/>
      <c r="C179" s="354">
        <v>47567</v>
      </c>
      <c r="D179" s="374">
        <v>2000</v>
      </c>
      <c r="E179" s="375"/>
      <c r="F179" s="354">
        <v>49567</v>
      </c>
    </row>
    <row r="180" spans="1:6" ht="15.75" customHeight="1" x14ac:dyDescent="0.25">
      <c r="A180" s="372" t="s">
        <v>839</v>
      </c>
      <c r="B180" s="373"/>
      <c r="C180" s="354">
        <v>19350</v>
      </c>
      <c r="D180" s="374">
        <v>0</v>
      </c>
      <c r="E180" s="374"/>
      <c r="F180" s="354">
        <v>19350</v>
      </c>
    </row>
    <row r="181" spans="1:6" ht="15.75" customHeight="1" x14ac:dyDescent="0.25">
      <c r="A181" s="372" t="s">
        <v>710</v>
      </c>
      <c r="B181" s="373"/>
      <c r="C181" s="354">
        <v>1390934</v>
      </c>
      <c r="D181" s="374">
        <v>127339</v>
      </c>
      <c r="E181" s="375"/>
      <c r="F181" s="354">
        <v>1518273</v>
      </c>
    </row>
    <row r="182" spans="1:6" ht="31.5" customHeight="1" x14ac:dyDescent="0.25">
      <c r="A182" s="372" t="s">
        <v>711</v>
      </c>
      <c r="B182" s="373"/>
      <c r="C182" s="354">
        <v>62280</v>
      </c>
      <c r="D182" s="374">
        <v>0</v>
      </c>
      <c r="E182" s="374"/>
      <c r="F182" s="354">
        <v>62280</v>
      </c>
    </row>
    <row r="183" spans="1:6" ht="31.5" customHeight="1" x14ac:dyDescent="0.25">
      <c r="A183" s="372" t="s">
        <v>712</v>
      </c>
      <c r="B183" s="373"/>
      <c r="C183" s="354">
        <v>1328654</v>
      </c>
      <c r="D183" s="374">
        <v>127339</v>
      </c>
      <c r="E183" s="375"/>
      <c r="F183" s="354">
        <v>1455993</v>
      </c>
    </row>
    <row r="184" spans="1:6" ht="15.75" customHeight="1" x14ac:dyDescent="0.25">
      <c r="A184" s="372" t="s">
        <v>705</v>
      </c>
      <c r="B184" s="373"/>
      <c r="C184" s="354">
        <v>2389557</v>
      </c>
      <c r="D184" s="374">
        <v>258443</v>
      </c>
      <c r="E184" s="375"/>
      <c r="F184" s="354">
        <v>2648000</v>
      </c>
    </row>
    <row r="185" spans="1:6" ht="15.75" customHeight="1" x14ac:dyDescent="0.25">
      <c r="A185" s="372" t="s">
        <v>842</v>
      </c>
      <c r="B185" s="373"/>
      <c r="C185" s="354">
        <v>7255</v>
      </c>
      <c r="D185" s="374">
        <v>0</v>
      </c>
      <c r="E185" s="374"/>
      <c r="F185" s="354">
        <v>7255</v>
      </c>
    </row>
    <row r="186" spans="1:6" ht="15.75" customHeight="1" x14ac:dyDescent="0.25">
      <c r="A186" s="372" t="s">
        <v>706</v>
      </c>
      <c r="B186" s="373"/>
      <c r="C186" s="354">
        <v>2382302</v>
      </c>
      <c r="D186" s="374">
        <v>258443</v>
      </c>
      <c r="E186" s="375"/>
      <c r="F186" s="354">
        <v>2640745</v>
      </c>
    </row>
    <row r="187" spans="1:6" ht="31.5" customHeight="1" x14ac:dyDescent="0.25">
      <c r="A187" s="372" t="s">
        <v>843</v>
      </c>
      <c r="B187" s="373"/>
      <c r="C187" s="354">
        <v>2500</v>
      </c>
      <c r="D187" s="374">
        <v>0</v>
      </c>
      <c r="E187" s="374"/>
      <c r="F187" s="354">
        <v>2500</v>
      </c>
    </row>
    <row r="188" spans="1:6" ht="15.75" customHeight="1" x14ac:dyDescent="0.25">
      <c r="A188" s="372" t="s">
        <v>844</v>
      </c>
      <c r="B188" s="373"/>
      <c r="C188" s="354">
        <v>2500</v>
      </c>
      <c r="D188" s="374">
        <v>0</v>
      </c>
      <c r="E188" s="374"/>
      <c r="F188" s="354">
        <v>2500</v>
      </c>
    </row>
    <row r="189" spans="1:6" ht="12" customHeight="1" x14ac:dyDescent="0.25"/>
    <row r="190" spans="1:6" ht="15.75" customHeight="1" x14ac:dyDescent="0.25">
      <c r="A190" s="382" t="s">
        <v>713</v>
      </c>
      <c r="B190" s="373"/>
      <c r="C190" s="373"/>
      <c r="D190" s="373"/>
      <c r="E190" s="373"/>
      <c r="F190" s="373"/>
    </row>
    <row r="191" spans="1:6" ht="15.75" customHeight="1" x14ac:dyDescent="0.25">
      <c r="A191" s="382" t="s">
        <v>698</v>
      </c>
      <c r="B191" s="383"/>
      <c r="C191" s="353">
        <v>717922</v>
      </c>
      <c r="D191" s="384">
        <v>0</v>
      </c>
      <c r="E191" s="384"/>
      <c r="F191" s="353">
        <v>717922</v>
      </c>
    </row>
    <row r="192" spans="1:6" ht="15.75" customHeight="1" x14ac:dyDescent="0.25">
      <c r="A192" s="372" t="s">
        <v>702</v>
      </c>
      <c r="B192" s="373"/>
      <c r="C192" s="354">
        <v>203164</v>
      </c>
      <c r="D192" s="374">
        <v>0</v>
      </c>
      <c r="E192" s="374"/>
      <c r="F192" s="354">
        <v>203164</v>
      </c>
    </row>
    <row r="193" spans="1:6" ht="15.75" customHeight="1" x14ac:dyDescent="0.25">
      <c r="A193" s="372" t="s">
        <v>703</v>
      </c>
      <c r="B193" s="373"/>
      <c r="C193" s="354">
        <v>197460</v>
      </c>
      <c r="D193" s="374">
        <v>-2000</v>
      </c>
      <c r="E193" s="375"/>
      <c r="F193" s="354">
        <v>195460</v>
      </c>
    </row>
    <row r="194" spans="1:6" ht="31.5" customHeight="1" x14ac:dyDescent="0.25">
      <c r="A194" s="372" t="s">
        <v>704</v>
      </c>
      <c r="B194" s="373"/>
      <c r="C194" s="354">
        <v>5704</v>
      </c>
      <c r="D194" s="374">
        <v>2000</v>
      </c>
      <c r="E194" s="375"/>
      <c r="F194" s="354">
        <v>7704</v>
      </c>
    </row>
    <row r="195" spans="1:6" ht="15.75" customHeight="1" x14ac:dyDescent="0.25">
      <c r="A195" s="372" t="s">
        <v>705</v>
      </c>
      <c r="B195" s="373"/>
      <c r="C195" s="354">
        <v>514758</v>
      </c>
      <c r="D195" s="374">
        <v>0</v>
      </c>
      <c r="E195" s="374"/>
      <c r="F195" s="354">
        <v>514758</v>
      </c>
    </row>
    <row r="196" spans="1:6" ht="15.75" customHeight="1" x14ac:dyDescent="0.25">
      <c r="A196" s="372" t="s">
        <v>706</v>
      </c>
      <c r="B196" s="373"/>
      <c r="C196" s="354">
        <v>514758</v>
      </c>
      <c r="D196" s="374">
        <v>0</v>
      </c>
      <c r="E196" s="374"/>
      <c r="F196" s="354">
        <v>514758</v>
      </c>
    </row>
    <row r="197" spans="1:6" ht="14.25" customHeight="1" x14ac:dyDescent="0.25"/>
    <row r="198" spans="1:6" ht="31.5" customHeight="1" x14ac:dyDescent="0.25">
      <c r="A198" s="382" t="s">
        <v>860</v>
      </c>
      <c r="B198" s="373"/>
      <c r="C198" s="373"/>
      <c r="D198" s="373"/>
      <c r="E198" s="373"/>
      <c r="F198" s="373"/>
    </row>
    <row r="199" spans="1:6" ht="15.75" customHeight="1" x14ac:dyDescent="0.25">
      <c r="A199" s="382" t="s">
        <v>698</v>
      </c>
      <c r="B199" s="383"/>
      <c r="C199" s="353">
        <v>1818744</v>
      </c>
      <c r="D199" s="384">
        <v>0</v>
      </c>
      <c r="E199" s="384"/>
      <c r="F199" s="353">
        <v>1818744</v>
      </c>
    </row>
    <row r="200" spans="1:6" ht="15.75" customHeight="1" x14ac:dyDescent="0.25">
      <c r="A200" s="372" t="s">
        <v>705</v>
      </c>
      <c r="B200" s="373"/>
      <c r="C200" s="354">
        <v>1818744</v>
      </c>
      <c r="D200" s="374">
        <v>0</v>
      </c>
      <c r="E200" s="374"/>
      <c r="F200" s="354">
        <v>1818744</v>
      </c>
    </row>
    <row r="201" spans="1:6" ht="15.75" customHeight="1" x14ac:dyDescent="0.25">
      <c r="A201" s="372" t="s">
        <v>706</v>
      </c>
      <c r="B201" s="373"/>
      <c r="C201" s="354">
        <v>1818744</v>
      </c>
      <c r="D201" s="374">
        <v>0</v>
      </c>
      <c r="E201" s="374"/>
      <c r="F201" s="354">
        <v>1818744</v>
      </c>
    </row>
    <row r="202" spans="1:6" ht="14.25" customHeight="1" x14ac:dyDescent="0.25"/>
    <row r="203" spans="1:6" ht="15.75" customHeight="1" x14ac:dyDescent="0.25">
      <c r="A203" s="382" t="s">
        <v>861</v>
      </c>
      <c r="B203" s="373"/>
      <c r="C203" s="373"/>
      <c r="D203" s="373"/>
      <c r="E203" s="373"/>
      <c r="F203" s="373"/>
    </row>
    <row r="204" spans="1:6" ht="15.75" customHeight="1" x14ac:dyDescent="0.25">
      <c r="A204" s="382" t="s">
        <v>698</v>
      </c>
      <c r="B204" s="383"/>
      <c r="C204" s="353">
        <v>0</v>
      </c>
      <c r="D204" s="384">
        <v>253695</v>
      </c>
      <c r="E204" s="385"/>
      <c r="F204" s="353">
        <v>253695</v>
      </c>
    </row>
    <row r="205" spans="1:6" ht="15.75" customHeight="1" x14ac:dyDescent="0.25">
      <c r="A205" s="372" t="s">
        <v>705</v>
      </c>
      <c r="B205" s="373"/>
      <c r="C205" s="354">
        <v>0</v>
      </c>
      <c r="D205" s="374">
        <v>253695</v>
      </c>
      <c r="E205" s="375"/>
      <c r="F205" s="354">
        <v>253695</v>
      </c>
    </row>
    <row r="206" spans="1:6" ht="15.75" customHeight="1" x14ac:dyDescent="0.25">
      <c r="A206" s="372" t="s">
        <v>706</v>
      </c>
      <c r="B206" s="373"/>
      <c r="C206" s="354">
        <v>0</v>
      </c>
      <c r="D206" s="374">
        <v>253695</v>
      </c>
      <c r="E206" s="375"/>
      <c r="F206" s="354">
        <v>253695</v>
      </c>
    </row>
    <row r="207" spans="1:6" ht="14.25" customHeight="1" x14ac:dyDescent="0.25"/>
    <row r="208" spans="1:6" ht="15.75" customHeight="1" x14ac:dyDescent="0.25">
      <c r="A208" s="382" t="s">
        <v>862</v>
      </c>
      <c r="B208" s="373"/>
      <c r="C208" s="373"/>
      <c r="D208" s="373"/>
      <c r="E208" s="373"/>
      <c r="F208" s="373"/>
    </row>
    <row r="209" spans="1:6" ht="15.75" customHeight="1" x14ac:dyDescent="0.25">
      <c r="A209" s="382" t="s">
        <v>698</v>
      </c>
      <c r="B209" s="383"/>
      <c r="C209" s="353">
        <v>1328654</v>
      </c>
      <c r="D209" s="384">
        <v>127339</v>
      </c>
      <c r="E209" s="385"/>
      <c r="F209" s="353">
        <v>1455993</v>
      </c>
    </row>
    <row r="210" spans="1:6" ht="15.75" customHeight="1" x14ac:dyDescent="0.25">
      <c r="A210" s="372" t="s">
        <v>710</v>
      </c>
      <c r="B210" s="373"/>
      <c r="C210" s="354">
        <v>1328654</v>
      </c>
      <c r="D210" s="374">
        <v>127339</v>
      </c>
      <c r="E210" s="375"/>
      <c r="F210" s="354">
        <v>1455993</v>
      </c>
    </row>
    <row r="211" spans="1:6" ht="31.5" customHeight="1" x14ac:dyDescent="0.25">
      <c r="A211" s="372" t="s">
        <v>712</v>
      </c>
      <c r="B211" s="373"/>
      <c r="C211" s="354">
        <v>1328654</v>
      </c>
      <c r="D211" s="374">
        <v>127339</v>
      </c>
      <c r="E211" s="375"/>
      <c r="F211" s="354">
        <v>1455993</v>
      </c>
    </row>
    <row r="212" spans="1:6" ht="14.25" customHeight="1" x14ac:dyDescent="0.25"/>
    <row r="213" spans="1:6" ht="15.75" customHeight="1" x14ac:dyDescent="0.25">
      <c r="A213" s="382" t="s">
        <v>863</v>
      </c>
      <c r="B213" s="373"/>
      <c r="C213" s="373"/>
      <c r="D213" s="373"/>
      <c r="E213" s="373"/>
      <c r="F213" s="373"/>
    </row>
    <row r="214" spans="1:6" ht="15.75" customHeight="1" x14ac:dyDescent="0.25">
      <c r="A214" s="382" t="s">
        <v>698</v>
      </c>
      <c r="B214" s="383"/>
      <c r="C214" s="353">
        <v>395046</v>
      </c>
      <c r="D214" s="384">
        <v>0</v>
      </c>
      <c r="E214" s="384"/>
      <c r="F214" s="353">
        <v>395046</v>
      </c>
    </row>
    <row r="215" spans="1:6" ht="15.75" customHeight="1" x14ac:dyDescent="0.25">
      <c r="A215" s="372" t="s">
        <v>699</v>
      </c>
      <c r="B215" s="373"/>
      <c r="C215" s="354">
        <v>217506</v>
      </c>
      <c r="D215" s="374">
        <v>0</v>
      </c>
      <c r="E215" s="374"/>
      <c r="F215" s="354">
        <v>217506</v>
      </c>
    </row>
    <row r="216" spans="1:6" ht="15.75" customHeight="1" x14ac:dyDescent="0.25">
      <c r="A216" s="372" t="s">
        <v>700</v>
      </c>
      <c r="B216" s="373"/>
      <c r="C216" s="354">
        <v>168254</v>
      </c>
      <c r="D216" s="374">
        <v>0</v>
      </c>
      <c r="E216" s="374"/>
      <c r="F216" s="354">
        <v>168254</v>
      </c>
    </row>
    <row r="217" spans="1:6" ht="15.75" customHeight="1" x14ac:dyDescent="0.25">
      <c r="A217" s="372" t="s">
        <v>701</v>
      </c>
      <c r="B217" s="373"/>
      <c r="C217" s="354">
        <v>49252</v>
      </c>
      <c r="D217" s="374">
        <v>0</v>
      </c>
      <c r="E217" s="374"/>
      <c r="F217" s="354">
        <v>49252</v>
      </c>
    </row>
    <row r="218" spans="1:6" ht="15.75" customHeight="1" x14ac:dyDescent="0.25">
      <c r="A218" s="372" t="s">
        <v>702</v>
      </c>
      <c r="B218" s="373"/>
      <c r="C218" s="354">
        <v>169420</v>
      </c>
      <c r="D218" s="374">
        <v>0</v>
      </c>
      <c r="E218" s="374"/>
      <c r="F218" s="354">
        <v>169420</v>
      </c>
    </row>
    <row r="219" spans="1:6" ht="15.75" customHeight="1" x14ac:dyDescent="0.25">
      <c r="A219" s="372" t="s">
        <v>837</v>
      </c>
      <c r="B219" s="373"/>
      <c r="C219" s="354">
        <v>8637</v>
      </c>
      <c r="D219" s="374">
        <v>0</v>
      </c>
      <c r="E219" s="374"/>
      <c r="F219" s="354">
        <v>8637</v>
      </c>
    </row>
    <row r="220" spans="1:6" ht="15.75" customHeight="1" x14ac:dyDescent="0.25">
      <c r="A220" s="372" t="s">
        <v>703</v>
      </c>
      <c r="B220" s="373"/>
      <c r="C220" s="354">
        <v>106620</v>
      </c>
      <c r="D220" s="374">
        <v>0</v>
      </c>
      <c r="E220" s="374"/>
      <c r="F220" s="354">
        <v>106620</v>
      </c>
    </row>
    <row r="221" spans="1:6" ht="31.5" customHeight="1" x14ac:dyDescent="0.25">
      <c r="A221" s="372" t="s">
        <v>704</v>
      </c>
      <c r="B221" s="373"/>
      <c r="C221" s="354">
        <v>41863</v>
      </c>
      <c r="D221" s="374">
        <v>0</v>
      </c>
      <c r="E221" s="374"/>
      <c r="F221" s="354">
        <v>41863</v>
      </c>
    </row>
    <row r="222" spans="1:6" ht="15.75" customHeight="1" x14ac:dyDescent="0.25">
      <c r="A222" s="372" t="s">
        <v>839</v>
      </c>
      <c r="B222" s="373"/>
      <c r="C222" s="354">
        <v>12300</v>
      </c>
      <c r="D222" s="374">
        <v>0</v>
      </c>
      <c r="E222" s="374"/>
      <c r="F222" s="354">
        <v>12300</v>
      </c>
    </row>
    <row r="223" spans="1:6" ht="15.75" customHeight="1" x14ac:dyDescent="0.25">
      <c r="A223" s="372" t="s">
        <v>705</v>
      </c>
      <c r="B223" s="373"/>
      <c r="C223" s="354">
        <v>8120</v>
      </c>
      <c r="D223" s="374">
        <v>0</v>
      </c>
      <c r="E223" s="374"/>
      <c r="F223" s="354">
        <v>8120</v>
      </c>
    </row>
    <row r="224" spans="1:6" ht="15.75" customHeight="1" x14ac:dyDescent="0.25">
      <c r="A224" s="372" t="s">
        <v>842</v>
      </c>
      <c r="B224" s="373"/>
      <c r="C224" s="354">
        <v>4820</v>
      </c>
      <c r="D224" s="374">
        <v>0</v>
      </c>
      <c r="E224" s="374"/>
      <c r="F224" s="354">
        <v>4820</v>
      </c>
    </row>
    <row r="225" spans="1:6" ht="15.75" customHeight="1" x14ac:dyDescent="0.25">
      <c r="A225" s="372" t="s">
        <v>706</v>
      </c>
      <c r="B225" s="373"/>
      <c r="C225" s="354">
        <v>3300</v>
      </c>
      <c r="D225" s="374">
        <v>0</v>
      </c>
      <c r="E225" s="374"/>
      <c r="F225" s="354">
        <v>3300</v>
      </c>
    </row>
    <row r="226" spans="1:6" ht="14.25" customHeight="1" x14ac:dyDescent="0.25"/>
    <row r="227" spans="1:6" ht="15.75" customHeight="1" x14ac:dyDescent="0.25">
      <c r="A227" s="382" t="s">
        <v>864</v>
      </c>
      <c r="B227" s="373"/>
      <c r="C227" s="373"/>
      <c r="D227" s="373"/>
      <c r="E227" s="373"/>
      <c r="F227" s="373"/>
    </row>
    <row r="228" spans="1:6" ht="15.75" customHeight="1" x14ac:dyDescent="0.25">
      <c r="A228" s="382" t="s">
        <v>698</v>
      </c>
      <c r="B228" s="383"/>
      <c r="C228" s="353">
        <v>5303</v>
      </c>
      <c r="D228" s="384">
        <v>0</v>
      </c>
      <c r="E228" s="384"/>
      <c r="F228" s="353">
        <v>5303</v>
      </c>
    </row>
    <row r="229" spans="1:6" ht="15.75" customHeight="1" x14ac:dyDescent="0.25">
      <c r="A229" s="372" t="s">
        <v>702</v>
      </c>
      <c r="B229" s="373"/>
      <c r="C229" s="354">
        <v>2868</v>
      </c>
      <c r="D229" s="374">
        <v>0</v>
      </c>
      <c r="E229" s="374"/>
      <c r="F229" s="354">
        <v>2868</v>
      </c>
    </row>
    <row r="230" spans="1:6" ht="15.75" customHeight="1" x14ac:dyDescent="0.25">
      <c r="A230" s="372" t="s">
        <v>837</v>
      </c>
      <c r="B230" s="373"/>
      <c r="C230" s="354">
        <v>393</v>
      </c>
      <c r="D230" s="374">
        <v>0</v>
      </c>
      <c r="E230" s="374"/>
      <c r="F230" s="354">
        <v>393</v>
      </c>
    </row>
    <row r="231" spans="1:6" ht="15.75" customHeight="1" x14ac:dyDescent="0.25">
      <c r="A231" s="372" t="s">
        <v>703</v>
      </c>
      <c r="B231" s="373"/>
      <c r="C231" s="354">
        <v>2475</v>
      </c>
      <c r="D231" s="374">
        <v>0</v>
      </c>
      <c r="E231" s="374"/>
      <c r="F231" s="354">
        <v>2475</v>
      </c>
    </row>
    <row r="232" spans="1:6" ht="15.75" customHeight="1" x14ac:dyDescent="0.25">
      <c r="A232" s="372" t="s">
        <v>705</v>
      </c>
      <c r="B232" s="373"/>
      <c r="C232" s="354">
        <v>2435</v>
      </c>
      <c r="D232" s="374">
        <v>0</v>
      </c>
      <c r="E232" s="374"/>
      <c r="F232" s="354">
        <v>2435</v>
      </c>
    </row>
    <row r="233" spans="1:6" ht="15.75" customHeight="1" x14ac:dyDescent="0.25">
      <c r="A233" s="372" t="s">
        <v>842</v>
      </c>
      <c r="B233" s="373"/>
      <c r="C233" s="354">
        <v>2435</v>
      </c>
      <c r="D233" s="374">
        <v>0</v>
      </c>
      <c r="E233" s="374"/>
      <c r="F233" s="354">
        <v>2435</v>
      </c>
    </row>
    <row r="234" spans="1:6" ht="14.25" customHeight="1" x14ac:dyDescent="0.25"/>
    <row r="235" spans="1:6" ht="15.75" customHeight="1" x14ac:dyDescent="0.25">
      <c r="A235" s="382" t="s">
        <v>865</v>
      </c>
      <c r="B235" s="373"/>
      <c r="C235" s="373"/>
      <c r="D235" s="373"/>
      <c r="E235" s="373"/>
      <c r="F235" s="373"/>
    </row>
    <row r="236" spans="1:6" ht="15.75" customHeight="1" x14ac:dyDescent="0.25">
      <c r="A236" s="382" t="s">
        <v>698</v>
      </c>
      <c r="B236" s="383"/>
      <c r="C236" s="353">
        <v>0</v>
      </c>
      <c r="D236" s="384">
        <v>4748</v>
      </c>
      <c r="E236" s="385"/>
      <c r="F236" s="353">
        <v>4748</v>
      </c>
    </row>
    <row r="237" spans="1:6" ht="15.75" customHeight="1" x14ac:dyDescent="0.25">
      <c r="A237" s="372" t="s">
        <v>705</v>
      </c>
      <c r="B237" s="373"/>
      <c r="C237" s="354">
        <v>0</v>
      </c>
      <c r="D237" s="374">
        <v>4748</v>
      </c>
      <c r="E237" s="375"/>
      <c r="F237" s="354">
        <v>4748</v>
      </c>
    </row>
    <row r="238" spans="1:6" ht="15.75" customHeight="1" x14ac:dyDescent="0.25">
      <c r="A238" s="372" t="s">
        <v>706</v>
      </c>
      <c r="B238" s="373"/>
      <c r="C238" s="354">
        <v>0</v>
      </c>
      <c r="D238" s="374">
        <v>4748</v>
      </c>
      <c r="E238" s="375"/>
      <c r="F238" s="354">
        <v>4748</v>
      </c>
    </row>
    <row r="239" spans="1:6" ht="14.25" customHeight="1" x14ac:dyDescent="0.25"/>
    <row r="240" spans="1:6" ht="15.75" customHeight="1" x14ac:dyDescent="0.25">
      <c r="A240" s="382" t="s">
        <v>866</v>
      </c>
      <c r="B240" s="373"/>
      <c r="C240" s="373"/>
      <c r="D240" s="373"/>
      <c r="E240" s="373"/>
      <c r="F240" s="373"/>
    </row>
    <row r="241" spans="1:6" ht="15.75" customHeight="1" x14ac:dyDescent="0.25">
      <c r="A241" s="382" t="s">
        <v>698</v>
      </c>
      <c r="B241" s="383"/>
      <c r="C241" s="353">
        <v>90078</v>
      </c>
      <c r="D241" s="384">
        <v>0</v>
      </c>
      <c r="E241" s="384"/>
      <c r="F241" s="353">
        <v>90078</v>
      </c>
    </row>
    <row r="242" spans="1:6" ht="15.75" customHeight="1" x14ac:dyDescent="0.25">
      <c r="A242" s="372" t="s">
        <v>702</v>
      </c>
      <c r="B242" s="373"/>
      <c r="C242" s="354">
        <v>44578</v>
      </c>
      <c r="D242" s="374">
        <v>0</v>
      </c>
      <c r="E242" s="374"/>
      <c r="F242" s="354">
        <v>44578</v>
      </c>
    </row>
    <row r="243" spans="1:6" ht="15.75" customHeight="1" x14ac:dyDescent="0.25">
      <c r="A243" s="372" t="s">
        <v>703</v>
      </c>
      <c r="B243" s="373"/>
      <c r="C243" s="354">
        <v>37528</v>
      </c>
      <c r="D243" s="374">
        <v>0</v>
      </c>
      <c r="E243" s="374"/>
      <c r="F243" s="354">
        <v>37528</v>
      </c>
    </row>
    <row r="244" spans="1:6" ht="15.75" customHeight="1" x14ac:dyDescent="0.25">
      <c r="A244" s="372" t="s">
        <v>839</v>
      </c>
      <c r="B244" s="373"/>
      <c r="C244" s="354">
        <v>7050</v>
      </c>
      <c r="D244" s="374">
        <v>0</v>
      </c>
      <c r="E244" s="374"/>
      <c r="F244" s="354">
        <v>7050</v>
      </c>
    </row>
    <row r="245" spans="1:6" ht="15.75" customHeight="1" x14ac:dyDescent="0.25">
      <c r="A245" s="372" t="s">
        <v>705</v>
      </c>
      <c r="B245" s="373"/>
      <c r="C245" s="354">
        <v>45500</v>
      </c>
      <c r="D245" s="374">
        <v>0</v>
      </c>
      <c r="E245" s="374"/>
      <c r="F245" s="354">
        <v>45500</v>
      </c>
    </row>
    <row r="246" spans="1:6" ht="15.75" customHeight="1" x14ac:dyDescent="0.25">
      <c r="A246" s="372" t="s">
        <v>706</v>
      </c>
      <c r="B246" s="373"/>
      <c r="C246" s="354">
        <v>45500</v>
      </c>
      <c r="D246" s="374">
        <v>0</v>
      </c>
      <c r="E246" s="374"/>
      <c r="F246" s="354">
        <v>45500</v>
      </c>
    </row>
    <row r="247" spans="1:6" ht="14.25" customHeight="1" x14ac:dyDescent="0.25"/>
    <row r="248" spans="1:6" ht="31.5" customHeight="1" x14ac:dyDescent="0.25">
      <c r="A248" s="382" t="s">
        <v>867</v>
      </c>
      <c r="B248" s="373"/>
      <c r="C248" s="373"/>
      <c r="D248" s="373"/>
      <c r="E248" s="373"/>
      <c r="F248" s="373"/>
    </row>
    <row r="249" spans="1:6" ht="15.75" customHeight="1" x14ac:dyDescent="0.25">
      <c r="A249" s="382" t="s">
        <v>698</v>
      </c>
      <c r="B249" s="383"/>
      <c r="C249" s="353">
        <v>62280</v>
      </c>
      <c r="D249" s="384">
        <v>0</v>
      </c>
      <c r="E249" s="384"/>
      <c r="F249" s="353">
        <v>62280</v>
      </c>
    </row>
    <row r="250" spans="1:6" ht="15.75" customHeight="1" x14ac:dyDescent="0.25">
      <c r="A250" s="372" t="s">
        <v>710</v>
      </c>
      <c r="B250" s="373"/>
      <c r="C250" s="354">
        <v>62280</v>
      </c>
      <c r="D250" s="374">
        <v>0</v>
      </c>
      <c r="E250" s="374"/>
      <c r="F250" s="354">
        <v>62280</v>
      </c>
    </row>
    <row r="251" spans="1:6" ht="31.5" customHeight="1" x14ac:dyDescent="0.25">
      <c r="A251" s="372" t="s">
        <v>711</v>
      </c>
      <c r="B251" s="373"/>
      <c r="C251" s="354">
        <v>62280</v>
      </c>
      <c r="D251" s="374">
        <v>0</v>
      </c>
      <c r="E251" s="374"/>
      <c r="F251" s="354">
        <v>62280</v>
      </c>
    </row>
    <row r="252" spans="1:6" ht="14.25" customHeight="1" x14ac:dyDescent="0.25"/>
    <row r="253" spans="1:6" ht="15.75" customHeight="1" x14ac:dyDescent="0.25">
      <c r="A253" s="382" t="s">
        <v>868</v>
      </c>
      <c r="B253" s="373"/>
      <c r="C253" s="373"/>
      <c r="D253" s="373"/>
      <c r="E253" s="373"/>
      <c r="F253" s="373"/>
    </row>
    <row r="254" spans="1:6" ht="15.75" customHeight="1" x14ac:dyDescent="0.25">
      <c r="A254" s="382" t="s">
        <v>698</v>
      </c>
      <c r="B254" s="383"/>
      <c r="C254" s="353">
        <v>2500</v>
      </c>
      <c r="D254" s="384">
        <v>0</v>
      </c>
      <c r="E254" s="384"/>
      <c r="F254" s="353">
        <v>2500</v>
      </c>
    </row>
    <row r="255" spans="1:6" ht="31.5" customHeight="1" x14ac:dyDescent="0.25">
      <c r="A255" s="372" t="s">
        <v>843</v>
      </c>
      <c r="B255" s="373"/>
      <c r="C255" s="354">
        <v>2500</v>
      </c>
      <c r="D255" s="374">
        <v>0</v>
      </c>
      <c r="E255" s="374"/>
      <c r="F255" s="354">
        <v>2500</v>
      </c>
    </row>
    <row r="256" spans="1:6" ht="15.75" customHeight="1" x14ac:dyDescent="0.25">
      <c r="A256" s="372" t="s">
        <v>844</v>
      </c>
      <c r="B256" s="373"/>
      <c r="C256" s="354">
        <v>2500</v>
      </c>
      <c r="D256" s="374">
        <v>0</v>
      </c>
      <c r="E256" s="374"/>
      <c r="F256" s="354">
        <v>2500</v>
      </c>
    </row>
    <row r="257" spans="1:6" ht="14.25" customHeight="1" x14ac:dyDescent="0.25"/>
    <row r="258" spans="1:6" ht="15.75" customHeight="1" x14ac:dyDescent="0.25">
      <c r="A258" s="382" t="s">
        <v>714</v>
      </c>
      <c r="B258" s="373"/>
      <c r="C258" s="373"/>
      <c r="D258" s="373"/>
      <c r="E258" s="373"/>
      <c r="F258" s="373"/>
    </row>
    <row r="259" spans="1:6" ht="15.75" customHeight="1" x14ac:dyDescent="0.25">
      <c r="A259" s="382" t="s">
        <v>698</v>
      </c>
      <c r="B259" s="383"/>
      <c r="C259" s="353">
        <v>1844171</v>
      </c>
      <c r="D259" s="384">
        <v>22468</v>
      </c>
      <c r="E259" s="385"/>
      <c r="F259" s="353">
        <v>1866639</v>
      </c>
    </row>
    <row r="260" spans="1:6" ht="15.75" customHeight="1" x14ac:dyDescent="0.25">
      <c r="A260" s="372" t="s">
        <v>702</v>
      </c>
      <c r="B260" s="373"/>
      <c r="C260" s="354">
        <v>1408995</v>
      </c>
      <c r="D260" s="374">
        <v>3000</v>
      </c>
      <c r="E260" s="375"/>
      <c r="F260" s="354">
        <v>1411995</v>
      </c>
    </row>
    <row r="261" spans="1:6" ht="15.75" customHeight="1" x14ac:dyDescent="0.25">
      <c r="A261" s="372" t="s">
        <v>837</v>
      </c>
      <c r="B261" s="373"/>
      <c r="C261" s="354">
        <v>6610</v>
      </c>
      <c r="D261" s="374">
        <v>3000</v>
      </c>
      <c r="E261" s="375"/>
      <c r="F261" s="354">
        <v>9610</v>
      </c>
    </row>
    <row r="262" spans="1:6" ht="15.75" customHeight="1" x14ac:dyDescent="0.25">
      <c r="A262" s="372" t="s">
        <v>703</v>
      </c>
      <c r="B262" s="373"/>
      <c r="C262" s="354">
        <v>1400010</v>
      </c>
      <c r="D262" s="374">
        <v>-371</v>
      </c>
      <c r="E262" s="375"/>
      <c r="F262" s="354">
        <v>1399639</v>
      </c>
    </row>
    <row r="263" spans="1:6" ht="31.5" customHeight="1" x14ac:dyDescent="0.25">
      <c r="A263" s="372" t="s">
        <v>704</v>
      </c>
      <c r="B263" s="373"/>
      <c r="C263" s="354">
        <v>2375</v>
      </c>
      <c r="D263" s="374">
        <v>371</v>
      </c>
      <c r="E263" s="375"/>
      <c r="F263" s="354">
        <v>2746</v>
      </c>
    </row>
    <row r="264" spans="1:6" ht="15.75" customHeight="1" x14ac:dyDescent="0.25">
      <c r="A264" s="372" t="s">
        <v>710</v>
      </c>
      <c r="B264" s="373"/>
      <c r="C264" s="354">
        <v>363375</v>
      </c>
      <c r="D264" s="374">
        <v>-10000</v>
      </c>
      <c r="E264" s="374"/>
      <c r="F264" s="354">
        <v>353375</v>
      </c>
    </row>
    <row r="265" spans="1:6" ht="31.5" customHeight="1" x14ac:dyDescent="0.25">
      <c r="A265" s="372" t="s">
        <v>711</v>
      </c>
      <c r="B265" s="373"/>
      <c r="C265" s="354">
        <v>363375</v>
      </c>
      <c r="D265" s="374">
        <v>-10000</v>
      </c>
      <c r="E265" s="374"/>
      <c r="F265" s="354">
        <v>353375</v>
      </c>
    </row>
    <row r="266" spans="1:6" ht="15.75" customHeight="1" x14ac:dyDescent="0.25">
      <c r="A266" s="372" t="s">
        <v>705</v>
      </c>
      <c r="B266" s="373"/>
      <c r="C266" s="354">
        <v>71801</v>
      </c>
      <c r="D266" s="374">
        <v>29468</v>
      </c>
      <c r="E266" s="375"/>
      <c r="F266" s="354">
        <v>101269</v>
      </c>
    </row>
    <row r="267" spans="1:6" ht="15.75" customHeight="1" x14ac:dyDescent="0.25">
      <c r="A267" s="372" t="s">
        <v>706</v>
      </c>
      <c r="B267" s="373"/>
      <c r="C267" s="354">
        <v>71801</v>
      </c>
      <c r="D267" s="374">
        <v>29468</v>
      </c>
      <c r="E267" s="375"/>
      <c r="F267" s="354">
        <v>101269</v>
      </c>
    </row>
    <row r="268" spans="1:6" ht="14.25" customHeight="1" x14ac:dyDescent="0.25"/>
    <row r="269" spans="1:6" ht="15.75" customHeight="1" x14ac:dyDescent="0.25">
      <c r="A269" s="382" t="s">
        <v>869</v>
      </c>
      <c r="B269" s="373"/>
      <c r="C269" s="373"/>
      <c r="D269" s="373"/>
      <c r="E269" s="373"/>
      <c r="F269" s="373"/>
    </row>
    <row r="270" spans="1:6" ht="15.75" customHeight="1" x14ac:dyDescent="0.25">
      <c r="A270" s="382" t="s">
        <v>698</v>
      </c>
      <c r="B270" s="383"/>
      <c r="C270" s="353">
        <v>933567</v>
      </c>
      <c r="D270" s="384">
        <v>0</v>
      </c>
      <c r="E270" s="384"/>
      <c r="F270" s="353">
        <v>933567</v>
      </c>
    </row>
    <row r="271" spans="1:6" ht="15.75" customHeight="1" x14ac:dyDescent="0.25">
      <c r="A271" s="372" t="s">
        <v>702</v>
      </c>
      <c r="B271" s="373"/>
      <c r="C271" s="354">
        <v>933567</v>
      </c>
      <c r="D271" s="374">
        <v>0</v>
      </c>
      <c r="E271" s="374"/>
      <c r="F271" s="354">
        <v>933567</v>
      </c>
    </row>
    <row r="272" spans="1:6" ht="15.75" customHeight="1" x14ac:dyDescent="0.25">
      <c r="A272" s="372" t="s">
        <v>703</v>
      </c>
      <c r="B272" s="373"/>
      <c r="C272" s="354">
        <v>932567</v>
      </c>
      <c r="D272" s="374">
        <v>-371</v>
      </c>
      <c r="E272" s="375"/>
      <c r="F272" s="354">
        <v>932196</v>
      </c>
    </row>
    <row r="273" spans="1:6" ht="31.5" customHeight="1" x14ac:dyDescent="0.25">
      <c r="A273" s="372" t="s">
        <v>704</v>
      </c>
      <c r="B273" s="373"/>
      <c r="C273" s="354">
        <v>1000</v>
      </c>
      <c r="D273" s="374">
        <v>371</v>
      </c>
      <c r="E273" s="375"/>
      <c r="F273" s="354">
        <v>1371</v>
      </c>
    </row>
    <row r="274" spans="1:6" ht="14.25" customHeight="1" x14ac:dyDescent="0.25"/>
    <row r="275" spans="1:6" ht="15.75" customHeight="1" x14ac:dyDescent="0.25">
      <c r="A275" s="382" t="s">
        <v>870</v>
      </c>
      <c r="B275" s="373"/>
      <c r="C275" s="373"/>
      <c r="D275" s="373"/>
      <c r="E275" s="373"/>
      <c r="F275" s="373"/>
    </row>
    <row r="276" spans="1:6" ht="15.75" customHeight="1" x14ac:dyDescent="0.25">
      <c r="A276" s="382" t="s">
        <v>698</v>
      </c>
      <c r="B276" s="383"/>
      <c r="C276" s="353">
        <v>363375</v>
      </c>
      <c r="D276" s="384">
        <v>-10000</v>
      </c>
      <c r="E276" s="384"/>
      <c r="F276" s="353">
        <v>353375</v>
      </c>
    </row>
    <row r="277" spans="1:6" ht="15.75" customHeight="1" x14ac:dyDescent="0.25">
      <c r="A277" s="372" t="s">
        <v>710</v>
      </c>
      <c r="B277" s="373"/>
      <c r="C277" s="354">
        <v>363375</v>
      </c>
      <c r="D277" s="374">
        <v>-10000</v>
      </c>
      <c r="E277" s="374"/>
      <c r="F277" s="354">
        <v>353375</v>
      </c>
    </row>
    <row r="278" spans="1:6" ht="31.5" customHeight="1" x14ac:dyDescent="0.25">
      <c r="A278" s="372" t="s">
        <v>711</v>
      </c>
      <c r="B278" s="373"/>
      <c r="C278" s="354">
        <v>363375</v>
      </c>
      <c r="D278" s="374">
        <v>-10000</v>
      </c>
      <c r="E278" s="374"/>
      <c r="F278" s="354">
        <v>353375</v>
      </c>
    </row>
    <row r="279" spans="1:6" ht="14.25" customHeight="1" x14ac:dyDescent="0.25"/>
    <row r="280" spans="1:6" ht="15.75" customHeight="1" x14ac:dyDescent="0.25">
      <c r="A280" s="382" t="s">
        <v>715</v>
      </c>
      <c r="B280" s="373"/>
      <c r="C280" s="373"/>
      <c r="D280" s="373"/>
      <c r="E280" s="373"/>
      <c r="F280" s="373"/>
    </row>
    <row r="281" spans="1:6" ht="15.75" customHeight="1" x14ac:dyDescent="0.25">
      <c r="A281" s="382" t="s">
        <v>698</v>
      </c>
      <c r="B281" s="383"/>
      <c r="C281" s="353">
        <v>520500</v>
      </c>
      <c r="D281" s="384">
        <v>0</v>
      </c>
      <c r="E281" s="384"/>
      <c r="F281" s="353">
        <v>520500</v>
      </c>
    </row>
    <row r="282" spans="1:6" ht="15.75" customHeight="1" x14ac:dyDescent="0.25">
      <c r="A282" s="372" t="s">
        <v>702</v>
      </c>
      <c r="B282" s="373"/>
      <c r="C282" s="354">
        <v>465324</v>
      </c>
      <c r="D282" s="374">
        <v>0</v>
      </c>
      <c r="E282" s="374"/>
      <c r="F282" s="354">
        <v>465324</v>
      </c>
    </row>
    <row r="283" spans="1:6" ht="15.75" customHeight="1" x14ac:dyDescent="0.25">
      <c r="A283" s="372" t="s">
        <v>703</v>
      </c>
      <c r="B283" s="373"/>
      <c r="C283" s="354">
        <v>464824</v>
      </c>
      <c r="D283" s="374">
        <v>0</v>
      </c>
      <c r="E283" s="374"/>
      <c r="F283" s="354">
        <v>464824</v>
      </c>
    </row>
    <row r="284" spans="1:6" ht="31.5" customHeight="1" x14ac:dyDescent="0.25">
      <c r="A284" s="372" t="s">
        <v>704</v>
      </c>
      <c r="B284" s="373"/>
      <c r="C284" s="354">
        <v>500</v>
      </c>
      <c r="D284" s="374">
        <v>0</v>
      </c>
      <c r="E284" s="374"/>
      <c r="F284" s="354">
        <v>500</v>
      </c>
    </row>
    <row r="285" spans="1:6" ht="15.75" customHeight="1" x14ac:dyDescent="0.25">
      <c r="A285" s="372" t="s">
        <v>705</v>
      </c>
      <c r="B285" s="373"/>
      <c r="C285" s="354">
        <v>55176</v>
      </c>
      <c r="D285" s="374">
        <v>0</v>
      </c>
      <c r="E285" s="374"/>
      <c r="F285" s="354">
        <v>55176</v>
      </c>
    </row>
    <row r="286" spans="1:6" ht="15.75" customHeight="1" x14ac:dyDescent="0.25">
      <c r="A286" s="372" t="s">
        <v>706</v>
      </c>
      <c r="B286" s="373"/>
      <c r="C286" s="354">
        <v>55176</v>
      </c>
      <c r="D286" s="374">
        <v>0</v>
      </c>
      <c r="E286" s="374"/>
      <c r="F286" s="354">
        <v>55176</v>
      </c>
    </row>
    <row r="287" spans="1:6" ht="14.25" customHeight="1" x14ac:dyDescent="0.25"/>
    <row r="288" spans="1:6" ht="15.75" customHeight="1" x14ac:dyDescent="0.25">
      <c r="A288" s="382" t="s">
        <v>871</v>
      </c>
      <c r="B288" s="373"/>
      <c r="C288" s="373"/>
      <c r="D288" s="373"/>
      <c r="E288" s="373"/>
      <c r="F288" s="373"/>
    </row>
    <row r="289" spans="1:6" ht="15.75" customHeight="1" x14ac:dyDescent="0.25">
      <c r="A289" s="382" t="s">
        <v>698</v>
      </c>
      <c r="B289" s="383"/>
      <c r="C289" s="353">
        <v>13028</v>
      </c>
      <c r="D289" s="384">
        <v>32468</v>
      </c>
      <c r="E289" s="385"/>
      <c r="F289" s="353">
        <v>45496</v>
      </c>
    </row>
    <row r="290" spans="1:6" ht="15.75" customHeight="1" x14ac:dyDescent="0.25">
      <c r="A290" s="372" t="s">
        <v>702</v>
      </c>
      <c r="B290" s="373"/>
      <c r="C290" s="354">
        <v>9119</v>
      </c>
      <c r="D290" s="374">
        <v>3000</v>
      </c>
      <c r="E290" s="375"/>
      <c r="F290" s="354">
        <v>12119</v>
      </c>
    </row>
    <row r="291" spans="1:6" ht="15.75" customHeight="1" x14ac:dyDescent="0.25">
      <c r="A291" s="372" t="s">
        <v>837</v>
      </c>
      <c r="B291" s="373"/>
      <c r="C291" s="354">
        <v>6500</v>
      </c>
      <c r="D291" s="374">
        <v>3000</v>
      </c>
      <c r="E291" s="375"/>
      <c r="F291" s="354">
        <v>9500</v>
      </c>
    </row>
    <row r="292" spans="1:6" ht="15.75" customHeight="1" x14ac:dyDescent="0.25">
      <c r="A292" s="372" t="s">
        <v>703</v>
      </c>
      <c r="B292" s="373"/>
      <c r="C292" s="354">
        <v>2619</v>
      </c>
      <c r="D292" s="374">
        <v>0</v>
      </c>
      <c r="E292" s="374"/>
      <c r="F292" s="354">
        <v>2619</v>
      </c>
    </row>
    <row r="293" spans="1:6" ht="15.75" customHeight="1" x14ac:dyDescent="0.25">
      <c r="A293" s="372" t="s">
        <v>705</v>
      </c>
      <c r="B293" s="373"/>
      <c r="C293" s="354">
        <v>3909</v>
      </c>
      <c r="D293" s="374">
        <v>29468</v>
      </c>
      <c r="E293" s="375"/>
      <c r="F293" s="354">
        <v>33377</v>
      </c>
    </row>
    <row r="294" spans="1:6" ht="15.75" customHeight="1" x14ac:dyDescent="0.25">
      <c r="A294" s="372" t="s">
        <v>706</v>
      </c>
      <c r="B294" s="373"/>
      <c r="C294" s="354">
        <v>3909</v>
      </c>
      <c r="D294" s="374">
        <v>29468</v>
      </c>
      <c r="E294" s="375"/>
      <c r="F294" s="354">
        <v>33377</v>
      </c>
    </row>
    <row r="295" spans="1:6" ht="14.25" customHeight="1" x14ac:dyDescent="0.25"/>
    <row r="296" spans="1:6" ht="31.5" customHeight="1" x14ac:dyDescent="0.25">
      <c r="A296" s="382" t="s">
        <v>872</v>
      </c>
      <c r="B296" s="373"/>
      <c r="C296" s="373"/>
      <c r="D296" s="373"/>
      <c r="E296" s="373"/>
      <c r="F296" s="373"/>
    </row>
    <row r="297" spans="1:6" ht="15.75" customHeight="1" x14ac:dyDescent="0.25">
      <c r="A297" s="382" t="s">
        <v>698</v>
      </c>
      <c r="B297" s="383"/>
      <c r="C297" s="353">
        <v>13701</v>
      </c>
      <c r="D297" s="384">
        <v>0</v>
      </c>
      <c r="E297" s="384"/>
      <c r="F297" s="353">
        <v>13701</v>
      </c>
    </row>
    <row r="298" spans="1:6" ht="15.75" customHeight="1" x14ac:dyDescent="0.25">
      <c r="A298" s="372" t="s">
        <v>702</v>
      </c>
      <c r="B298" s="373"/>
      <c r="C298" s="354">
        <v>985</v>
      </c>
      <c r="D298" s="374">
        <v>0</v>
      </c>
      <c r="E298" s="374"/>
      <c r="F298" s="354">
        <v>985</v>
      </c>
    </row>
    <row r="299" spans="1:6" ht="15.75" customHeight="1" x14ac:dyDescent="0.25">
      <c r="A299" s="372" t="s">
        <v>837</v>
      </c>
      <c r="B299" s="373"/>
      <c r="C299" s="354">
        <v>110</v>
      </c>
      <c r="D299" s="374">
        <v>0</v>
      </c>
      <c r="E299" s="374"/>
      <c r="F299" s="354">
        <v>110</v>
      </c>
    </row>
    <row r="300" spans="1:6" ht="31.5" customHeight="1" x14ac:dyDescent="0.25">
      <c r="A300" s="372" t="s">
        <v>704</v>
      </c>
      <c r="B300" s="373"/>
      <c r="C300" s="354">
        <v>875</v>
      </c>
      <c r="D300" s="374">
        <v>0</v>
      </c>
      <c r="E300" s="374"/>
      <c r="F300" s="354">
        <v>875</v>
      </c>
    </row>
    <row r="301" spans="1:6" ht="15.75" customHeight="1" x14ac:dyDescent="0.25">
      <c r="A301" s="372" t="s">
        <v>705</v>
      </c>
      <c r="B301" s="373"/>
      <c r="C301" s="354">
        <v>12716</v>
      </c>
      <c r="D301" s="374">
        <v>0</v>
      </c>
      <c r="E301" s="374"/>
      <c r="F301" s="354">
        <v>12716</v>
      </c>
    </row>
    <row r="302" spans="1:6" ht="15.75" customHeight="1" x14ac:dyDescent="0.25">
      <c r="A302" s="372" t="s">
        <v>706</v>
      </c>
      <c r="B302" s="373"/>
      <c r="C302" s="354">
        <v>12716</v>
      </c>
      <c r="D302" s="374">
        <v>0</v>
      </c>
      <c r="E302" s="374"/>
      <c r="F302" s="354">
        <v>12716</v>
      </c>
    </row>
    <row r="303" spans="1:6" ht="14.25" customHeight="1" x14ac:dyDescent="0.25"/>
    <row r="304" spans="1:6" ht="15.75" customHeight="1" x14ac:dyDescent="0.25">
      <c r="A304" s="382" t="s">
        <v>716</v>
      </c>
      <c r="B304" s="373"/>
      <c r="C304" s="373"/>
      <c r="D304" s="373"/>
      <c r="E304" s="373"/>
      <c r="F304" s="373"/>
    </row>
    <row r="305" spans="1:6" ht="15.75" customHeight="1" x14ac:dyDescent="0.25">
      <c r="A305" s="382" t="s">
        <v>698</v>
      </c>
      <c r="B305" s="383"/>
      <c r="C305" s="353">
        <v>5483988</v>
      </c>
      <c r="D305" s="384">
        <v>-171698</v>
      </c>
      <c r="E305" s="385"/>
      <c r="F305" s="353">
        <v>5312290</v>
      </c>
    </row>
    <row r="306" spans="1:6" ht="15.75" customHeight="1" x14ac:dyDescent="0.25">
      <c r="A306" s="372" t="s">
        <v>699</v>
      </c>
      <c r="B306" s="373"/>
      <c r="C306" s="354">
        <v>712334</v>
      </c>
      <c r="D306" s="374">
        <v>0</v>
      </c>
      <c r="E306" s="374"/>
      <c r="F306" s="354">
        <v>712334</v>
      </c>
    </row>
    <row r="307" spans="1:6" ht="15.75" customHeight="1" x14ac:dyDescent="0.25">
      <c r="A307" s="372" t="s">
        <v>700</v>
      </c>
      <c r="B307" s="373"/>
      <c r="C307" s="354">
        <v>544177</v>
      </c>
      <c r="D307" s="374">
        <v>-1500</v>
      </c>
      <c r="E307" s="375"/>
      <c r="F307" s="354">
        <v>542677</v>
      </c>
    </row>
    <row r="308" spans="1:6" ht="15.75" customHeight="1" x14ac:dyDescent="0.25">
      <c r="A308" s="372" t="s">
        <v>701</v>
      </c>
      <c r="B308" s="373"/>
      <c r="C308" s="354">
        <v>168157</v>
      </c>
      <c r="D308" s="374">
        <v>1500</v>
      </c>
      <c r="E308" s="375"/>
      <c r="F308" s="354">
        <v>169657</v>
      </c>
    </row>
    <row r="309" spans="1:6" ht="15.75" customHeight="1" x14ac:dyDescent="0.25">
      <c r="A309" s="372" t="s">
        <v>702</v>
      </c>
      <c r="B309" s="373"/>
      <c r="C309" s="354">
        <v>1921218</v>
      </c>
      <c r="D309" s="374">
        <v>-1108</v>
      </c>
      <c r="E309" s="375"/>
      <c r="F309" s="354">
        <v>1920110</v>
      </c>
    </row>
    <row r="310" spans="1:6" ht="15.75" customHeight="1" x14ac:dyDescent="0.25">
      <c r="A310" s="372" t="s">
        <v>837</v>
      </c>
      <c r="B310" s="373"/>
      <c r="C310" s="354">
        <v>2970</v>
      </c>
      <c r="D310" s="374">
        <v>0</v>
      </c>
      <c r="E310" s="374"/>
      <c r="F310" s="354">
        <v>2970</v>
      </c>
    </row>
    <row r="311" spans="1:6" ht="15.75" customHeight="1" x14ac:dyDescent="0.25">
      <c r="A311" s="372" t="s">
        <v>703</v>
      </c>
      <c r="B311" s="373"/>
      <c r="C311" s="354">
        <v>1782130</v>
      </c>
      <c r="D311" s="374">
        <v>192</v>
      </c>
      <c r="E311" s="375"/>
      <c r="F311" s="354">
        <v>1782322</v>
      </c>
    </row>
    <row r="312" spans="1:6" ht="31.5" customHeight="1" x14ac:dyDescent="0.25">
      <c r="A312" s="372" t="s">
        <v>704</v>
      </c>
      <c r="B312" s="373"/>
      <c r="C312" s="354">
        <v>121918</v>
      </c>
      <c r="D312" s="374">
        <v>-1300</v>
      </c>
      <c r="E312" s="375"/>
      <c r="F312" s="354">
        <v>120618</v>
      </c>
    </row>
    <row r="313" spans="1:6" ht="15.75" customHeight="1" x14ac:dyDescent="0.25">
      <c r="A313" s="372" t="s">
        <v>839</v>
      </c>
      <c r="B313" s="373"/>
      <c r="C313" s="354">
        <v>14200</v>
      </c>
      <c r="D313" s="374">
        <v>0</v>
      </c>
      <c r="E313" s="374"/>
      <c r="F313" s="354">
        <v>14200</v>
      </c>
    </row>
    <row r="314" spans="1:6" ht="15.75" customHeight="1" x14ac:dyDescent="0.25">
      <c r="A314" s="372" t="s">
        <v>710</v>
      </c>
      <c r="B314" s="373"/>
      <c r="C314" s="354">
        <v>333707</v>
      </c>
      <c r="D314" s="374">
        <v>0</v>
      </c>
      <c r="E314" s="374"/>
      <c r="F314" s="354">
        <v>333707</v>
      </c>
    </row>
    <row r="315" spans="1:6" ht="31.5" customHeight="1" x14ac:dyDescent="0.25">
      <c r="A315" s="372" t="s">
        <v>711</v>
      </c>
      <c r="B315" s="373"/>
      <c r="C315" s="354">
        <v>333707</v>
      </c>
      <c r="D315" s="374">
        <v>0</v>
      </c>
      <c r="E315" s="374"/>
      <c r="F315" s="354">
        <v>333707</v>
      </c>
    </row>
    <row r="316" spans="1:6" ht="15.75" customHeight="1" x14ac:dyDescent="0.25">
      <c r="A316" s="372" t="s">
        <v>705</v>
      </c>
      <c r="B316" s="373"/>
      <c r="C316" s="354">
        <v>2516729</v>
      </c>
      <c r="D316" s="374">
        <v>-170590</v>
      </c>
      <c r="E316" s="375"/>
      <c r="F316" s="354">
        <v>2346139</v>
      </c>
    </row>
    <row r="317" spans="1:6" ht="15.75" customHeight="1" x14ac:dyDescent="0.25">
      <c r="A317" s="372" t="s">
        <v>842</v>
      </c>
      <c r="B317" s="373"/>
      <c r="C317" s="354">
        <v>1948</v>
      </c>
      <c r="D317" s="374">
        <v>7020</v>
      </c>
      <c r="E317" s="375"/>
      <c r="F317" s="354">
        <v>8968</v>
      </c>
    </row>
    <row r="318" spans="1:6" ht="15.75" customHeight="1" x14ac:dyDescent="0.25">
      <c r="A318" s="372" t="s">
        <v>706</v>
      </c>
      <c r="B318" s="373"/>
      <c r="C318" s="354">
        <v>2514781</v>
      </c>
      <c r="D318" s="374">
        <v>-177610</v>
      </c>
      <c r="E318" s="375"/>
      <c r="F318" s="354">
        <v>2337171</v>
      </c>
    </row>
    <row r="319" spans="1:6" ht="14.25" customHeight="1" x14ac:dyDescent="0.25"/>
    <row r="320" spans="1:6" ht="15.75" customHeight="1" x14ac:dyDescent="0.25">
      <c r="A320" s="382" t="s">
        <v>873</v>
      </c>
      <c r="B320" s="373"/>
      <c r="C320" s="373"/>
      <c r="D320" s="373"/>
      <c r="E320" s="373"/>
      <c r="F320" s="373"/>
    </row>
    <row r="321" spans="1:6" ht="15.75" customHeight="1" x14ac:dyDescent="0.25">
      <c r="A321" s="382" t="s">
        <v>698</v>
      </c>
      <c r="B321" s="383"/>
      <c r="C321" s="353">
        <v>2018416</v>
      </c>
      <c r="D321" s="384">
        <v>-177610</v>
      </c>
      <c r="E321" s="385"/>
      <c r="F321" s="353">
        <v>1840806</v>
      </c>
    </row>
    <row r="322" spans="1:6" ht="15.75" customHeight="1" x14ac:dyDescent="0.25">
      <c r="A322" s="372" t="s">
        <v>702</v>
      </c>
      <c r="B322" s="373"/>
      <c r="C322" s="354">
        <v>15000</v>
      </c>
      <c r="D322" s="374">
        <v>0</v>
      </c>
      <c r="E322" s="374"/>
      <c r="F322" s="354">
        <v>15000</v>
      </c>
    </row>
    <row r="323" spans="1:6" ht="15.75" customHeight="1" x14ac:dyDescent="0.25">
      <c r="A323" s="372" t="s">
        <v>703</v>
      </c>
      <c r="B323" s="373"/>
      <c r="C323" s="354">
        <v>15000</v>
      </c>
      <c r="D323" s="374">
        <v>0</v>
      </c>
      <c r="E323" s="374"/>
      <c r="F323" s="354">
        <v>15000</v>
      </c>
    </row>
    <row r="324" spans="1:6" ht="15.75" customHeight="1" x14ac:dyDescent="0.25">
      <c r="A324" s="372" t="s">
        <v>705</v>
      </c>
      <c r="B324" s="373"/>
      <c r="C324" s="354">
        <v>2003416</v>
      </c>
      <c r="D324" s="374">
        <v>-177610</v>
      </c>
      <c r="E324" s="375"/>
      <c r="F324" s="354">
        <v>1825806</v>
      </c>
    </row>
    <row r="325" spans="1:6" ht="15.75" customHeight="1" x14ac:dyDescent="0.25">
      <c r="A325" s="372" t="s">
        <v>706</v>
      </c>
      <c r="B325" s="373"/>
      <c r="C325" s="354">
        <v>2003416</v>
      </c>
      <c r="D325" s="374">
        <v>-177610</v>
      </c>
      <c r="E325" s="375"/>
      <c r="F325" s="354">
        <v>1825806</v>
      </c>
    </row>
    <row r="326" spans="1:6" ht="14.25" customHeight="1" x14ac:dyDescent="0.25"/>
    <row r="327" spans="1:6" ht="15.75" customHeight="1" x14ac:dyDescent="0.25">
      <c r="A327" s="382" t="s">
        <v>874</v>
      </c>
      <c r="B327" s="373"/>
      <c r="C327" s="373"/>
      <c r="D327" s="373"/>
      <c r="E327" s="373"/>
      <c r="F327" s="373"/>
    </row>
    <row r="328" spans="1:6" ht="15.75" customHeight="1" x14ac:dyDescent="0.25">
      <c r="A328" s="382" t="s">
        <v>698</v>
      </c>
      <c r="B328" s="383"/>
      <c r="C328" s="353">
        <v>579000</v>
      </c>
      <c r="D328" s="384">
        <v>5912</v>
      </c>
      <c r="E328" s="385"/>
      <c r="F328" s="353">
        <v>584912</v>
      </c>
    </row>
    <row r="329" spans="1:6" ht="15.75" customHeight="1" x14ac:dyDescent="0.25">
      <c r="A329" s="372" t="s">
        <v>702</v>
      </c>
      <c r="B329" s="373"/>
      <c r="C329" s="354">
        <v>517500</v>
      </c>
      <c r="D329" s="374">
        <v>5912</v>
      </c>
      <c r="E329" s="375"/>
      <c r="F329" s="354">
        <v>523412</v>
      </c>
    </row>
    <row r="330" spans="1:6" ht="15.75" customHeight="1" x14ac:dyDescent="0.25">
      <c r="A330" s="372" t="s">
        <v>703</v>
      </c>
      <c r="B330" s="373"/>
      <c r="C330" s="354">
        <v>517500</v>
      </c>
      <c r="D330" s="374">
        <v>5912</v>
      </c>
      <c r="E330" s="375"/>
      <c r="F330" s="354">
        <v>523412</v>
      </c>
    </row>
    <row r="331" spans="1:6" ht="15.75" customHeight="1" x14ac:dyDescent="0.25">
      <c r="A331" s="372" t="s">
        <v>705</v>
      </c>
      <c r="B331" s="373"/>
      <c r="C331" s="354">
        <v>61500</v>
      </c>
      <c r="D331" s="374">
        <v>0</v>
      </c>
      <c r="E331" s="374"/>
      <c r="F331" s="354">
        <v>61500</v>
      </c>
    </row>
    <row r="332" spans="1:6" ht="15.75" customHeight="1" x14ac:dyDescent="0.25">
      <c r="A332" s="372" t="s">
        <v>706</v>
      </c>
      <c r="B332" s="373"/>
      <c r="C332" s="354">
        <v>61500</v>
      </c>
      <c r="D332" s="374">
        <v>0</v>
      </c>
      <c r="E332" s="374"/>
      <c r="F332" s="354">
        <v>61500</v>
      </c>
    </row>
    <row r="333" spans="1:6" ht="14.25" customHeight="1" x14ac:dyDescent="0.25"/>
    <row r="334" spans="1:6" ht="15.75" customHeight="1" x14ac:dyDescent="0.25">
      <c r="A334" s="382" t="s">
        <v>875</v>
      </c>
      <c r="B334" s="373"/>
      <c r="C334" s="373"/>
      <c r="D334" s="373"/>
      <c r="E334" s="373"/>
      <c r="F334" s="373"/>
    </row>
    <row r="335" spans="1:6" ht="15.75" customHeight="1" x14ac:dyDescent="0.25">
      <c r="A335" s="382" t="s">
        <v>698</v>
      </c>
      <c r="B335" s="383"/>
      <c r="C335" s="353">
        <v>864668</v>
      </c>
      <c r="D335" s="384">
        <v>0</v>
      </c>
      <c r="E335" s="384"/>
      <c r="F335" s="353">
        <v>864668</v>
      </c>
    </row>
    <row r="336" spans="1:6" ht="15.75" customHeight="1" x14ac:dyDescent="0.25">
      <c r="A336" s="372" t="s">
        <v>699</v>
      </c>
      <c r="B336" s="373"/>
      <c r="C336" s="354">
        <v>708834</v>
      </c>
      <c r="D336" s="374">
        <v>0</v>
      </c>
      <c r="E336" s="374"/>
      <c r="F336" s="354">
        <v>708834</v>
      </c>
    </row>
    <row r="337" spans="1:6" ht="15.75" customHeight="1" x14ac:dyDescent="0.25">
      <c r="A337" s="372" t="s">
        <v>700</v>
      </c>
      <c r="B337" s="373"/>
      <c r="C337" s="354">
        <v>541345</v>
      </c>
      <c r="D337" s="374">
        <v>-1500</v>
      </c>
      <c r="E337" s="375"/>
      <c r="F337" s="354">
        <v>539845</v>
      </c>
    </row>
    <row r="338" spans="1:6" ht="15.75" customHeight="1" x14ac:dyDescent="0.25">
      <c r="A338" s="372" t="s">
        <v>701</v>
      </c>
      <c r="B338" s="373"/>
      <c r="C338" s="354">
        <v>167489</v>
      </c>
      <c r="D338" s="374">
        <v>1500</v>
      </c>
      <c r="E338" s="375"/>
      <c r="F338" s="354">
        <v>168989</v>
      </c>
    </row>
    <row r="339" spans="1:6" ht="15.75" customHeight="1" x14ac:dyDescent="0.25">
      <c r="A339" s="372" t="s">
        <v>702</v>
      </c>
      <c r="B339" s="373"/>
      <c r="C339" s="354">
        <v>116704</v>
      </c>
      <c r="D339" s="374">
        <v>-7020</v>
      </c>
      <c r="E339" s="375"/>
      <c r="F339" s="354">
        <v>109684</v>
      </c>
    </row>
    <row r="340" spans="1:6" ht="15.75" customHeight="1" x14ac:dyDescent="0.25">
      <c r="A340" s="372" t="s">
        <v>837</v>
      </c>
      <c r="B340" s="373"/>
      <c r="C340" s="354">
        <v>2970</v>
      </c>
      <c r="D340" s="374">
        <v>0</v>
      </c>
      <c r="E340" s="374"/>
      <c r="F340" s="354">
        <v>2970</v>
      </c>
    </row>
    <row r="341" spans="1:6" ht="15.75" customHeight="1" x14ac:dyDescent="0.25">
      <c r="A341" s="372" t="s">
        <v>703</v>
      </c>
      <c r="B341" s="373"/>
      <c r="C341" s="354">
        <v>75034</v>
      </c>
      <c r="D341" s="374">
        <v>-5720</v>
      </c>
      <c r="E341" s="375"/>
      <c r="F341" s="354">
        <v>69314</v>
      </c>
    </row>
    <row r="342" spans="1:6" ht="31.5" customHeight="1" x14ac:dyDescent="0.25">
      <c r="A342" s="372" t="s">
        <v>704</v>
      </c>
      <c r="B342" s="373"/>
      <c r="C342" s="354">
        <v>24500</v>
      </c>
      <c r="D342" s="374">
        <v>-1300</v>
      </c>
      <c r="E342" s="375"/>
      <c r="F342" s="354">
        <v>23200</v>
      </c>
    </row>
    <row r="343" spans="1:6" ht="15.75" customHeight="1" x14ac:dyDescent="0.25">
      <c r="A343" s="372" t="s">
        <v>839</v>
      </c>
      <c r="B343" s="373"/>
      <c r="C343" s="354">
        <v>14200</v>
      </c>
      <c r="D343" s="374">
        <v>0</v>
      </c>
      <c r="E343" s="374"/>
      <c r="F343" s="354">
        <v>14200</v>
      </c>
    </row>
    <row r="344" spans="1:6" ht="15.75" customHeight="1" x14ac:dyDescent="0.25">
      <c r="A344" s="372" t="s">
        <v>705</v>
      </c>
      <c r="B344" s="373"/>
      <c r="C344" s="354">
        <v>39130</v>
      </c>
      <c r="D344" s="374">
        <v>7020</v>
      </c>
      <c r="E344" s="375"/>
      <c r="F344" s="354">
        <v>46150</v>
      </c>
    </row>
    <row r="345" spans="1:6" ht="15.75" customHeight="1" x14ac:dyDescent="0.25">
      <c r="A345" s="372" t="s">
        <v>842</v>
      </c>
      <c r="B345" s="373"/>
      <c r="C345" s="354">
        <v>1948</v>
      </c>
      <c r="D345" s="374">
        <v>7020</v>
      </c>
      <c r="E345" s="375"/>
      <c r="F345" s="354">
        <v>8968</v>
      </c>
    </row>
    <row r="346" spans="1:6" ht="15.75" customHeight="1" x14ac:dyDescent="0.25">
      <c r="A346" s="372" t="s">
        <v>706</v>
      </c>
      <c r="B346" s="373"/>
      <c r="C346" s="354">
        <v>37182</v>
      </c>
      <c r="D346" s="374">
        <v>0</v>
      </c>
      <c r="E346" s="374"/>
      <c r="F346" s="354">
        <v>37182</v>
      </c>
    </row>
    <row r="347" spans="1:6" ht="14.25" customHeight="1" x14ac:dyDescent="0.25"/>
    <row r="348" spans="1:6" ht="15.75" customHeight="1" x14ac:dyDescent="0.25">
      <c r="A348" s="382" t="s">
        <v>717</v>
      </c>
      <c r="B348" s="373"/>
      <c r="C348" s="373"/>
      <c r="D348" s="373"/>
      <c r="E348" s="373"/>
      <c r="F348" s="373"/>
    </row>
    <row r="349" spans="1:6" ht="15.75" customHeight="1" x14ac:dyDescent="0.25">
      <c r="A349" s="382" t="s">
        <v>698</v>
      </c>
      <c r="B349" s="383"/>
      <c r="C349" s="353">
        <v>1383807</v>
      </c>
      <c r="D349" s="384">
        <v>0</v>
      </c>
      <c r="E349" s="384"/>
      <c r="F349" s="353">
        <v>1383807</v>
      </c>
    </row>
    <row r="350" spans="1:6" ht="15.75" customHeight="1" x14ac:dyDescent="0.25">
      <c r="A350" s="372" t="s">
        <v>702</v>
      </c>
      <c r="B350" s="373"/>
      <c r="C350" s="354">
        <v>1021014</v>
      </c>
      <c r="D350" s="374">
        <v>0</v>
      </c>
      <c r="E350" s="374"/>
      <c r="F350" s="354">
        <v>1021014</v>
      </c>
    </row>
    <row r="351" spans="1:6" ht="15.75" customHeight="1" x14ac:dyDescent="0.25">
      <c r="A351" s="372" t="s">
        <v>703</v>
      </c>
      <c r="B351" s="373"/>
      <c r="C351" s="354">
        <v>923596</v>
      </c>
      <c r="D351" s="374">
        <v>0</v>
      </c>
      <c r="E351" s="374"/>
      <c r="F351" s="354">
        <v>923596</v>
      </c>
    </row>
    <row r="352" spans="1:6" ht="31.5" customHeight="1" x14ac:dyDescent="0.25">
      <c r="A352" s="372" t="s">
        <v>704</v>
      </c>
      <c r="B352" s="373"/>
      <c r="C352" s="354">
        <v>97418</v>
      </c>
      <c r="D352" s="374">
        <v>0</v>
      </c>
      <c r="E352" s="374"/>
      <c r="F352" s="354">
        <v>97418</v>
      </c>
    </row>
    <row r="353" spans="1:6" ht="15.75" customHeight="1" x14ac:dyDescent="0.25">
      <c r="A353" s="372" t="s">
        <v>710</v>
      </c>
      <c r="B353" s="373"/>
      <c r="C353" s="354">
        <v>25000</v>
      </c>
      <c r="D353" s="374">
        <v>0</v>
      </c>
      <c r="E353" s="374"/>
      <c r="F353" s="354">
        <v>25000</v>
      </c>
    </row>
    <row r="354" spans="1:6" ht="31.5" customHeight="1" x14ac:dyDescent="0.25">
      <c r="A354" s="372" t="s">
        <v>711</v>
      </c>
      <c r="B354" s="373"/>
      <c r="C354" s="354">
        <v>25000</v>
      </c>
      <c r="D354" s="374">
        <v>0</v>
      </c>
      <c r="E354" s="374"/>
      <c r="F354" s="354">
        <v>25000</v>
      </c>
    </row>
    <row r="355" spans="1:6" ht="15.75" customHeight="1" x14ac:dyDescent="0.25">
      <c r="A355" s="372" t="s">
        <v>705</v>
      </c>
      <c r="B355" s="373"/>
      <c r="C355" s="354">
        <v>337793</v>
      </c>
      <c r="D355" s="374">
        <v>0</v>
      </c>
      <c r="E355" s="374"/>
      <c r="F355" s="354">
        <v>337793</v>
      </c>
    </row>
    <row r="356" spans="1:6" ht="15.75" customHeight="1" x14ac:dyDescent="0.25">
      <c r="A356" s="372" t="s">
        <v>706</v>
      </c>
      <c r="B356" s="373"/>
      <c r="C356" s="354">
        <v>337793</v>
      </c>
      <c r="D356" s="374">
        <v>0</v>
      </c>
      <c r="E356" s="374"/>
      <c r="F356" s="354">
        <v>337793</v>
      </c>
    </row>
    <row r="357" spans="1:6" ht="14.25" customHeight="1" x14ac:dyDescent="0.25"/>
    <row r="358" spans="1:6" ht="15.75" customHeight="1" x14ac:dyDescent="0.25">
      <c r="A358" s="382" t="s">
        <v>876</v>
      </c>
      <c r="B358" s="373"/>
      <c r="C358" s="373"/>
      <c r="D358" s="373"/>
      <c r="E358" s="373"/>
      <c r="F358" s="373"/>
    </row>
    <row r="359" spans="1:6" ht="15.75" customHeight="1" x14ac:dyDescent="0.25">
      <c r="A359" s="382" t="s">
        <v>698</v>
      </c>
      <c r="B359" s="383"/>
      <c r="C359" s="353">
        <v>293707</v>
      </c>
      <c r="D359" s="384">
        <v>0</v>
      </c>
      <c r="E359" s="384"/>
      <c r="F359" s="353">
        <v>293707</v>
      </c>
    </row>
    <row r="360" spans="1:6" ht="15.75" customHeight="1" x14ac:dyDescent="0.25">
      <c r="A360" s="372" t="s">
        <v>710</v>
      </c>
      <c r="B360" s="373"/>
      <c r="C360" s="354">
        <v>293707</v>
      </c>
      <c r="D360" s="374">
        <v>0</v>
      </c>
      <c r="E360" s="374"/>
      <c r="F360" s="354">
        <v>293707</v>
      </c>
    </row>
    <row r="361" spans="1:6" ht="31.5" customHeight="1" x14ac:dyDescent="0.25">
      <c r="A361" s="372" t="s">
        <v>711</v>
      </c>
      <c r="B361" s="373"/>
      <c r="C361" s="354">
        <v>293707</v>
      </c>
      <c r="D361" s="374">
        <v>0</v>
      </c>
      <c r="E361" s="374"/>
      <c r="F361" s="354">
        <v>293707</v>
      </c>
    </row>
    <row r="362" spans="1:6" ht="14.25" customHeight="1" x14ac:dyDescent="0.25"/>
    <row r="363" spans="1:6" ht="15.75" customHeight="1" x14ac:dyDescent="0.25">
      <c r="A363" s="382" t="s">
        <v>877</v>
      </c>
      <c r="B363" s="373"/>
      <c r="C363" s="373"/>
      <c r="D363" s="373"/>
      <c r="E363" s="373"/>
      <c r="F363" s="373"/>
    </row>
    <row r="364" spans="1:6" ht="15.75" customHeight="1" x14ac:dyDescent="0.25">
      <c r="A364" s="382" t="s">
        <v>698</v>
      </c>
      <c r="B364" s="383"/>
      <c r="C364" s="353">
        <v>280000</v>
      </c>
      <c r="D364" s="384">
        <v>0</v>
      </c>
      <c r="E364" s="384"/>
      <c r="F364" s="353">
        <v>280000</v>
      </c>
    </row>
    <row r="365" spans="1:6" ht="15.75" customHeight="1" x14ac:dyDescent="0.25">
      <c r="A365" s="372" t="s">
        <v>702</v>
      </c>
      <c r="B365" s="373"/>
      <c r="C365" s="354">
        <v>233000</v>
      </c>
      <c r="D365" s="374">
        <v>0</v>
      </c>
      <c r="E365" s="374"/>
      <c r="F365" s="354">
        <v>233000</v>
      </c>
    </row>
    <row r="366" spans="1:6" ht="15.75" customHeight="1" x14ac:dyDescent="0.25">
      <c r="A366" s="372" t="s">
        <v>703</v>
      </c>
      <c r="B366" s="373"/>
      <c r="C366" s="354">
        <v>233000</v>
      </c>
      <c r="D366" s="374">
        <v>0</v>
      </c>
      <c r="E366" s="374"/>
      <c r="F366" s="354">
        <v>233000</v>
      </c>
    </row>
    <row r="367" spans="1:6" ht="15.75" customHeight="1" x14ac:dyDescent="0.25">
      <c r="A367" s="372" t="s">
        <v>705</v>
      </c>
      <c r="B367" s="373"/>
      <c r="C367" s="354">
        <v>47000</v>
      </c>
      <c r="D367" s="374">
        <v>0</v>
      </c>
      <c r="E367" s="374"/>
      <c r="F367" s="354">
        <v>47000</v>
      </c>
    </row>
    <row r="368" spans="1:6" ht="15.75" customHeight="1" x14ac:dyDescent="0.25">
      <c r="A368" s="372" t="s">
        <v>706</v>
      </c>
      <c r="B368" s="373"/>
      <c r="C368" s="354">
        <v>47000</v>
      </c>
      <c r="D368" s="374">
        <v>0</v>
      </c>
      <c r="E368" s="374"/>
      <c r="F368" s="354">
        <v>47000</v>
      </c>
    </row>
    <row r="369" spans="1:6" ht="14.25" customHeight="1" x14ac:dyDescent="0.25"/>
    <row r="370" spans="1:6" ht="15.75" customHeight="1" x14ac:dyDescent="0.25">
      <c r="A370" s="382" t="s">
        <v>878</v>
      </c>
      <c r="B370" s="373"/>
      <c r="C370" s="373"/>
      <c r="D370" s="373"/>
      <c r="E370" s="373"/>
      <c r="F370" s="373"/>
    </row>
    <row r="371" spans="1:6" ht="15.75" customHeight="1" x14ac:dyDescent="0.25">
      <c r="A371" s="382" t="s">
        <v>698</v>
      </c>
      <c r="B371" s="383"/>
      <c r="C371" s="353">
        <v>49390</v>
      </c>
      <c r="D371" s="384">
        <v>0</v>
      </c>
      <c r="E371" s="384"/>
      <c r="F371" s="353">
        <v>49390</v>
      </c>
    </row>
    <row r="372" spans="1:6" ht="15.75" customHeight="1" x14ac:dyDescent="0.25">
      <c r="A372" s="372" t="s">
        <v>699</v>
      </c>
      <c r="B372" s="373"/>
      <c r="C372" s="354">
        <v>3500</v>
      </c>
      <c r="D372" s="374">
        <v>0</v>
      </c>
      <c r="E372" s="374"/>
      <c r="F372" s="354">
        <v>3500</v>
      </c>
    </row>
    <row r="373" spans="1:6" ht="15.75" customHeight="1" x14ac:dyDescent="0.25">
      <c r="A373" s="372" t="s">
        <v>700</v>
      </c>
      <c r="B373" s="373"/>
      <c r="C373" s="354">
        <v>2832</v>
      </c>
      <c r="D373" s="374">
        <v>0</v>
      </c>
      <c r="E373" s="374"/>
      <c r="F373" s="354">
        <v>2832</v>
      </c>
    </row>
    <row r="374" spans="1:6" ht="15.75" customHeight="1" x14ac:dyDescent="0.25">
      <c r="A374" s="372" t="s">
        <v>701</v>
      </c>
      <c r="B374" s="373"/>
      <c r="C374" s="354">
        <v>668</v>
      </c>
      <c r="D374" s="374">
        <v>0</v>
      </c>
      <c r="E374" s="374"/>
      <c r="F374" s="354">
        <v>668</v>
      </c>
    </row>
    <row r="375" spans="1:6" ht="15.75" customHeight="1" x14ac:dyDescent="0.25">
      <c r="A375" s="372" t="s">
        <v>702</v>
      </c>
      <c r="B375" s="373"/>
      <c r="C375" s="354">
        <v>18000</v>
      </c>
      <c r="D375" s="374">
        <v>0</v>
      </c>
      <c r="E375" s="374"/>
      <c r="F375" s="354">
        <v>18000</v>
      </c>
    </row>
    <row r="376" spans="1:6" ht="15.75" customHeight="1" x14ac:dyDescent="0.25">
      <c r="A376" s="372" t="s">
        <v>703</v>
      </c>
      <c r="B376" s="373"/>
      <c r="C376" s="354">
        <v>18000</v>
      </c>
      <c r="D376" s="374">
        <v>0</v>
      </c>
      <c r="E376" s="374"/>
      <c r="F376" s="354">
        <v>18000</v>
      </c>
    </row>
    <row r="377" spans="1:6" ht="15.75" customHeight="1" x14ac:dyDescent="0.25">
      <c r="A377" s="372" t="s">
        <v>705</v>
      </c>
      <c r="B377" s="373"/>
      <c r="C377" s="354">
        <v>27890</v>
      </c>
      <c r="D377" s="374">
        <v>0</v>
      </c>
      <c r="E377" s="374"/>
      <c r="F377" s="354">
        <v>27890</v>
      </c>
    </row>
    <row r="378" spans="1:6" ht="15.75" customHeight="1" x14ac:dyDescent="0.25">
      <c r="A378" s="372" t="s">
        <v>706</v>
      </c>
      <c r="B378" s="373"/>
      <c r="C378" s="354">
        <v>27890</v>
      </c>
      <c r="D378" s="374">
        <v>0</v>
      </c>
      <c r="E378" s="374"/>
      <c r="F378" s="354">
        <v>27890</v>
      </c>
    </row>
    <row r="379" spans="1:6" ht="14.25" customHeight="1" x14ac:dyDescent="0.25"/>
    <row r="380" spans="1:6" ht="31.5" customHeight="1" x14ac:dyDescent="0.25">
      <c r="A380" s="382" t="s">
        <v>879</v>
      </c>
      <c r="B380" s="373"/>
      <c r="C380" s="373"/>
      <c r="D380" s="373"/>
      <c r="E380" s="373"/>
      <c r="F380" s="373"/>
    </row>
    <row r="381" spans="1:6" ht="15.75" customHeight="1" x14ac:dyDescent="0.25">
      <c r="A381" s="382" t="s">
        <v>698</v>
      </c>
      <c r="B381" s="383"/>
      <c r="C381" s="353">
        <v>15000</v>
      </c>
      <c r="D381" s="384">
        <v>0</v>
      </c>
      <c r="E381" s="384"/>
      <c r="F381" s="353">
        <v>15000</v>
      </c>
    </row>
    <row r="382" spans="1:6" ht="15.75" customHeight="1" x14ac:dyDescent="0.25">
      <c r="A382" s="372" t="s">
        <v>710</v>
      </c>
      <c r="B382" s="373"/>
      <c r="C382" s="354">
        <v>15000</v>
      </c>
      <c r="D382" s="374">
        <v>0</v>
      </c>
      <c r="E382" s="374"/>
      <c r="F382" s="354">
        <v>15000</v>
      </c>
    </row>
    <row r="383" spans="1:6" ht="31.5" customHeight="1" x14ac:dyDescent="0.25">
      <c r="A383" s="372" t="s">
        <v>711</v>
      </c>
      <c r="B383" s="373"/>
      <c r="C383" s="354">
        <v>15000</v>
      </c>
      <c r="D383" s="374">
        <v>0</v>
      </c>
      <c r="E383" s="374"/>
      <c r="F383" s="354">
        <v>15000</v>
      </c>
    </row>
    <row r="384" spans="1:6" ht="14.25" customHeight="1" x14ac:dyDescent="0.25"/>
    <row r="385" spans="1:6" ht="15.75" customHeight="1" x14ac:dyDescent="0.25">
      <c r="A385" s="382" t="s">
        <v>880</v>
      </c>
      <c r="B385" s="373"/>
      <c r="C385" s="373"/>
      <c r="D385" s="373"/>
      <c r="E385" s="373"/>
      <c r="F385" s="373"/>
    </row>
    <row r="386" spans="1:6" ht="15.75" customHeight="1" x14ac:dyDescent="0.25">
      <c r="A386" s="382" t="s">
        <v>698</v>
      </c>
      <c r="B386" s="383"/>
      <c r="C386" s="353">
        <v>166629</v>
      </c>
      <c r="D386" s="384">
        <v>11424</v>
      </c>
      <c r="E386" s="385"/>
      <c r="F386" s="353">
        <v>178053</v>
      </c>
    </row>
    <row r="387" spans="1:6" ht="15.75" customHeight="1" x14ac:dyDescent="0.25">
      <c r="A387" s="372" t="s">
        <v>699</v>
      </c>
      <c r="B387" s="373"/>
      <c r="C387" s="354">
        <v>8200</v>
      </c>
      <c r="D387" s="374">
        <v>0</v>
      </c>
      <c r="E387" s="374"/>
      <c r="F387" s="354">
        <v>8200</v>
      </c>
    </row>
    <row r="388" spans="1:6" ht="15.75" customHeight="1" x14ac:dyDescent="0.25">
      <c r="A388" s="372" t="s">
        <v>700</v>
      </c>
      <c r="B388" s="373"/>
      <c r="C388" s="354">
        <v>6000</v>
      </c>
      <c r="D388" s="374">
        <v>0</v>
      </c>
      <c r="E388" s="374"/>
      <c r="F388" s="354">
        <v>6000</v>
      </c>
    </row>
    <row r="389" spans="1:6" ht="15.75" customHeight="1" x14ac:dyDescent="0.25">
      <c r="A389" s="372" t="s">
        <v>701</v>
      </c>
      <c r="B389" s="373"/>
      <c r="C389" s="354">
        <v>2200</v>
      </c>
      <c r="D389" s="374">
        <v>0</v>
      </c>
      <c r="E389" s="374"/>
      <c r="F389" s="354">
        <v>2200</v>
      </c>
    </row>
    <row r="390" spans="1:6" ht="15.75" customHeight="1" x14ac:dyDescent="0.25">
      <c r="A390" s="372" t="s">
        <v>702</v>
      </c>
      <c r="B390" s="373"/>
      <c r="C390" s="354">
        <v>45829</v>
      </c>
      <c r="D390" s="374">
        <v>11424</v>
      </c>
      <c r="E390" s="375"/>
      <c r="F390" s="354">
        <v>57253</v>
      </c>
    </row>
    <row r="391" spans="1:6" ht="15.75" customHeight="1" x14ac:dyDescent="0.25">
      <c r="A391" s="372" t="s">
        <v>703</v>
      </c>
      <c r="B391" s="373"/>
      <c r="C391" s="354">
        <v>29239</v>
      </c>
      <c r="D391" s="374">
        <v>11424</v>
      </c>
      <c r="E391" s="375"/>
      <c r="F391" s="354">
        <v>40663</v>
      </c>
    </row>
    <row r="392" spans="1:6" ht="31.5" customHeight="1" x14ac:dyDescent="0.25">
      <c r="A392" s="372" t="s">
        <v>704</v>
      </c>
      <c r="B392" s="373"/>
      <c r="C392" s="354">
        <v>16590</v>
      </c>
      <c r="D392" s="374">
        <v>0</v>
      </c>
      <c r="E392" s="374"/>
      <c r="F392" s="354">
        <v>16590</v>
      </c>
    </row>
    <row r="393" spans="1:6" ht="15.75" customHeight="1" x14ac:dyDescent="0.25">
      <c r="A393" s="372" t="s">
        <v>881</v>
      </c>
      <c r="B393" s="373"/>
      <c r="C393" s="354">
        <v>112600</v>
      </c>
      <c r="D393" s="374">
        <v>0</v>
      </c>
      <c r="E393" s="374"/>
      <c r="F393" s="354">
        <v>112600</v>
      </c>
    </row>
    <row r="394" spans="1:6" ht="15.75" customHeight="1" x14ac:dyDescent="0.25">
      <c r="A394" s="372" t="s">
        <v>882</v>
      </c>
      <c r="B394" s="373"/>
      <c r="C394" s="354">
        <v>105400</v>
      </c>
      <c r="D394" s="374">
        <v>0</v>
      </c>
      <c r="E394" s="374"/>
      <c r="F394" s="354">
        <v>105400</v>
      </c>
    </row>
    <row r="395" spans="1:6" ht="15.75" customHeight="1" x14ac:dyDescent="0.25">
      <c r="A395" s="372" t="s">
        <v>883</v>
      </c>
      <c r="B395" s="373"/>
      <c r="C395" s="354">
        <v>7200</v>
      </c>
      <c r="D395" s="374">
        <v>0</v>
      </c>
      <c r="E395" s="374"/>
      <c r="F395" s="354">
        <v>7200</v>
      </c>
    </row>
    <row r="396" spans="1:6" ht="14.25" customHeight="1" x14ac:dyDescent="0.25"/>
    <row r="397" spans="1:6" ht="15.75" customHeight="1" x14ac:dyDescent="0.25">
      <c r="A397" s="382" t="s">
        <v>884</v>
      </c>
      <c r="B397" s="373"/>
      <c r="C397" s="373"/>
      <c r="D397" s="373"/>
      <c r="E397" s="373"/>
      <c r="F397" s="373"/>
    </row>
    <row r="398" spans="1:6" ht="15.75" customHeight="1" x14ac:dyDescent="0.25">
      <c r="A398" s="382" t="s">
        <v>698</v>
      </c>
      <c r="B398" s="383"/>
      <c r="C398" s="353">
        <v>60000</v>
      </c>
      <c r="D398" s="384">
        <v>0</v>
      </c>
      <c r="E398" s="384"/>
      <c r="F398" s="353">
        <v>60000</v>
      </c>
    </row>
    <row r="399" spans="1:6" ht="15.75" customHeight="1" x14ac:dyDescent="0.25">
      <c r="A399" s="372" t="s">
        <v>881</v>
      </c>
      <c r="B399" s="373"/>
      <c r="C399" s="354">
        <v>60000</v>
      </c>
      <c r="D399" s="374">
        <v>0</v>
      </c>
      <c r="E399" s="374"/>
      <c r="F399" s="354">
        <v>60000</v>
      </c>
    </row>
    <row r="400" spans="1:6" ht="15.75" customHeight="1" x14ac:dyDescent="0.25">
      <c r="A400" s="372" t="s">
        <v>882</v>
      </c>
      <c r="B400" s="373"/>
      <c r="C400" s="354">
        <v>60000</v>
      </c>
      <c r="D400" s="374">
        <v>0</v>
      </c>
      <c r="E400" s="374"/>
      <c r="F400" s="354">
        <v>60000</v>
      </c>
    </row>
    <row r="401" spans="1:6" ht="14.25" customHeight="1" x14ac:dyDescent="0.25"/>
    <row r="402" spans="1:6" ht="15.75" customHeight="1" x14ac:dyDescent="0.25">
      <c r="A402" s="382" t="s">
        <v>885</v>
      </c>
      <c r="B402" s="373"/>
      <c r="C402" s="373"/>
      <c r="D402" s="373"/>
      <c r="E402" s="373"/>
      <c r="F402" s="373"/>
    </row>
    <row r="403" spans="1:6" ht="15.75" customHeight="1" x14ac:dyDescent="0.25">
      <c r="A403" s="382" t="s">
        <v>698</v>
      </c>
      <c r="B403" s="383"/>
      <c r="C403" s="353">
        <v>12400</v>
      </c>
      <c r="D403" s="384">
        <v>0</v>
      </c>
      <c r="E403" s="384"/>
      <c r="F403" s="353">
        <v>12400</v>
      </c>
    </row>
    <row r="404" spans="1:6" ht="15.75" customHeight="1" x14ac:dyDescent="0.25">
      <c r="A404" s="372" t="s">
        <v>881</v>
      </c>
      <c r="B404" s="373"/>
      <c r="C404" s="354">
        <v>12400</v>
      </c>
      <c r="D404" s="374">
        <v>0</v>
      </c>
      <c r="E404" s="374"/>
      <c r="F404" s="354">
        <v>12400</v>
      </c>
    </row>
    <row r="405" spans="1:6" ht="15.75" customHeight="1" x14ac:dyDescent="0.25">
      <c r="A405" s="372" t="s">
        <v>882</v>
      </c>
      <c r="B405" s="373"/>
      <c r="C405" s="354">
        <v>12400</v>
      </c>
      <c r="D405" s="374">
        <v>0</v>
      </c>
      <c r="E405" s="374"/>
      <c r="F405" s="354">
        <v>12400</v>
      </c>
    </row>
    <row r="406" spans="1:6" ht="14.25" customHeight="1" x14ac:dyDescent="0.25"/>
    <row r="407" spans="1:6" ht="15.75" customHeight="1" x14ac:dyDescent="0.25">
      <c r="A407" s="382" t="s">
        <v>886</v>
      </c>
      <c r="B407" s="373"/>
      <c r="C407" s="373"/>
      <c r="D407" s="373"/>
      <c r="E407" s="373"/>
      <c r="F407" s="373"/>
    </row>
    <row r="408" spans="1:6" ht="15.75" customHeight="1" x14ac:dyDescent="0.25">
      <c r="A408" s="382" t="s">
        <v>698</v>
      </c>
      <c r="B408" s="383"/>
      <c r="C408" s="353">
        <v>40200</v>
      </c>
      <c r="D408" s="384">
        <v>0</v>
      </c>
      <c r="E408" s="384"/>
      <c r="F408" s="353">
        <v>40200</v>
      </c>
    </row>
    <row r="409" spans="1:6" ht="15.75" customHeight="1" x14ac:dyDescent="0.25">
      <c r="A409" s="372" t="s">
        <v>881</v>
      </c>
      <c r="B409" s="373"/>
      <c r="C409" s="354">
        <v>40200</v>
      </c>
      <c r="D409" s="374">
        <v>0</v>
      </c>
      <c r="E409" s="374"/>
      <c r="F409" s="354">
        <v>40200</v>
      </c>
    </row>
    <row r="410" spans="1:6" ht="15.75" customHeight="1" x14ac:dyDescent="0.25">
      <c r="A410" s="372" t="s">
        <v>882</v>
      </c>
      <c r="B410" s="373"/>
      <c r="C410" s="354">
        <v>33000</v>
      </c>
      <c r="D410" s="374">
        <v>0</v>
      </c>
      <c r="E410" s="374"/>
      <c r="F410" s="354">
        <v>33000</v>
      </c>
    </row>
    <row r="411" spans="1:6" ht="15.75" customHeight="1" x14ac:dyDescent="0.25">
      <c r="A411" s="372" t="s">
        <v>883</v>
      </c>
      <c r="B411" s="373"/>
      <c r="C411" s="354">
        <v>7200</v>
      </c>
      <c r="D411" s="374">
        <v>0</v>
      </c>
      <c r="E411" s="374"/>
      <c r="F411" s="354">
        <v>7200</v>
      </c>
    </row>
    <row r="412" spans="1:6" ht="14.25" customHeight="1" x14ac:dyDescent="0.25"/>
    <row r="413" spans="1:6" ht="15.75" customHeight="1" x14ac:dyDescent="0.25">
      <c r="A413" s="382" t="s">
        <v>887</v>
      </c>
      <c r="B413" s="373"/>
      <c r="C413" s="373"/>
      <c r="D413" s="373"/>
      <c r="E413" s="373"/>
      <c r="F413" s="373"/>
    </row>
    <row r="414" spans="1:6" ht="15.75" customHeight="1" x14ac:dyDescent="0.25">
      <c r="A414" s="382" t="s">
        <v>698</v>
      </c>
      <c r="B414" s="383"/>
      <c r="C414" s="353">
        <v>7495</v>
      </c>
      <c r="D414" s="384">
        <v>0</v>
      </c>
      <c r="E414" s="384"/>
      <c r="F414" s="353">
        <v>7495</v>
      </c>
    </row>
    <row r="415" spans="1:6" ht="15.75" customHeight="1" x14ac:dyDescent="0.25">
      <c r="A415" s="372" t="s">
        <v>702</v>
      </c>
      <c r="B415" s="373"/>
      <c r="C415" s="354">
        <v>7495</v>
      </c>
      <c r="D415" s="374">
        <v>0</v>
      </c>
      <c r="E415" s="374"/>
      <c r="F415" s="354">
        <v>7495</v>
      </c>
    </row>
    <row r="416" spans="1:6" ht="15.75" customHeight="1" x14ac:dyDescent="0.25">
      <c r="A416" s="372" t="s">
        <v>703</v>
      </c>
      <c r="B416" s="373"/>
      <c r="C416" s="354">
        <v>4905</v>
      </c>
      <c r="D416" s="374">
        <v>0</v>
      </c>
      <c r="E416" s="374"/>
      <c r="F416" s="354">
        <v>4905</v>
      </c>
    </row>
    <row r="417" spans="1:6" ht="31.5" customHeight="1" x14ac:dyDescent="0.25">
      <c r="A417" s="372" t="s">
        <v>704</v>
      </c>
      <c r="B417" s="373"/>
      <c r="C417" s="354">
        <v>2590</v>
      </c>
      <c r="D417" s="374">
        <v>0</v>
      </c>
      <c r="E417" s="374"/>
      <c r="F417" s="354">
        <v>2590</v>
      </c>
    </row>
    <row r="418" spans="1:6" ht="14.25" customHeight="1" x14ac:dyDescent="0.25"/>
    <row r="419" spans="1:6" ht="31.5" customHeight="1" x14ac:dyDescent="0.25">
      <c r="A419" s="382" t="s">
        <v>888</v>
      </c>
      <c r="B419" s="373"/>
      <c r="C419" s="373"/>
      <c r="D419" s="373"/>
      <c r="E419" s="373"/>
      <c r="F419" s="373"/>
    </row>
    <row r="420" spans="1:6" ht="15.75" customHeight="1" x14ac:dyDescent="0.25">
      <c r="A420" s="382" t="s">
        <v>698</v>
      </c>
      <c r="B420" s="383"/>
      <c r="C420" s="353">
        <v>46534</v>
      </c>
      <c r="D420" s="384">
        <v>11424</v>
      </c>
      <c r="E420" s="385"/>
      <c r="F420" s="353">
        <v>57958</v>
      </c>
    </row>
    <row r="421" spans="1:6" ht="15.75" customHeight="1" x14ac:dyDescent="0.25">
      <c r="A421" s="372" t="s">
        <v>699</v>
      </c>
      <c r="B421" s="373"/>
      <c r="C421" s="354">
        <v>8200</v>
      </c>
      <c r="D421" s="374">
        <v>0</v>
      </c>
      <c r="E421" s="374"/>
      <c r="F421" s="354">
        <v>8200</v>
      </c>
    </row>
    <row r="422" spans="1:6" ht="15.75" customHeight="1" x14ac:dyDescent="0.25">
      <c r="A422" s="372" t="s">
        <v>700</v>
      </c>
      <c r="B422" s="373"/>
      <c r="C422" s="354">
        <v>6000</v>
      </c>
      <c r="D422" s="374">
        <v>0</v>
      </c>
      <c r="E422" s="374"/>
      <c r="F422" s="354">
        <v>6000</v>
      </c>
    </row>
    <row r="423" spans="1:6" ht="15.75" customHeight="1" x14ac:dyDescent="0.25">
      <c r="A423" s="372" t="s">
        <v>701</v>
      </c>
      <c r="B423" s="373"/>
      <c r="C423" s="354">
        <v>2200</v>
      </c>
      <c r="D423" s="374">
        <v>0</v>
      </c>
      <c r="E423" s="374"/>
      <c r="F423" s="354">
        <v>2200</v>
      </c>
    </row>
    <row r="424" spans="1:6" ht="15.75" customHeight="1" x14ac:dyDescent="0.25">
      <c r="A424" s="372" t="s">
        <v>702</v>
      </c>
      <c r="B424" s="373"/>
      <c r="C424" s="354">
        <v>38334</v>
      </c>
      <c r="D424" s="374">
        <v>11424</v>
      </c>
      <c r="E424" s="375"/>
      <c r="F424" s="354">
        <v>49758</v>
      </c>
    </row>
    <row r="425" spans="1:6" ht="15.75" customHeight="1" x14ac:dyDescent="0.25">
      <c r="A425" s="372" t="s">
        <v>703</v>
      </c>
      <c r="B425" s="373"/>
      <c r="C425" s="354">
        <v>24334</v>
      </c>
      <c r="D425" s="374">
        <v>11424</v>
      </c>
      <c r="E425" s="375"/>
      <c r="F425" s="354">
        <v>35758</v>
      </c>
    </row>
    <row r="426" spans="1:6" ht="31.5" customHeight="1" x14ac:dyDescent="0.25">
      <c r="A426" s="372" t="s">
        <v>704</v>
      </c>
      <c r="B426" s="373"/>
      <c r="C426" s="354">
        <v>14000</v>
      </c>
      <c r="D426" s="374">
        <v>0</v>
      </c>
      <c r="E426" s="374"/>
      <c r="F426" s="354">
        <v>14000</v>
      </c>
    </row>
    <row r="427" spans="1:6" ht="14.25" customHeight="1" x14ac:dyDescent="0.25"/>
    <row r="428" spans="1:6" ht="15.75" customHeight="1" x14ac:dyDescent="0.25">
      <c r="A428" s="382" t="s">
        <v>718</v>
      </c>
      <c r="B428" s="373"/>
      <c r="C428" s="373"/>
      <c r="D428" s="373"/>
      <c r="E428" s="373"/>
      <c r="F428" s="373"/>
    </row>
    <row r="429" spans="1:6" ht="15.75" customHeight="1" x14ac:dyDescent="0.25">
      <c r="A429" s="382" t="s">
        <v>698</v>
      </c>
      <c r="B429" s="383"/>
      <c r="C429" s="353">
        <v>6669540</v>
      </c>
      <c r="D429" s="384">
        <v>186080</v>
      </c>
      <c r="E429" s="385"/>
      <c r="F429" s="353">
        <v>6855620</v>
      </c>
    </row>
    <row r="430" spans="1:6" ht="15.75" customHeight="1" x14ac:dyDescent="0.25">
      <c r="A430" s="372" t="s">
        <v>699</v>
      </c>
      <c r="B430" s="373"/>
      <c r="C430" s="354">
        <v>2681030</v>
      </c>
      <c r="D430" s="374">
        <v>3063</v>
      </c>
      <c r="E430" s="375"/>
      <c r="F430" s="354">
        <v>2684093</v>
      </c>
    </row>
    <row r="431" spans="1:6" ht="15.75" customHeight="1" x14ac:dyDescent="0.25">
      <c r="A431" s="372" t="s">
        <v>700</v>
      </c>
      <c r="B431" s="373"/>
      <c r="C431" s="354">
        <v>2114164</v>
      </c>
      <c r="D431" s="374">
        <v>2536</v>
      </c>
      <c r="E431" s="375"/>
      <c r="F431" s="354">
        <v>2116700</v>
      </c>
    </row>
    <row r="432" spans="1:6" ht="15.75" customHeight="1" x14ac:dyDescent="0.25">
      <c r="A432" s="372" t="s">
        <v>701</v>
      </c>
      <c r="B432" s="373"/>
      <c r="C432" s="354">
        <v>566866</v>
      </c>
      <c r="D432" s="374">
        <v>527</v>
      </c>
      <c r="E432" s="375"/>
      <c r="F432" s="354">
        <v>567393</v>
      </c>
    </row>
    <row r="433" spans="1:6" ht="15.75" customHeight="1" x14ac:dyDescent="0.25">
      <c r="A433" s="372" t="s">
        <v>702</v>
      </c>
      <c r="B433" s="373"/>
      <c r="C433" s="354">
        <v>2547996</v>
      </c>
      <c r="D433" s="374">
        <v>17467</v>
      </c>
      <c r="E433" s="375"/>
      <c r="F433" s="354">
        <v>2565463</v>
      </c>
    </row>
    <row r="434" spans="1:6" ht="15.75" customHeight="1" x14ac:dyDescent="0.25">
      <c r="A434" s="372" t="s">
        <v>837</v>
      </c>
      <c r="B434" s="373"/>
      <c r="C434" s="354">
        <v>33885</v>
      </c>
      <c r="D434" s="374">
        <v>0</v>
      </c>
      <c r="E434" s="374"/>
      <c r="F434" s="354">
        <v>33885</v>
      </c>
    </row>
    <row r="435" spans="1:6" ht="15.75" customHeight="1" x14ac:dyDescent="0.25">
      <c r="A435" s="372" t="s">
        <v>703</v>
      </c>
      <c r="B435" s="373"/>
      <c r="C435" s="354">
        <v>1840878</v>
      </c>
      <c r="D435" s="374">
        <v>16967</v>
      </c>
      <c r="E435" s="375"/>
      <c r="F435" s="354">
        <v>1857845</v>
      </c>
    </row>
    <row r="436" spans="1:6" ht="31.5" customHeight="1" x14ac:dyDescent="0.25">
      <c r="A436" s="372" t="s">
        <v>704</v>
      </c>
      <c r="B436" s="373"/>
      <c r="C436" s="354">
        <v>591018</v>
      </c>
      <c r="D436" s="374">
        <v>500</v>
      </c>
      <c r="E436" s="375"/>
      <c r="F436" s="354">
        <v>591518</v>
      </c>
    </row>
    <row r="437" spans="1:6" ht="15.75" customHeight="1" x14ac:dyDescent="0.25">
      <c r="A437" s="372" t="s">
        <v>889</v>
      </c>
      <c r="B437" s="373"/>
      <c r="C437" s="354">
        <v>8000</v>
      </c>
      <c r="D437" s="374">
        <v>0</v>
      </c>
      <c r="E437" s="374"/>
      <c r="F437" s="354">
        <v>8000</v>
      </c>
    </row>
    <row r="438" spans="1:6" ht="15.75" customHeight="1" x14ac:dyDescent="0.25">
      <c r="A438" s="372" t="s">
        <v>839</v>
      </c>
      <c r="B438" s="373"/>
      <c r="C438" s="354">
        <v>74215</v>
      </c>
      <c r="D438" s="374">
        <v>0</v>
      </c>
      <c r="E438" s="374"/>
      <c r="F438" s="354">
        <v>74215</v>
      </c>
    </row>
    <row r="439" spans="1:6" ht="15.75" customHeight="1" x14ac:dyDescent="0.25">
      <c r="A439" s="372" t="s">
        <v>710</v>
      </c>
      <c r="B439" s="373"/>
      <c r="C439" s="354">
        <v>693315</v>
      </c>
      <c r="D439" s="374">
        <v>164700</v>
      </c>
      <c r="E439" s="375"/>
      <c r="F439" s="354">
        <v>858015</v>
      </c>
    </row>
    <row r="440" spans="1:6" ht="31.5" customHeight="1" x14ac:dyDescent="0.25">
      <c r="A440" s="372" t="s">
        <v>711</v>
      </c>
      <c r="B440" s="373"/>
      <c r="C440" s="354">
        <v>673315</v>
      </c>
      <c r="D440" s="374">
        <v>164700</v>
      </c>
      <c r="E440" s="375"/>
      <c r="F440" s="354">
        <v>858015</v>
      </c>
    </row>
    <row r="441" spans="1:6" ht="31.5" customHeight="1" x14ac:dyDescent="0.25">
      <c r="A441" s="372" t="s">
        <v>712</v>
      </c>
      <c r="B441" s="373"/>
      <c r="C441" s="354">
        <v>20000</v>
      </c>
      <c r="D441" s="374">
        <v>0</v>
      </c>
      <c r="E441" s="374"/>
      <c r="F441" s="354">
        <v>20000</v>
      </c>
    </row>
    <row r="442" spans="1:6" ht="15.75" customHeight="1" x14ac:dyDescent="0.25">
      <c r="A442" s="372" t="s">
        <v>705</v>
      </c>
      <c r="B442" s="373"/>
      <c r="C442" s="354">
        <v>732843</v>
      </c>
      <c r="D442" s="374">
        <v>650</v>
      </c>
      <c r="E442" s="375"/>
      <c r="F442" s="354">
        <v>733493</v>
      </c>
    </row>
    <row r="443" spans="1:6" ht="15.75" customHeight="1" x14ac:dyDescent="0.25">
      <c r="A443" s="372" t="s">
        <v>842</v>
      </c>
      <c r="B443" s="373"/>
      <c r="C443" s="354">
        <v>106156</v>
      </c>
      <c r="D443" s="374">
        <v>650</v>
      </c>
      <c r="E443" s="375"/>
      <c r="F443" s="354">
        <v>106806</v>
      </c>
    </row>
    <row r="444" spans="1:6" ht="15.75" customHeight="1" x14ac:dyDescent="0.25">
      <c r="A444" s="372" t="s">
        <v>706</v>
      </c>
      <c r="B444" s="373"/>
      <c r="C444" s="354">
        <v>626687</v>
      </c>
      <c r="D444" s="374">
        <v>0</v>
      </c>
      <c r="E444" s="374"/>
      <c r="F444" s="354">
        <v>626687</v>
      </c>
    </row>
    <row r="445" spans="1:6" ht="15.75" customHeight="1" x14ac:dyDescent="0.25">
      <c r="A445" s="372" t="s">
        <v>881</v>
      </c>
      <c r="B445" s="373"/>
      <c r="C445" s="354">
        <v>0</v>
      </c>
      <c r="D445" s="374">
        <v>200</v>
      </c>
      <c r="E445" s="375"/>
      <c r="F445" s="354">
        <v>200</v>
      </c>
    </row>
    <row r="446" spans="1:6" ht="31.5" customHeight="1" x14ac:dyDescent="0.25">
      <c r="A446" s="372" t="s">
        <v>890</v>
      </c>
      <c r="B446" s="373"/>
      <c r="C446" s="354">
        <v>0</v>
      </c>
      <c r="D446" s="374">
        <v>200</v>
      </c>
      <c r="E446" s="375"/>
      <c r="F446" s="354">
        <v>200</v>
      </c>
    </row>
    <row r="447" spans="1:6" ht="31.5" customHeight="1" x14ac:dyDescent="0.25">
      <c r="A447" s="372" t="s">
        <v>843</v>
      </c>
      <c r="B447" s="373"/>
      <c r="C447" s="354">
        <v>14356</v>
      </c>
      <c r="D447" s="374">
        <v>0</v>
      </c>
      <c r="E447" s="374"/>
      <c r="F447" s="354">
        <v>14356</v>
      </c>
    </row>
    <row r="448" spans="1:6" ht="15.75" customHeight="1" x14ac:dyDescent="0.25">
      <c r="A448" s="372" t="s">
        <v>844</v>
      </c>
      <c r="B448" s="373"/>
      <c r="C448" s="354">
        <v>14356</v>
      </c>
      <c r="D448" s="374">
        <v>0</v>
      </c>
      <c r="E448" s="374"/>
      <c r="F448" s="354">
        <v>14356</v>
      </c>
    </row>
    <row r="449" spans="1:6" ht="14.25" customHeight="1" x14ac:dyDescent="0.25"/>
    <row r="450" spans="1:6" ht="15.75" customHeight="1" x14ac:dyDescent="0.25">
      <c r="A450" s="382" t="s">
        <v>891</v>
      </c>
      <c r="B450" s="373"/>
      <c r="C450" s="373"/>
      <c r="D450" s="373"/>
      <c r="E450" s="373"/>
      <c r="F450" s="373"/>
    </row>
    <row r="451" spans="1:6" ht="15.75" customHeight="1" x14ac:dyDescent="0.25">
      <c r="A451" s="382" t="s">
        <v>698</v>
      </c>
      <c r="B451" s="383"/>
      <c r="C451" s="353">
        <v>525064</v>
      </c>
      <c r="D451" s="384">
        <v>0</v>
      </c>
      <c r="E451" s="384"/>
      <c r="F451" s="353">
        <v>525064</v>
      </c>
    </row>
    <row r="452" spans="1:6" ht="15.75" customHeight="1" x14ac:dyDescent="0.25">
      <c r="A452" s="372" t="s">
        <v>699</v>
      </c>
      <c r="B452" s="373"/>
      <c r="C452" s="354">
        <v>255080</v>
      </c>
      <c r="D452" s="374">
        <v>0</v>
      </c>
      <c r="E452" s="374"/>
      <c r="F452" s="354">
        <v>255080</v>
      </c>
    </row>
    <row r="453" spans="1:6" ht="15.75" customHeight="1" x14ac:dyDescent="0.25">
      <c r="A453" s="372" t="s">
        <v>700</v>
      </c>
      <c r="B453" s="373"/>
      <c r="C453" s="354">
        <v>197808</v>
      </c>
      <c r="D453" s="374">
        <v>0</v>
      </c>
      <c r="E453" s="374"/>
      <c r="F453" s="354">
        <v>197808</v>
      </c>
    </row>
    <row r="454" spans="1:6" ht="15.75" customHeight="1" x14ac:dyDescent="0.25">
      <c r="A454" s="372" t="s">
        <v>701</v>
      </c>
      <c r="B454" s="373"/>
      <c r="C454" s="354">
        <v>57272</v>
      </c>
      <c r="D454" s="374">
        <v>0</v>
      </c>
      <c r="E454" s="374"/>
      <c r="F454" s="354">
        <v>57272</v>
      </c>
    </row>
    <row r="455" spans="1:6" ht="15.75" customHeight="1" x14ac:dyDescent="0.25">
      <c r="A455" s="372" t="s">
        <v>702</v>
      </c>
      <c r="B455" s="373"/>
      <c r="C455" s="354">
        <v>215185</v>
      </c>
      <c r="D455" s="374">
        <v>0</v>
      </c>
      <c r="E455" s="374"/>
      <c r="F455" s="354">
        <v>215185</v>
      </c>
    </row>
    <row r="456" spans="1:6" ht="15.75" customHeight="1" x14ac:dyDescent="0.25">
      <c r="A456" s="372" t="s">
        <v>837</v>
      </c>
      <c r="B456" s="373"/>
      <c r="C456" s="354">
        <v>430</v>
      </c>
      <c r="D456" s="374">
        <v>0</v>
      </c>
      <c r="E456" s="374"/>
      <c r="F456" s="354">
        <v>430</v>
      </c>
    </row>
    <row r="457" spans="1:6" ht="15.75" customHeight="1" x14ac:dyDescent="0.25">
      <c r="A457" s="372" t="s">
        <v>703</v>
      </c>
      <c r="B457" s="373"/>
      <c r="C457" s="354">
        <v>188255</v>
      </c>
      <c r="D457" s="374">
        <v>0</v>
      </c>
      <c r="E457" s="374"/>
      <c r="F457" s="354">
        <v>188255</v>
      </c>
    </row>
    <row r="458" spans="1:6" ht="31.5" customHeight="1" x14ac:dyDescent="0.25">
      <c r="A458" s="372" t="s">
        <v>704</v>
      </c>
      <c r="B458" s="373"/>
      <c r="C458" s="354">
        <v>20300</v>
      </c>
      <c r="D458" s="374">
        <v>0</v>
      </c>
      <c r="E458" s="374"/>
      <c r="F458" s="354">
        <v>20300</v>
      </c>
    </row>
    <row r="459" spans="1:6" ht="15.75" customHeight="1" x14ac:dyDescent="0.25">
      <c r="A459" s="372" t="s">
        <v>839</v>
      </c>
      <c r="B459" s="373"/>
      <c r="C459" s="354">
        <v>6200</v>
      </c>
      <c r="D459" s="374">
        <v>0</v>
      </c>
      <c r="E459" s="374"/>
      <c r="F459" s="354">
        <v>6200</v>
      </c>
    </row>
    <row r="460" spans="1:6" ht="15.75" customHeight="1" x14ac:dyDescent="0.25">
      <c r="A460" s="372" t="s">
        <v>705</v>
      </c>
      <c r="B460" s="373"/>
      <c r="C460" s="354">
        <v>54799</v>
      </c>
      <c r="D460" s="374">
        <v>0</v>
      </c>
      <c r="E460" s="374"/>
      <c r="F460" s="354">
        <v>54799</v>
      </c>
    </row>
    <row r="461" spans="1:6" ht="15.75" customHeight="1" x14ac:dyDescent="0.25">
      <c r="A461" s="372" t="s">
        <v>706</v>
      </c>
      <c r="B461" s="373"/>
      <c r="C461" s="354">
        <v>54799</v>
      </c>
      <c r="D461" s="374">
        <v>0</v>
      </c>
      <c r="E461" s="374"/>
      <c r="F461" s="354">
        <v>54799</v>
      </c>
    </row>
    <row r="462" spans="1:6" ht="12.75" customHeight="1" x14ac:dyDescent="0.25"/>
    <row r="463" spans="1:6" ht="15.75" customHeight="1" x14ac:dyDescent="0.25">
      <c r="A463" s="382" t="s">
        <v>892</v>
      </c>
      <c r="B463" s="373"/>
      <c r="C463" s="373"/>
      <c r="D463" s="373"/>
      <c r="E463" s="373"/>
      <c r="F463" s="373"/>
    </row>
    <row r="464" spans="1:6" ht="15.75" customHeight="1" x14ac:dyDescent="0.25">
      <c r="A464" s="382" t="s">
        <v>698</v>
      </c>
      <c r="B464" s="383"/>
      <c r="C464" s="353">
        <v>622770</v>
      </c>
      <c r="D464" s="384">
        <v>14500</v>
      </c>
      <c r="E464" s="385"/>
      <c r="F464" s="353">
        <v>637270</v>
      </c>
    </row>
    <row r="465" spans="1:6" ht="15.75" customHeight="1" x14ac:dyDescent="0.25">
      <c r="A465" s="372" t="s">
        <v>699</v>
      </c>
      <c r="B465" s="373"/>
      <c r="C465" s="354">
        <v>6600</v>
      </c>
      <c r="D465" s="374">
        <v>0</v>
      </c>
      <c r="E465" s="374"/>
      <c r="F465" s="354">
        <v>6600</v>
      </c>
    </row>
    <row r="466" spans="1:6" ht="15.75" customHeight="1" x14ac:dyDescent="0.25">
      <c r="A466" s="372" t="s">
        <v>700</v>
      </c>
      <c r="B466" s="373"/>
      <c r="C466" s="354">
        <v>6000</v>
      </c>
      <c r="D466" s="374">
        <v>0</v>
      </c>
      <c r="E466" s="374"/>
      <c r="F466" s="354">
        <v>6000</v>
      </c>
    </row>
    <row r="467" spans="1:6" ht="15.75" customHeight="1" x14ac:dyDescent="0.25">
      <c r="A467" s="372" t="s">
        <v>701</v>
      </c>
      <c r="B467" s="373"/>
      <c r="C467" s="354">
        <v>600</v>
      </c>
      <c r="D467" s="374">
        <v>0</v>
      </c>
      <c r="E467" s="374"/>
      <c r="F467" s="354">
        <v>600</v>
      </c>
    </row>
    <row r="468" spans="1:6" ht="15.75" customHeight="1" x14ac:dyDescent="0.25">
      <c r="A468" s="372" t="s">
        <v>702</v>
      </c>
      <c r="B468" s="373"/>
      <c r="C468" s="354">
        <v>165970</v>
      </c>
      <c r="D468" s="374">
        <v>0</v>
      </c>
      <c r="E468" s="374"/>
      <c r="F468" s="354">
        <v>165970</v>
      </c>
    </row>
    <row r="469" spans="1:6" ht="15.75" customHeight="1" x14ac:dyDescent="0.25">
      <c r="A469" s="372" t="s">
        <v>837</v>
      </c>
      <c r="B469" s="373"/>
      <c r="C469" s="354">
        <v>3500</v>
      </c>
      <c r="D469" s="374">
        <v>0</v>
      </c>
      <c r="E469" s="374"/>
      <c r="F469" s="354">
        <v>3500</v>
      </c>
    </row>
    <row r="470" spans="1:6" ht="15.75" customHeight="1" x14ac:dyDescent="0.25">
      <c r="A470" s="372" t="s">
        <v>703</v>
      </c>
      <c r="B470" s="373"/>
      <c r="C470" s="354">
        <v>123570</v>
      </c>
      <c r="D470" s="374">
        <v>0</v>
      </c>
      <c r="E470" s="374"/>
      <c r="F470" s="354">
        <v>123570</v>
      </c>
    </row>
    <row r="471" spans="1:6" ht="31.5" customHeight="1" x14ac:dyDescent="0.25">
      <c r="A471" s="372" t="s">
        <v>704</v>
      </c>
      <c r="B471" s="373"/>
      <c r="C471" s="354">
        <v>38900</v>
      </c>
      <c r="D471" s="374">
        <v>0</v>
      </c>
      <c r="E471" s="374"/>
      <c r="F471" s="354">
        <v>38900</v>
      </c>
    </row>
    <row r="472" spans="1:6" ht="15.75" customHeight="1" x14ac:dyDescent="0.25">
      <c r="A472" s="372" t="s">
        <v>710</v>
      </c>
      <c r="B472" s="373"/>
      <c r="C472" s="354">
        <v>446200</v>
      </c>
      <c r="D472" s="374">
        <v>14500</v>
      </c>
      <c r="E472" s="375"/>
      <c r="F472" s="354">
        <v>460700</v>
      </c>
    </row>
    <row r="473" spans="1:6" ht="31.5" customHeight="1" x14ac:dyDescent="0.25">
      <c r="A473" s="372" t="s">
        <v>711</v>
      </c>
      <c r="B473" s="373"/>
      <c r="C473" s="354">
        <v>446200</v>
      </c>
      <c r="D473" s="374">
        <v>14500</v>
      </c>
      <c r="E473" s="375"/>
      <c r="F473" s="354">
        <v>460700</v>
      </c>
    </row>
    <row r="474" spans="1:6" ht="15.75" customHeight="1" x14ac:dyDescent="0.25">
      <c r="A474" s="372" t="s">
        <v>705</v>
      </c>
      <c r="B474" s="373"/>
      <c r="C474" s="354">
        <v>4000</v>
      </c>
      <c r="D474" s="374">
        <v>0</v>
      </c>
      <c r="E474" s="374"/>
      <c r="F474" s="354">
        <v>4000</v>
      </c>
    </row>
    <row r="475" spans="1:6" ht="15.75" customHeight="1" x14ac:dyDescent="0.25">
      <c r="A475" s="372" t="s">
        <v>842</v>
      </c>
      <c r="B475" s="373"/>
      <c r="C475" s="354">
        <v>4000</v>
      </c>
      <c r="D475" s="374">
        <v>0</v>
      </c>
      <c r="E475" s="374"/>
      <c r="F475" s="354">
        <v>4000</v>
      </c>
    </row>
    <row r="476" spans="1:6" ht="12" customHeight="1" x14ac:dyDescent="0.25"/>
    <row r="477" spans="1:6" ht="15.75" customHeight="1" x14ac:dyDescent="0.25">
      <c r="A477" s="382" t="s">
        <v>893</v>
      </c>
      <c r="B477" s="373"/>
      <c r="C477" s="373"/>
      <c r="D477" s="373"/>
      <c r="E477" s="373"/>
      <c r="F477" s="373"/>
    </row>
    <row r="478" spans="1:6" ht="15.75" customHeight="1" x14ac:dyDescent="0.25">
      <c r="A478" s="382" t="s">
        <v>698</v>
      </c>
      <c r="B478" s="383"/>
      <c r="C478" s="353">
        <v>5000</v>
      </c>
      <c r="D478" s="384">
        <v>0</v>
      </c>
      <c r="E478" s="384"/>
      <c r="F478" s="353">
        <v>5000</v>
      </c>
    </row>
    <row r="479" spans="1:6" ht="15.75" customHeight="1" x14ac:dyDescent="0.25">
      <c r="A479" s="372" t="s">
        <v>710</v>
      </c>
      <c r="B479" s="373"/>
      <c r="C479" s="354">
        <v>5000</v>
      </c>
      <c r="D479" s="374">
        <v>0</v>
      </c>
      <c r="E479" s="374"/>
      <c r="F479" s="354">
        <v>5000</v>
      </c>
    </row>
    <row r="480" spans="1:6" ht="31.5" customHeight="1" x14ac:dyDescent="0.25">
      <c r="A480" s="372" t="s">
        <v>711</v>
      </c>
      <c r="B480" s="373"/>
      <c r="C480" s="354">
        <v>5000</v>
      </c>
      <c r="D480" s="374">
        <v>0</v>
      </c>
      <c r="E480" s="374"/>
      <c r="F480" s="354">
        <v>5000</v>
      </c>
    </row>
    <row r="481" spans="1:6" ht="12.75" customHeight="1" x14ac:dyDescent="0.25"/>
    <row r="482" spans="1:6" ht="15.75" customHeight="1" x14ac:dyDescent="0.25">
      <c r="A482" s="382" t="s">
        <v>894</v>
      </c>
      <c r="B482" s="373"/>
      <c r="C482" s="373"/>
      <c r="D482" s="373"/>
      <c r="E482" s="373"/>
      <c r="F482" s="373"/>
    </row>
    <row r="483" spans="1:6" ht="15.75" customHeight="1" x14ac:dyDescent="0.25">
      <c r="A483" s="382" t="s">
        <v>698</v>
      </c>
      <c r="B483" s="383"/>
      <c r="C483" s="353">
        <v>970131</v>
      </c>
      <c r="D483" s="384">
        <v>0</v>
      </c>
      <c r="E483" s="384"/>
      <c r="F483" s="353">
        <v>970131</v>
      </c>
    </row>
    <row r="484" spans="1:6" ht="15.75" customHeight="1" x14ac:dyDescent="0.25">
      <c r="A484" s="372" t="s">
        <v>699</v>
      </c>
      <c r="B484" s="373"/>
      <c r="C484" s="354">
        <v>489065</v>
      </c>
      <c r="D484" s="374">
        <v>0</v>
      </c>
      <c r="E484" s="374"/>
      <c r="F484" s="354">
        <v>489065</v>
      </c>
    </row>
    <row r="485" spans="1:6" ht="15.75" customHeight="1" x14ac:dyDescent="0.25">
      <c r="A485" s="372" t="s">
        <v>700</v>
      </c>
      <c r="B485" s="373"/>
      <c r="C485" s="354">
        <v>379172</v>
      </c>
      <c r="D485" s="374">
        <v>0</v>
      </c>
      <c r="E485" s="374"/>
      <c r="F485" s="354">
        <v>379172</v>
      </c>
    </row>
    <row r="486" spans="1:6" ht="15.75" customHeight="1" x14ac:dyDescent="0.25">
      <c r="A486" s="372" t="s">
        <v>701</v>
      </c>
      <c r="B486" s="373"/>
      <c r="C486" s="354">
        <v>109893</v>
      </c>
      <c r="D486" s="374">
        <v>0</v>
      </c>
      <c r="E486" s="374"/>
      <c r="F486" s="354">
        <v>109893</v>
      </c>
    </row>
    <row r="487" spans="1:6" ht="15.75" customHeight="1" x14ac:dyDescent="0.25">
      <c r="A487" s="372" t="s">
        <v>702</v>
      </c>
      <c r="B487" s="373"/>
      <c r="C487" s="354">
        <v>280366</v>
      </c>
      <c r="D487" s="374">
        <v>0</v>
      </c>
      <c r="E487" s="374"/>
      <c r="F487" s="354">
        <v>280366</v>
      </c>
    </row>
    <row r="488" spans="1:6" ht="15.75" customHeight="1" x14ac:dyDescent="0.25">
      <c r="A488" s="372" t="s">
        <v>837</v>
      </c>
      <c r="B488" s="373"/>
      <c r="C488" s="354">
        <v>6690</v>
      </c>
      <c r="D488" s="374">
        <v>0</v>
      </c>
      <c r="E488" s="374"/>
      <c r="F488" s="354">
        <v>6690</v>
      </c>
    </row>
    <row r="489" spans="1:6" ht="15.75" customHeight="1" x14ac:dyDescent="0.25">
      <c r="A489" s="372" t="s">
        <v>703</v>
      </c>
      <c r="B489" s="373"/>
      <c r="C489" s="354">
        <v>204120</v>
      </c>
      <c r="D489" s="374">
        <v>0</v>
      </c>
      <c r="E489" s="374"/>
      <c r="F489" s="354">
        <v>204120</v>
      </c>
    </row>
    <row r="490" spans="1:6" ht="31.5" customHeight="1" x14ac:dyDescent="0.25">
      <c r="A490" s="372" t="s">
        <v>704</v>
      </c>
      <c r="B490" s="373"/>
      <c r="C490" s="354">
        <v>61556</v>
      </c>
      <c r="D490" s="374">
        <v>0</v>
      </c>
      <c r="E490" s="374"/>
      <c r="F490" s="354">
        <v>61556</v>
      </c>
    </row>
    <row r="491" spans="1:6" ht="15.75" customHeight="1" x14ac:dyDescent="0.25">
      <c r="A491" s="372" t="s">
        <v>889</v>
      </c>
      <c r="B491" s="373"/>
      <c r="C491" s="354">
        <v>8000</v>
      </c>
      <c r="D491" s="374">
        <v>0</v>
      </c>
      <c r="E491" s="374"/>
      <c r="F491" s="354">
        <v>8000</v>
      </c>
    </row>
    <row r="492" spans="1:6" ht="15.75" customHeight="1" x14ac:dyDescent="0.25">
      <c r="A492" s="372" t="s">
        <v>705</v>
      </c>
      <c r="B492" s="373"/>
      <c r="C492" s="354">
        <v>200700</v>
      </c>
      <c r="D492" s="374">
        <v>0</v>
      </c>
      <c r="E492" s="374"/>
      <c r="F492" s="354">
        <v>200700</v>
      </c>
    </row>
    <row r="493" spans="1:6" ht="15.75" customHeight="1" x14ac:dyDescent="0.25">
      <c r="A493" s="372" t="s">
        <v>842</v>
      </c>
      <c r="B493" s="373"/>
      <c r="C493" s="354">
        <v>700</v>
      </c>
      <c r="D493" s="374">
        <v>0</v>
      </c>
      <c r="E493" s="374"/>
      <c r="F493" s="354">
        <v>700</v>
      </c>
    </row>
    <row r="494" spans="1:6" ht="15.75" customHeight="1" x14ac:dyDescent="0.25">
      <c r="A494" s="372" t="s">
        <v>706</v>
      </c>
      <c r="B494" s="373"/>
      <c r="C494" s="354">
        <v>200000</v>
      </c>
      <c r="D494" s="374">
        <v>0</v>
      </c>
      <c r="E494" s="374"/>
      <c r="F494" s="354">
        <v>200000</v>
      </c>
    </row>
    <row r="495" spans="1:6" ht="12.75" customHeight="1" x14ac:dyDescent="0.25"/>
    <row r="496" spans="1:6" ht="15.75" customHeight="1" x14ac:dyDescent="0.25">
      <c r="A496" s="382" t="s">
        <v>895</v>
      </c>
      <c r="B496" s="373"/>
      <c r="C496" s="373"/>
      <c r="D496" s="373"/>
      <c r="E496" s="373"/>
      <c r="F496" s="373"/>
    </row>
    <row r="497" spans="1:6" ht="15.75" customHeight="1" x14ac:dyDescent="0.25">
      <c r="A497" s="382" t="s">
        <v>698</v>
      </c>
      <c r="B497" s="383"/>
      <c r="C497" s="353">
        <v>9155</v>
      </c>
      <c r="D497" s="384">
        <v>0</v>
      </c>
      <c r="E497" s="384"/>
      <c r="F497" s="353">
        <v>9155</v>
      </c>
    </row>
    <row r="498" spans="1:6" ht="15.75" customHeight="1" x14ac:dyDescent="0.25">
      <c r="A498" s="372" t="s">
        <v>702</v>
      </c>
      <c r="B498" s="373"/>
      <c r="C498" s="354">
        <v>9155</v>
      </c>
      <c r="D498" s="374">
        <v>0</v>
      </c>
      <c r="E498" s="374"/>
      <c r="F498" s="354">
        <v>9155</v>
      </c>
    </row>
    <row r="499" spans="1:6" ht="15.75" customHeight="1" x14ac:dyDescent="0.25">
      <c r="A499" s="372" t="s">
        <v>837</v>
      </c>
      <c r="B499" s="373"/>
      <c r="C499" s="354">
        <v>7309</v>
      </c>
      <c r="D499" s="374">
        <v>0</v>
      </c>
      <c r="E499" s="374"/>
      <c r="F499" s="354">
        <v>7309</v>
      </c>
    </row>
    <row r="500" spans="1:6" ht="15.75" customHeight="1" x14ac:dyDescent="0.25">
      <c r="A500" s="372" t="s">
        <v>703</v>
      </c>
      <c r="B500" s="373"/>
      <c r="C500" s="354">
        <v>1846</v>
      </c>
      <c r="D500" s="374">
        <v>0</v>
      </c>
      <c r="E500" s="374"/>
      <c r="F500" s="354">
        <v>1846</v>
      </c>
    </row>
    <row r="501" spans="1:6" ht="11.25" customHeight="1" x14ac:dyDescent="0.25"/>
    <row r="502" spans="1:6" ht="15.75" customHeight="1" x14ac:dyDescent="0.25">
      <c r="A502" s="382" t="s">
        <v>896</v>
      </c>
      <c r="B502" s="373"/>
      <c r="C502" s="373"/>
      <c r="D502" s="373"/>
      <c r="E502" s="373"/>
      <c r="F502" s="373"/>
    </row>
    <row r="503" spans="1:6" ht="15.75" customHeight="1" x14ac:dyDescent="0.25">
      <c r="A503" s="382" t="s">
        <v>698</v>
      </c>
      <c r="B503" s="383"/>
      <c r="C503" s="353">
        <v>11855</v>
      </c>
      <c r="D503" s="384">
        <v>0</v>
      </c>
      <c r="E503" s="384"/>
      <c r="F503" s="353">
        <v>11855</v>
      </c>
    </row>
    <row r="504" spans="1:6" ht="15.75" customHeight="1" x14ac:dyDescent="0.25">
      <c r="A504" s="372" t="s">
        <v>702</v>
      </c>
      <c r="B504" s="373"/>
      <c r="C504" s="354">
        <v>4000</v>
      </c>
      <c r="D504" s="374">
        <v>0</v>
      </c>
      <c r="E504" s="374"/>
      <c r="F504" s="354">
        <v>4000</v>
      </c>
    </row>
    <row r="505" spans="1:6" ht="15.75" customHeight="1" x14ac:dyDescent="0.25">
      <c r="A505" s="372" t="s">
        <v>703</v>
      </c>
      <c r="B505" s="373"/>
      <c r="C505" s="354">
        <v>3000</v>
      </c>
      <c r="D505" s="374">
        <v>0</v>
      </c>
      <c r="E505" s="374"/>
      <c r="F505" s="354">
        <v>3000</v>
      </c>
    </row>
    <row r="506" spans="1:6" ht="31.5" customHeight="1" x14ac:dyDescent="0.25">
      <c r="A506" s="372" t="s">
        <v>704</v>
      </c>
      <c r="B506" s="373"/>
      <c r="C506" s="354">
        <v>1000</v>
      </c>
      <c r="D506" s="374">
        <v>0</v>
      </c>
      <c r="E506" s="374"/>
      <c r="F506" s="354">
        <v>1000</v>
      </c>
    </row>
    <row r="507" spans="1:6" ht="15.75" customHeight="1" x14ac:dyDescent="0.25">
      <c r="A507" s="372" t="s">
        <v>705</v>
      </c>
      <c r="B507" s="373"/>
      <c r="C507" s="354">
        <v>7855</v>
      </c>
      <c r="D507" s="374">
        <v>0</v>
      </c>
      <c r="E507" s="374"/>
      <c r="F507" s="354">
        <v>7855</v>
      </c>
    </row>
    <row r="508" spans="1:6" ht="15.75" customHeight="1" x14ac:dyDescent="0.25">
      <c r="A508" s="372" t="s">
        <v>842</v>
      </c>
      <c r="B508" s="373"/>
      <c r="C508" s="354">
        <v>7855</v>
      </c>
      <c r="D508" s="374">
        <v>0</v>
      </c>
      <c r="E508" s="374"/>
      <c r="F508" s="354">
        <v>7855</v>
      </c>
    </row>
    <row r="509" spans="1:6" ht="14.25" customHeight="1" x14ac:dyDescent="0.25"/>
    <row r="510" spans="1:6" ht="15.75" customHeight="1" x14ac:dyDescent="0.25">
      <c r="A510" s="382" t="s">
        <v>897</v>
      </c>
      <c r="B510" s="373"/>
      <c r="C510" s="373"/>
      <c r="D510" s="373"/>
      <c r="E510" s="373"/>
      <c r="F510" s="373"/>
    </row>
    <row r="511" spans="1:6" ht="15.75" customHeight="1" x14ac:dyDescent="0.25">
      <c r="A511" s="382" t="s">
        <v>698</v>
      </c>
      <c r="B511" s="383"/>
      <c r="C511" s="353">
        <v>472476</v>
      </c>
      <c r="D511" s="384">
        <v>0</v>
      </c>
      <c r="E511" s="384"/>
      <c r="F511" s="353">
        <v>472476</v>
      </c>
    </row>
    <row r="512" spans="1:6" ht="15.75" customHeight="1" x14ac:dyDescent="0.25">
      <c r="A512" s="372" t="s">
        <v>699</v>
      </c>
      <c r="B512" s="373"/>
      <c r="C512" s="354">
        <v>310783</v>
      </c>
      <c r="D512" s="374">
        <v>0</v>
      </c>
      <c r="E512" s="374"/>
      <c r="F512" s="354">
        <v>310783</v>
      </c>
    </row>
    <row r="513" spans="1:6" ht="15.75" customHeight="1" x14ac:dyDescent="0.25">
      <c r="A513" s="372" t="s">
        <v>700</v>
      </c>
      <c r="B513" s="373"/>
      <c r="C513" s="354">
        <v>241552</v>
      </c>
      <c r="D513" s="374">
        <v>0</v>
      </c>
      <c r="E513" s="374"/>
      <c r="F513" s="354">
        <v>241552</v>
      </c>
    </row>
    <row r="514" spans="1:6" ht="15.75" customHeight="1" x14ac:dyDescent="0.25">
      <c r="A514" s="372" t="s">
        <v>701</v>
      </c>
      <c r="B514" s="373"/>
      <c r="C514" s="354">
        <v>69231</v>
      </c>
      <c r="D514" s="374">
        <v>0</v>
      </c>
      <c r="E514" s="374"/>
      <c r="F514" s="354">
        <v>69231</v>
      </c>
    </row>
    <row r="515" spans="1:6" ht="15.75" customHeight="1" x14ac:dyDescent="0.25">
      <c r="A515" s="372" t="s">
        <v>702</v>
      </c>
      <c r="B515" s="373"/>
      <c r="C515" s="354">
        <v>141168</v>
      </c>
      <c r="D515" s="374">
        <v>0</v>
      </c>
      <c r="E515" s="374"/>
      <c r="F515" s="354">
        <v>141168</v>
      </c>
    </row>
    <row r="516" spans="1:6" ht="15.75" customHeight="1" x14ac:dyDescent="0.25">
      <c r="A516" s="372" t="s">
        <v>837</v>
      </c>
      <c r="B516" s="373"/>
      <c r="C516" s="354">
        <v>8450</v>
      </c>
      <c r="D516" s="374">
        <v>0</v>
      </c>
      <c r="E516" s="374"/>
      <c r="F516" s="354">
        <v>8450</v>
      </c>
    </row>
    <row r="517" spans="1:6" ht="15.75" customHeight="1" x14ac:dyDescent="0.25">
      <c r="A517" s="372" t="s">
        <v>703</v>
      </c>
      <c r="B517" s="373"/>
      <c r="C517" s="354">
        <v>92383</v>
      </c>
      <c r="D517" s="374">
        <v>0</v>
      </c>
      <c r="E517" s="374"/>
      <c r="F517" s="354">
        <v>92383</v>
      </c>
    </row>
    <row r="518" spans="1:6" ht="31.5" customHeight="1" x14ac:dyDescent="0.25">
      <c r="A518" s="372" t="s">
        <v>704</v>
      </c>
      <c r="B518" s="373"/>
      <c r="C518" s="354">
        <v>40320</v>
      </c>
      <c r="D518" s="374">
        <v>0</v>
      </c>
      <c r="E518" s="374"/>
      <c r="F518" s="354">
        <v>40320</v>
      </c>
    </row>
    <row r="519" spans="1:6" ht="15.75" customHeight="1" x14ac:dyDescent="0.25">
      <c r="A519" s="372" t="s">
        <v>839</v>
      </c>
      <c r="B519" s="373"/>
      <c r="C519" s="354">
        <v>15</v>
      </c>
      <c r="D519" s="374">
        <v>0</v>
      </c>
      <c r="E519" s="374"/>
      <c r="F519" s="354">
        <v>15</v>
      </c>
    </row>
    <row r="520" spans="1:6" ht="15.75" customHeight="1" x14ac:dyDescent="0.25">
      <c r="A520" s="372" t="s">
        <v>705</v>
      </c>
      <c r="B520" s="373"/>
      <c r="C520" s="354">
        <v>20525</v>
      </c>
      <c r="D520" s="374">
        <v>0</v>
      </c>
      <c r="E520" s="374"/>
      <c r="F520" s="354">
        <v>20525</v>
      </c>
    </row>
    <row r="521" spans="1:6" ht="15.75" customHeight="1" x14ac:dyDescent="0.25">
      <c r="A521" s="372" t="s">
        <v>842</v>
      </c>
      <c r="B521" s="373"/>
      <c r="C521" s="354">
        <v>1475</v>
      </c>
      <c r="D521" s="374">
        <v>0</v>
      </c>
      <c r="E521" s="374"/>
      <c r="F521" s="354">
        <v>1475</v>
      </c>
    </row>
    <row r="522" spans="1:6" ht="15.75" customHeight="1" x14ac:dyDescent="0.25">
      <c r="A522" s="372" t="s">
        <v>706</v>
      </c>
      <c r="B522" s="373"/>
      <c r="C522" s="354">
        <v>19050</v>
      </c>
      <c r="D522" s="374">
        <v>0</v>
      </c>
      <c r="E522" s="374"/>
      <c r="F522" s="354">
        <v>19050</v>
      </c>
    </row>
    <row r="523" spans="1:6" ht="14.25" customHeight="1" x14ac:dyDescent="0.25"/>
    <row r="524" spans="1:6" ht="15.75" customHeight="1" x14ac:dyDescent="0.25">
      <c r="A524" s="382" t="s">
        <v>898</v>
      </c>
      <c r="B524" s="373"/>
      <c r="C524" s="373"/>
      <c r="D524" s="373"/>
      <c r="E524" s="373"/>
      <c r="F524" s="373"/>
    </row>
    <row r="525" spans="1:6" ht="15.75" customHeight="1" x14ac:dyDescent="0.25">
      <c r="A525" s="382" t="s">
        <v>698</v>
      </c>
      <c r="B525" s="383"/>
      <c r="C525" s="353">
        <v>1606875</v>
      </c>
      <c r="D525" s="384">
        <v>14133</v>
      </c>
      <c r="E525" s="385"/>
      <c r="F525" s="353">
        <v>1621008</v>
      </c>
    </row>
    <row r="526" spans="1:6" ht="15.75" customHeight="1" x14ac:dyDescent="0.25">
      <c r="A526" s="372" t="s">
        <v>699</v>
      </c>
      <c r="B526" s="373"/>
      <c r="C526" s="354">
        <v>745839</v>
      </c>
      <c r="D526" s="374">
        <v>3063</v>
      </c>
      <c r="E526" s="375"/>
      <c r="F526" s="354">
        <v>748902</v>
      </c>
    </row>
    <row r="527" spans="1:6" ht="15.75" customHeight="1" x14ac:dyDescent="0.25">
      <c r="A527" s="372" t="s">
        <v>700</v>
      </c>
      <c r="B527" s="373"/>
      <c r="C527" s="354">
        <v>581592</v>
      </c>
      <c r="D527" s="374">
        <v>2536</v>
      </c>
      <c r="E527" s="375"/>
      <c r="F527" s="354">
        <v>584128</v>
      </c>
    </row>
    <row r="528" spans="1:6" ht="15.75" customHeight="1" x14ac:dyDescent="0.25">
      <c r="A528" s="372" t="s">
        <v>701</v>
      </c>
      <c r="B528" s="373"/>
      <c r="C528" s="354">
        <v>164247</v>
      </c>
      <c r="D528" s="374">
        <v>527</v>
      </c>
      <c r="E528" s="375"/>
      <c r="F528" s="354">
        <v>164774</v>
      </c>
    </row>
    <row r="529" spans="1:6" ht="15.75" customHeight="1" x14ac:dyDescent="0.25">
      <c r="A529" s="372" t="s">
        <v>702</v>
      </c>
      <c r="B529" s="373"/>
      <c r="C529" s="354">
        <v>490192</v>
      </c>
      <c r="D529" s="374">
        <v>10420</v>
      </c>
      <c r="E529" s="375"/>
      <c r="F529" s="354">
        <v>500612</v>
      </c>
    </row>
    <row r="530" spans="1:6" ht="15.75" customHeight="1" x14ac:dyDescent="0.25">
      <c r="A530" s="372" t="s">
        <v>837</v>
      </c>
      <c r="B530" s="373"/>
      <c r="C530" s="354">
        <v>5710</v>
      </c>
      <c r="D530" s="374">
        <v>0</v>
      </c>
      <c r="E530" s="374"/>
      <c r="F530" s="354">
        <v>5710</v>
      </c>
    </row>
    <row r="531" spans="1:6" ht="15.75" customHeight="1" x14ac:dyDescent="0.25">
      <c r="A531" s="372" t="s">
        <v>703</v>
      </c>
      <c r="B531" s="373"/>
      <c r="C531" s="354">
        <v>340582</v>
      </c>
      <c r="D531" s="374">
        <v>9920</v>
      </c>
      <c r="E531" s="375"/>
      <c r="F531" s="354">
        <v>350502</v>
      </c>
    </row>
    <row r="532" spans="1:6" ht="31.5" customHeight="1" x14ac:dyDescent="0.25">
      <c r="A532" s="372" t="s">
        <v>704</v>
      </c>
      <c r="B532" s="373"/>
      <c r="C532" s="354">
        <v>123100</v>
      </c>
      <c r="D532" s="374">
        <v>500</v>
      </c>
      <c r="E532" s="375"/>
      <c r="F532" s="354">
        <v>123600</v>
      </c>
    </row>
    <row r="533" spans="1:6" ht="15.75" customHeight="1" x14ac:dyDescent="0.25">
      <c r="A533" s="372" t="s">
        <v>839</v>
      </c>
      <c r="B533" s="373"/>
      <c r="C533" s="354">
        <v>20800</v>
      </c>
      <c r="D533" s="374">
        <v>0</v>
      </c>
      <c r="E533" s="374"/>
      <c r="F533" s="354">
        <v>20800</v>
      </c>
    </row>
    <row r="534" spans="1:6" ht="15.75" customHeight="1" x14ac:dyDescent="0.25">
      <c r="A534" s="372" t="s">
        <v>705</v>
      </c>
      <c r="B534" s="373"/>
      <c r="C534" s="354">
        <v>370844</v>
      </c>
      <c r="D534" s="374">
        <v>650</v>
      </c>
      <c r="E534" s="375"/>
      <c r="F534" s="354">
        <v>371494</v>
      </c>
    </row>
    <row r="535" spans="1:6" ht="15.75" customHeight="1" x14ac:dyDescent="0.25">
      <c r="A535" s="372" t="s">
        <v>842</v>
      </c>
      <c r="B535" s="373"/>
      <c r="C535" s="354">
        <v>34336</v>
      </c>
      <c r="D535" s="374">
        <v>650</v>
      </c>
      <c r="E535" s="375"/>
      <c r="F535" s="354">
        <v>34986</v>
      </c>
    </row>
    <row r="536" spans="1:6" ht="15.75" customHeight="1" x14ac:dyDescent="0.25">
      <c r="A536" s="372" t="s">
        <v>706</v>
      </c>
      <c r="B536" s="373"/>
      <c r="C536" s="354">
        <v>336508</v>
      </c>
      <c r="D536" s="374">
        <v>0</v>
      </c>
      <c r="E536" s="374"/>
      <c r="F536" s="354">
        <v>336508</v>
      </c>
    </row>
    <row r="537" spans="1:6" ht="14.25" customHeight="1" x14ac:dyDescent="0.25"/>
    <row r="538" spans="1:6" ht="15.75" customHeight="1" x14ac:dyDescent="0.25">
      <c r="A538" s="382" t="s">
        <v>899</v>
      </c>
      <c r="B538" s="373"/>
      <c r="C538" s="373"/>
      <c r="D538" s="373"/>
      <c r="E538" s="373"/>
      <c r="F538" s="373"/>
    </row>
    <row r="539" spans="1:6" ht="15.75" customHeight="1" x14ac:dyDescent="0.25">
      <c r="A539" s="382" t="s">
        <v>698</v>
      </c>
      <c r="B539" s="383"/>
      <c r="C539" s="353">
        <v>644325</v>
      </c>
      <c r="D539" s="384">
        <v>0</v>
      </c>
      <c r="E539" s="384"/>
      <c r="F539" s="353">
        <v>644325</v>
      </c>
    </row>
    <row r="540" spans="1:6" ht="15.75" customHeight="1" x14ac:dyDescent="0.25">
      <c r="A540" s="372" t="s">
        <v>699</v>
      </c>
      <c r="B540" s="373"/>
      <c r="C540" s="354">
        <v>89254</v>
      </c>
      <c r="D540" s="374">
        <v>0</v>
      </c>
      <c r="E540" s="374"/>
      <c r="F540" s="354">
        <v>89254</v>
      </c>
    </row>
    <row r="541" spans="1:6" ht="15.75" customHeight="1" x14ac:dyDescent="0.25">
      <c r="A541" s="372" t="s">
        <v>700</v>
      </c>
      <c r="B541" s="373"/>
      <c r="C541" s="354">
        <v>85536</v>
      </c>
      <c r="D541" s="374">
        <v>0</v>
      </c>
      <c r="E541" s="374"/>
      <c r="F541" s="354">
        <v>85536</v>
      </c>
    </row>
    <row r="542" spans="1:6" ht="15.75" customHeight="1" x14ac:dyDescent="0.25">
      <c r="A542" s="372" t="s">
        <v>701</v>
      </c>
      <c r="B542" s="373"/>
      <c r="C542" s="354">
        <v>3718</v>
      </c>
      <c r="D542" s="374">
        <v>0</v>
      </c>
      <c r="E542" s="374"/>
      <c r="F542" s="354">
        <v>3718</v>
      </c>
    </row>
    <row r="543" spans="1:6" ht="15.75" customHeight="1" x14ac:dyDescent="0.25">
      <c r="A543" s="372" t="s">
        <v>702</v>
      </c>
      <c r="B543" s="373"/>
      <c r="C543" s="354">
        <v>543071</v>
      </c>
      <c r="D543" s="374">
        <v>0</v>
      </c>
      <c r="E543" s="374"/>
      <c r="F543" s="354">
        <v>543071</v>
      </c>
    </row>
    <row r="544" spans="1:6" ht="15.75" customHeight="1" x14ac:dyDescent="0.25">
      <c r="A544" s="372" t="s">
        <v>703</v>
      </c>
      <c r="B544" s="373"/>
      <c r="C544" s="354">
        <v>427330</v>
      </c>
      <c r="D544" s="374">
        <v>0</v>
      </c>
      <c r="E544" s="374"/>
      <c r="F544" s="354">
        <v>427330</v>
      </c>
    </row>
    <row r="545" spans="1:6" ht="31.5" customHeight="1" x14ac:dyDescent="0.25">
      <c r="A545" s="372" t="s">
        <v>704</v>
      </c>
      <c r="B545" s="373"/>
      <c r="C545" s="354">
        <v>68741</v>
      </c>
      <c r="D545" s="374">
        <v>0</v>
      </c>
      <c r="E545" s="374"/>
      <c r="F545" s="354">
        <v>68741</v>
      </c>
    </row>
    <row r="546" spans="1:6" ht="15.75" customHeight="1" x14ac:dyDescent="0.25">
      <c r="A546" s="372" t="s">
        <v>839</v>
      </c>
      <c r="B546" s="373"/>
      <c r="C546" s="354">
        <v>47000</v>
      </c>
      <c r="D546" s="374">
        <v>0</v>
      </c>
      <c r="E546" s="374"/>
      <c r="F546" s="354">
        <v>47000</v>
      </c>
    </row>
    <row r="547" spans="1:6" ht="15.75" customHeight="1" x14ac:dyDescent="0.25">
      <c r="A547" s="372" t="s">
        <v>705</v>
      </c>
      <c r="B547" s="373"/>
      <c r="C547" s="354">
        <v>12000</v>
      </c>
      <c r="D547" s="374">
        <v>0</v>
      </c>
      <c r="E547" s="374"/>
      <c r="F547" s="354">
        <v>12000</v>
      </c>
    </row>
    <row r="548" spans="1:6" ht="15.75" customHeight="1" x14ac:dyDescent="0.25">
      <c r="A548" s="372" t="s">
        <v>842</v>
      </c>
      <c r="B548" s="373"/>
      <c r="C548" s="354">
        <v>6000</v>
      </c>
      <c r="D548" s="374">
        <v>0</v>
      </c>
      <c r="E548" s="374"/>
      <c r="F548" s="354">
        <v>6000</v>
      </c>
    </row>
    <row r="549" spans="1:6" ht="15.75" customHeight="1" x14ac:dyDescent="0.25">
      <c r="A549" s="372" t="s">
        <v>706</v>
      </c>
      <c r="B549" s="373"/>
      <c r="C549" s="354">
        <v>6000</v>
      </c>
      <c r="D549" s="374">
        <v>0</v>
      </c>
      <c r="E549" s="374"/>
      <c r="F549" s="354">
        <v>6000</v>
      </c>
    </row>
    <row r="550" spans="1:6" ht="14.25" customHeight="1" x14ac:dyDescent="0.25"/>
    <row r="551" spans="1:6" ht="15.75" customHeight="1" x14ac:dyDescent="0.25">
      <c r="A551" s="382" t="s">
        <v>900</v>
      </c>
      <c r="B551" s="373"/>
      <c r="C551" s="373"/>
      <c r="D551" s="373"/>
      <c r="E551" s="373"/>
      <c r="F551" s="373"/>
    </row>
    <row r="552" spans="1:6" ht="15.75" customHeight="1" x14ac:dyDescent="0.25">
      <c r="A552" s="382" t="s">
        <v>698</v>
      </c>
      <c r="B552" s="383"/>
      <c r="C552" s="353">
        <v>102615</v>
      </c>
      <c r="D552" s="384">
        <v>0</v>
      </c>
      <c r="E552" s="384"/>
      <c r="F552" s="353">
        <v>102615</v>
      </c>
    </row>
    <row r="553" spans="1:6" ht="15.75" customHeight="1" x14ac:dyDescent="0.25">
      <c r="A553" s="372" t="s">
        <v>699</v>
      </c>
      <c r="B553" s="373"/>
      <c r="C553" s="354">
        <v>99060</v>
      </c>
      <c r="D553" s="374">
        <v>0</v>
      </c>
      <c r="E553" s="374"/>
      <c r="F553" s="354">
        <v>99060</v>
      </c>
    </row>
    <row r="554" spans="1:6" ht="15.75" customHeight="1" x14ac:dyDescent="0.25">
      <c r="A554" s="372" t="s">
        <v>700</v>
      </c>
      <c r="B554" s="373"/>
      <c r="C554" s="354">
        <v>78438</v>
      </c>
      <c r="D554" s="374">
        <v>0</v>
      </c>
      <c r="E554" s="374"/>
      <c r="F554" s="354">
        <v>78438</v>
      </c>
    </row>
    <row r="555" spans="1:6" ht="15.75" customHeight="1" x14ac:dyDescent="0.25">
      <c r="A555" s="372" t="s">
        <v>701</v>
      </c>
      <c r="B555" s="373"/>
      <c r="C555" s="354">
        <v>20622</v>
      </c>
      <c r="D555" s="374">
        <v>0</v>
      </c>
      <c r="E555" s="374"/>
      <c r="F555" s="354">
        <v>20622</v>
      </c>
    </row>
    <row r="556" spans="1:6" ht="15.75" customHeight="1" x14ac:dyDescent="0.25">
      <c r="A556" s="372" t="s">
        <v>702</v>
      </c>
      <c r="B556" s="373"/>
      <c r="C556" s="354">
        <v>3555</v>
      </c>
      <c r="D556" s="374">
        <v>0</v>
      </c>
      <c r="E556" s="374"/>
      <c r="F556" s="354">
        <v>3555</v>
      </c>
    </row>
    <row r="557" spans="1:6" ht="15.75" customHeight="1" x14ac:dyDescent="0.25">
      <c r="A557" s="372" t="s">
        <v>703</v>
      </c>
      <c r="B557" s="373"/>
      <c r="C557" s="354">
        <v>3555</v>
      </c>
      <c r="D557" s="374">
        <v>0</v>
      </c>
      <c r="E557" s="374"/>
      <c r="F557" s="354">
        <v>3555</v>
      </c>
    </row>
    <row r="558" spans="1:6" ht="14.25" customHeight="1" x14ac:dyDescent="0.25"/>
    <row r="559" spans="1:6" ht="15.75" customHeight="1" x14ac:dyDescent="0.25">
      <c r="A559" s="382" t="s">
        <v>901</v>
      </c>
      <c r="B559" s="373"/>
      <c r="C559" s="373"/>
      <c r="D559" s="373"/>
      <c r="E559" s="373"/>
      <c r="F559" s="373"/>
    </row>
    <row r="560" spans="1:6" ht="15.75" customHeight="1" x14ac:dyDescent="0.25">
      <c r="A560" s="382" t="s">
        <v>698</v>
      </c>
      <c r="B560" s="383"/>
      <c r="C560" s="353">
        <v>86081</v>
      </c>
      <c r="D560" s="384">
        <v>0</v>
      </c>
      <c r="E560" s="384"/>
      <c r="F560" s="353">
        <v>86081</v>
      </c>
    </row>
    <row r="561" spans="1:6" ht="15.75" customHeight="1" x14ac:dyDescent="0.25">
      <c r="A561" s="372" t="s">
        <v>699</v>
      </c>
      <c r="B561" s="373"/>
      <c r="C561" s="354">
        <v>71726</v>
      </c>
      <c r="D561" s="374">
        <v>0</v>
      </c>
      <c r="E561" s="374"/>
      <c r="F561" s="354">
        <v>71726</v>
      </c>
    </row>
    <row r="562" spans="1:6" ht="15.75" customHeight="1" x14ac:dyDescent="0.25">
      <c r="A562" s="372" t="s">
        <v>700</v>
      </c>
      <c r="B562" s="373"/>
      <c r="C562" s="354">
        <v>56029</v>
      </c>
      <c r="D562" s="374">
        <v>0</v>
      </c>
      <c r="E562" s="374"/>
      <c r="F562" s="354">
        <v>56029</v>
      </c>
    </row>
    <row r="563" spans="1:6" ht="15.75" customHeight="1" x14ac:dyDescent="0.25">
      <c r="A563" s="372" t="s">
        <v>701</v>
      </c>
      <c r="B563" s="373"/>
      <c r="C563" s="354">
        <v>15697</v>
      </c>
      <c r="D563" s="374">
        <v>0</v>
      </c>
      <c r="E563" s="374"/>
      <c r="F563" s="354">
        <v>15697</v>
      </c>
    </row>
    <row r="564" spans="1:6" ht="15.75" customHeight="1" x14ac:dyDescent="0.25">
      <c r="A564" s="372" t="s">
        <v>702</v>
      </c>
      <c r="B564" s="373"/>
      <c r="C564" s="354">
        <v>14355</v>
      </c>
      <c r="D564" s="374">
        <v>0</v>
      </c>
      <c r="E564" s="374"/>
      <c r="F564" s="354">
        <v>14355</v>
      </c>
    </row>
    <row r="565" spans="1:6" ht="15.75" customHeight="1" x14ac:dyDescent="0.25">
      <c r="A565" s="372" t="s">
        <v>703</v>
      </c>
      <c r="B565" s="373"/>
      <c r="C565" s="354">
        <v>11550</v>
      </c>
      <c r="D565" s="374">
        <v>0</v>
      </c>
      <c r="E565" s="374"/>
      <c r="F565" s="354">
        <v>11550</v>
      </c>
    </row>
    <row r="566" spans="1:6" ht="31.5" customHeight="1" x14ac:dyDescent="0.25">
      <c r="A566" s="372" t="s">
        <v>704</v>
      </c>
      <c r="B566" s="373"/>
      <c r="C566" s="354">
        <v>2805</v>
      </c>
      <c r="D566" s="374">
        <v>0</v>
      </c>
      <c r="E566" s="374"/>
      <c r="F566" s="354">
        <v>2805</v>
      </c>
    </row>
    <row r="567" spans="1:6" ht="14.25" customHeight="1" x14ac:dyDescent="0.25"/>
    <row r="568" spans="1:6" ht="15.75" customHeight="1" x14ac:dyDescent="0.25">
      <c r="A568" s="382" t="s">
        <v>902</v>
      </c>
      <c r="B568" s="373"/>
      <c r="C568" s="373"/>
      <c r="D568" s="373"/>
      <c r="E568" s="373"/>
      <c r="F568" s="373"/>
    </row>
    <row r="569" spans="1:6" ht="15.75" customHeight="1" x14ac:dyDescent="0.25">
      <c r="A569" s="382" t="s">
        <v>698</v>
      </c>
      <c r="B569" s="383"/>
      <c r="C569" s="353">
        <v>15956</v>
      </c>
      <c r="D569" s="384">
        <v>0</v>
      </c>
      <c r="E569" s="384"/>
      <c r="F569" s="353">
        <v>15956</v>
      </c>
    </row>
    <row r="570" spans="1:6" ht="15.75" customHeight="1" x14ac:dyDescent="0.25">
      <c r="A570" s="372" t="s">
        <v>699</v>
      </c>
      <c r="B570" s="373"/>
      <c r="C570" s="354">
        <v>14245</v>
      </c>
      <c r="D570" s="374">
        <v>0</v>
      </c>
      <c r="E570" s="374"/>
      <c r="F570" s="354">
        <v>14245</v>
      </c>
    </row>
    <row r="571" spans="1:6" ht="15.75" customHeight="1" x14ac:dyDescent="0.25">
      <c r="A571" s="372" t="s">
        <v>700</v>
      </c>
      <c r="B571" s="373"/>
      <c r="C571" s="354">
        <v>11341</v>
      </c>
      <c r="D571" s="374">
        <v>0</v>
      </c>
      <c r="E571" s="374"/>
      <c r="F571" s="354">
        <v>11341</v>
      </c>
    </row>
    <row r="572" spans="1:6" ht="15.75" customHeight="1" x14ac:dyDescent="0.25">
      <c r="A572" s="372" t="s">
        <v>701</v>
      </c>
      <c r="B572" s="373"/>
      <c r="C572" s="354">
        <v>2904</v>
      </c>
      <c r="D572" s="374">
        <v>0</v>
      </c>
      <c r="E572" s="374"/>
      <c r="F572" s="354">
        <v>2904</v>
      </c>
    </row>
    <row r="573" spans="1:6" ht="15.75" customHeight="1" x14ac:dyDescent="0.25">
      <c r="A573" s="372" t="s">
        <v>702</v>
      </c>
      <c r="B573" s="373"/>
      <c r="C573" s="354">
        <v>1711</v>
      </c>
      <c r="D573" s="374">
        <v>0</v>
      </c>
      <c r="E573" s="374"/>
      <c r="F573" s="354">
        <v>1711</v>
      </c>
    </row>
    <row r="574" spans="1:6" ht="15.75" customHeight="1" x14ac:dyDescent="0.25">
      <c r="A574" s="372" t="s">
        <v>703</v>
      </c>
      <c r="B574" s="373"/>
      <c r="C574" s="354">
        <v>516</v>
      </c>
      <c r="D574" s="374">
        <v>0</v>
      </c>
      <c r="E574" s="374"/>
      <c r="F574" s="354">
        <v>516</v>
      </c>
    </row>
    <row r="575" spans="1:6" ht="31.5" customHeight="1" x14ac:dyDescent="0.25">
      <c r="A575" s="372" t="s">
        <v>704</v>
      </c>
      <c r="B575" s="373"/>
      <c r="C575" s="354">
        <v>1195</v>
      </c>
      <c r="D575" s="374">
        <v>0</v>
      </c>
      <c r="E575" s="374"/>
      <c r="F575" s="354">
        <v>1195</v>
      </c>
    </row>
    <row r="576" spans="1:6" ht="14.25" customHeight="1" x14ac:dyDescent="0.25"/>
    <row r="577" spans="1:6" ht="15.75" customHeight="1" x14ac:dyDescent="0.25">
      <c r="A577" s="382" t="s">
        <v>903</v>
      </c>
      <c r="B577" s="373"/>
      <c r="C577" s="373"/>
      <c r="D577" s="373"/>
      <c r="E577" s="373"/>
      <c r="F577" s="373"/>
    </row>
    <row r="578" spans="1:6" ht="15.75" customHeight="1" x14ac:dyDescent="0.25">
      <c r="A578" s="382" t="s">
        <v>698</v>
      </c>
      <c r="B578" s="383"/>
      <c r="C578" s="353">
        <v>401854</v>
      </c>
      <c r="D578" s="384">
        <v>0</v>
      </c>
      <c r="E578" s="384"/>
      <c r="F578" s="353">
        <v>401854</v>
      </c>
    </row>
    <row r="579" spans="1:6" ht="15.75" customHeight="1" x14ac:dyDescent="0.25">
      <c r="A579" s="372" t="s">
        <v>699</v>
      </c>
      <c r="B579" s="373"/>
      <c r="C579" s="354">
        <v>318172</v>
      </c>
      <c r="D579" s="374">
        <v>0</v>
      </c>
      <c r="E579" s="374"/>
      <c r="F579" s="354">
        <v>318172</v>
      </c>
    </row>
    <row r="580" spans="1:6" ht="15.75" customHeight="1" x14ac:dyDescent="0.25">
      <c r="A580" s="372" t="s">
        <v>700</v>
      </c>
      <c r="B580" s="373"/>
      <c r="C580" s="354">
        <v>248192</v>
      </c>
      <c r="D580" s="374">
        <v>0</v>
      </c>
      <c r="E580" s="374"/>
      <c r="F580" s="354">
        <v>248192</v>
      </c>
    </row>
    <row r="581" spans="1:6" ht="15.75" customHeight="1" x14ac:dyDescent="0.25">
      <c r="A581" s="372" t="s">
        <v>701</v>
      </c>
      <c r="B581" s="373"/>
      <c r="C581" s="354">
        <v>69980</v>
      </c>
      <c r="D581" s="374">
        <v>0</v>
      </c>
      <c r="E581" s="374"/>
      <c r="F581" s="354">
        <v>69980</v>
      </c>
    </row>
    <row r="582" spans="1:6" ht="15.75" customHeight="1" x14ac:dyDescent="0.25">
      <c r="A582" s="372" t="s">
        <v>702</v>
      </c>
      <c r="B582" s="373"/>
      <c r="C582" s="354">
        <v>67976</v>
      </c>
      <c r="D582" s="374">
        <v>0</v>
      </c>
      <c r="E582" s="374"/>
      <c r="F582" s="354">
        <v>67976</v>
      </c>
    </row>
    <row r="583" spans="1:6" ht="15.75" customHeight="1" x14ac:dyDescent="0.25">
      <c r="A583" s="372" t="s">
        <v>703</v>
      </c>
      <c r="B583" s="373"/>
      <c r="C583" s="354">
        <v>38534</v>
      </c>
      <c r="D583" s="374">
        <v>0</v>
      </c>
      <c r="E583" s="374"/>
      <c r="F583" s="354">
        <v>38534</v>
      </c>
    </row>
    <row r="584" spans="1:6" ht="31.5" customHeight="1" x14ac:dyDescent="0.25">
      <c r="A584" s="372" t="s">
        <v>704</v>
      </c>
      <c r="B584" s="373"/>
      <c r="C584" s="354">
        <v>29442</v>
      </c>
      <c r="D584" s="374">
        <v>0</v>
      </c>
      <c r="E584" s="374"/>
      <c r="F584" s="354">
        <v>29442</v>
      </c>
    </row>
    <row r="585" spans="1:6" ht="15.75" customHeight="1" x14ac:dyDescent="0.25">
      <c r="A585" s="372" t="s">
        <v>710</v>
      </c>
      <c r="B585" s="373"/>
      <c r="C585" s="354">
        <v>350</v>
      </c>
      <c r="D585" s="374">
        <v>0</v>
      </c>
      <c r="E585" s="374"/>
      <c r="F585" s="354">
        <v>350</v>
      </c>
    </row>
    <row r="586" spans="1:6" ht="31.5" customHeight="1" x14ac:dyDescent="0.25">
      <c r="A586" s="372" t="s">
        <v>711</v>
      </c>
      <c r="B586" s="373"/>
      <c r="C586" s="354">
        <v>350</v>
      </c>
      <c r="D586" s="374">
        <v>0</v>
      </c>
      <c r="E586" s="374"/>
      <c r="F586" s="354">
        <v>350</v>
      </c>
    </row>
    <row r="587" spans="1:6" ht="15.75" customHeight="1" x14ac:dyDescent="0.25">
      <c r="A587" s="372" t="s">
        <v>705</v>
      </c>
      <c r="B587" s="373"/>
      <c r="C587" s="354">
        <v>1000</v>
      </c>
      <c r="D587" s="374">
        <v>0</v>
      </c>
      <c r="E587" s="374"/>
      <c r="F587" s="354">
        <v>1000</v>
      </c>
    </row>
    <row r="588" spans="1:6" ht="15.75" customHeight="1" x14ac:dyDescent="0.25">
      <c r="A588" s="372" t="s">
        <v>842</v>
      </c>
      <c r="B588" s="373"/>
      <c r="C588" s="354">
        <v>670</v>
      </c>
      <c r="D588" s="374">
        <v>0</v>
      </c>
      <c r="E588" s="374"/>
      <c r="F588" s="354">
        <v>670</v>
      </c>
    </row>
    <row r="589" spans="1:6" ht="15.75" customHeight="1" x14ac:dyDescent="0.25">
      <c r="A589" s="372" t="s">
        <v>706</v>
      </c>
      <c r="B589" s="373"/>
      <c r="C589" s="354">
        <v>330</v>
      </c>
      <c r="D589" s="374">
        <v>0</v>
      </c>
      <c r="E589" s="374"/>
      <c r="F589" s="354">
        <v>330</v>
      </c>
    </row>
    <row r="590" spans="1:6" ht="31.5" customHeight="1" x14ac:dyDescent="0.25">
      <c r="A590" s="372" t="s">
        <v>843</v>
      </c>
      <c r="B590" s="373"/>
      <c r="C590" s="354">
        <v>14356</v>
      </c>
      <c r="D590" s="374">
        <v>0</v>
      </c>
      <c r="E590" s="374"/>
      <c r="F590" s="354">
        <v>14356</v>
      </c>
    </row>
    <row r="591" spans="1:6" ht="15.75" customHeight="1" x14ac:dyDescent="0.25">
      <c r="A591" s="372" t="s">
        <v>844</v>
      </c>
      <c r="B591" s="373"/>
      <c r="C591" s="354">
        <v>14356</v>
      </c>
      <c r="D591" s="374">
        <v>0</v>
      </c>
      <c r="E591" s="374"/>
      <c r="F591" s="354">
        <v>14356</v>
      </c>
    </row>
    <row r="592" spans="1:6" ht="14.25" customHeight="1" x14ac:dyDescent="0.25"/>
    <row r="593" spans="1:6" ht="15.75" customHeight="1" x14ac:dyDescent="0.25">
      <c r="A593" s="382" t="s">
        <v>904</v>
      </c>
      <c r="B593" s="373"/>
      <c r="C593" s="373"/>
      <c r="D593" s="373"/>
      <c r="E593" s="373"/>
      <c r="F593" s="373"/>
    </row>
    <row r="594" spans="1:6" ht="15.75" customHeight="1" x14ac:dyDescent="0.25">
      <c r="A594" s="382" t="s">
        <v>698</v>
      </c>
      <c r="B594" s="383"/>
      <c r="C594" s="353">
        <v>574193</v>
      </c>
      <c r="D594" s="384">
        <v>0</v>
      </c>
      <c r="E594" s="384"/>
      <c r="F594" s="353">
        <v>574193</v>
      </c>
    </row>
    <row r="595" spans="1:6" ht="15.75" customHeight="1" x14ac:dyDescent="0.25">
      <c r="A595" s="372" t="s">
        <v>699</v>
      </c>
      <c r="B595" s="373"/>
      <c r="C595" s="354">
        <v>99794</v>
      </c>
      <c r="D595" s="374">
        <v>0</v>
      </c>
      <c r="E595" s="374"/>
      <c r="F595" s="354">
        <v>99794</v>
      </c>
    </row>
    <row r="596" spans="1:6" ht="15.75" customHeight="1" x14ac:dyDescent="0.25">
      <c r="A596" s="372" t="s">
        <v>700</v>
      </c>
      <c r="B596" s="373"/>
      <c r="C596" s="354">
        <v>87007</v>
      </c>
      <c r="D596" s="374">
        <v>0</v>
      </c>
      <c r="E596" s="374"/>
      <c r="F596" s="354">
        <v>87007</v>
      </c>
    </row>
    <row r="597" spans="1:6" ht="15.75" customHeight="1" x14ac:dyDescent="0.25">
      <c r="A597" s="372" t="s">
        <v>701</v>
      </c>
      <c r="B597" s="373"/>
      <c r="C597" s="354">
        <v>12787</v>
      </c>
      <c r="D597" s="374">
        <v>0</v>
      </c>
      <c r="E597" s="374"/>
      <c r="F597" s="354">
        <v>12787</v>
      </c>
    </row>
    <row r="598" spans="1:6" ht="15.75" customHeight="1" x14ac:dyDescent="0.25">
      <c r="A598" s="372" t="s">
        <v>702</v>
      </c>
      <c r="B598" s="373"/>
      <c r="C598" s="354">
        <v>409279</v>
      </c>
      <c r="D598" s="374">
        <v>0</v>
      </c>
      <c r="E598" s="374"/>
      <c r="F598" s="354">
        <v>409279</v>
      </c>
    </row>
    <row r="599" spans="1:6" ht="15.75" customHeight="1" x14ac:dyDescent="0.25">
      <c r="A599" s="372" t="s">
        <v>703</v>
      </c>
      <c r="B599" s="373"/>
      <c r="C599" s="354">
        <v>299600</v>
      </c>
      <c r="D599" s="374">
        <v>0</v>
      </c>
      <c r="E599" s="374"/>
      <c r="F599" s="354">
        <v>299600</v>
      </c>
    </row>
    <row r="600" spans="1:6" ht="31.5" customHeight="1" x14ac:dyDescent="0.25">
      <c r="A600" s="372" t="s">
        <v>704</v>
      </c>
      <c r="B600" s="373"/>
      <c r="C600" s="354">
        <v>109679</v>
      </c>
      <c r="D600" s="374">
        <v>0</v>
      </c>
      <c r="E600" s="374"/>
      <c r="F600" s="354">
        <v>109679</v>
      </c>
    </row>
    <row r="601" spans="1:6" ht="15.75" customHeight="1" x14ac:dyDescent="0.25">
      <c r="A601" s="372" t="s">
        <v>710</v>
      </c>
      <c r="B601" s="373"/>
      <c r="C601" s="354">
        <v>6500</v>
      </c>
      <c r="D601" s="374">
        <v>0</v>
      </c>
      <c r="E601" s="374"/>
      <c r="F601" s="354">
        <v>6500</v>
      </c>
    </row>
    <row r="602" spans="1:6" ht="31.5" customHeight="1" x14ac:dyDescent="0.25">
      <c r="A602" s="372" t="s">
        <v>711</v>
      </c>
      <c r="B602" s="373"/>
      <c r="C602" s="354">
        <v>6500</v>
      </c>
      <c r="D602" s="374">
        <v>0</v>
      </c>
      <c r="E602" s="374"/>
      <c r="F602" s="354">
        <v>6500</v>
      </c>
    </row>
    <row r="603" spans="1:6" ht="15.75" customHeight="1" x14ac:dyDescent="0.25">
      <c r="A603" s="372" t="s">
        <v>705</v>
      </c>
      <c r="B603" s="373"/>
      <c r="C603" s="354">
        <v>58620</v>
      </c>
      <c r="D603" s="374">
        <v>0</v>
      </c>
      <c r="E603" s="374"/>
      <c r="F603" s="354">
        <v>58620</v>
      </c>
    </row>
    <row r="604" spans="1:6" ht="15.75" customHeight="1" x14ac:dyDescent="0.25">
      <c r="A604" s="372" t="s">
        <v>842</v>
      </c>
      <c r="B604" s="373"/>
      <c r="C604" s="354">
        <v>51120</v>
      </c>
      <c r="D604" s="374">
        <v>0</v>
      </c>
      <c r="E604" s="374"/>
      <c r="F604" s="354">
        <v>51120</v>
      </c>
    </row>
    <row r="605" spans="1:6" ht="15.75" customHeight="1" x14ac:dyDescent="0.25">
      <c r="A605" s="372" t="s">
        <v>706</v>
      </c>
      <c r="B605" s="373"/>
      <c r="C605" s="354">
        <v>7500</v>
      </c>
      <c r="D605" s="374">
        <v>0</v>
      </c>
      <c r="E605" s="374"/>
      <c r="F605" s="354">
        <v>7500</v>
      </c>
    </row>
    <row r="606" spans="1:6" ht="14.25" customHeight="1" x14ac:dyDescent="0.25"/>
    <row r="607" spans="1:6" ht="15.75" customHeight="1" x14ac:dyDescent="0.25">
      <c r="A607" s="382" t="s">
        <v>905</v>
      </c>
      <c r="B607" s="373"/>
      <c r="C607" s="373"/>
      <c r="D607" s="373"/>
      <c r="E607" s="373"/>
      <c r="F607" s="373"/>
    </row>
    <row r="608" spans="1:6" ht="15.75" customHeight="1" x14ac:dyDescent="0.25">
      <c r="A608" s="382" t="s">
        <v>698</v>
      </c>
      <c r="B608" s="383"/>
      <c r="C608" s="353">
        <v>373025</v>
      </c>
      <c r="D608" s="384">
        <v>7047</v>
      </c>
      <c r="E608" s="385"/>
      <c r="F608" s="353">
        <v>380072</v>
      </c>
    </row>
    <row r="609" spans="1:6" ht="15.75" customHeight="1" x14ac:dyDescent="0.25">
      <c r="A609" s="372" t="s">
        <v>699</v>
      </c>
      <c r="B609" s="373"/>
      <c r="C609" s="354">
        <v>176202</v>
      </c>
      <c r="D609" s="374">
        <v>0</v>
      </c>
      <c r="E609" s="374"/>
      <c r="F609" s="354">
        <v>176202</v>
      </c>
    </row>
    <row r="610" spans="1:6" ht="15.75" customHeight="1" x14ac:dyDescent="0.25">
      <c r="A610" s="372" t="s">
        <v>700</v>
      </c>
      <c r="B610" s="373"/>
      <c r="C610" s="354">
        <v>136497</v>
      </c>
      <c r="D610" s="374">
        <v>0</v>
      </c>
      <c r="E610" s="374"/>
      <c r="F610" s="354">
        <v>136497</v>
      </c>
    </row>
    <row r="611" spans="1:6" ht="15.75" customHeight="1" x14ac:dyDescent="0.25">
      <c r="A611" s="372" t="s">
        <v>701</v>
      </c>
      <c r="B611" s="373"/>
      <c r="C611" s="354">
        <v>39705</v>
      </c>
      <c r="D611" s="374">
        <v>0</v>
      </c>
      <c r="E611" s="374"/>
      <c r="F611" s="354">
        <v>39705</v>
      </c>
    </row>
    <row r="612" spans="1:6" ht="15.75" customHeight="1" x14ac:dyDescent="0.25">
      <c r="A612" s="372" t="s">
        <v>702</v>
      </c>
      <c r="B612" s="373"/>
      <c r="C612" s="354">
        <v>194323</v>
      </c>
      <c r="D612" s="374">
        <v>7047</v>
      </c>
      <c r="E612" s="375"/>
      <c r="F612" s="354">
        <v>201370</v>
      </c>
    </row>
    <row r="613" spans="1:6" ht="15.75" customHeight="1" x14ac:dyDescent="0.25">
      <c r="A613" s="372" t="s">
        <v>837</v>
      </c>
      <c r="B613" s="373"/>
      <c r="C613" s="354">
        <v>1796</v>
      </c>
      <c r="D613" s="374">
        <v>0</v>
      </c>
      <c r="E613" s="374"/>
      <c r="F613" s="354">
        <v>1796</v>
      </c>
    </row>
    <row r="614" spans="1:6" ht="15.75" customHeight="1" x14ac:dyDescent="0.25">
      <c r="A614" s="372" t="s">
        <v>703</v>
      </c>
      <c r="B614" s="373"/>
      <c r="C614" s="354">
        <v>100730</v>
      </c>
      <c r="D614" s="374">
        <v>7047</v>
      </c>
      <c r="E614" s="375"/>
      <c r="F614" s="354">
        <v>107777</v>
      </c>
    </row>
    <row r="615" spans="1:6" ht="31.5" customHeight="1" x14ac:dyDescent="0.25">
      <c r="A615" s="372" t="s">
        <v>704</v>
      </c>
      <c r="B615" s="373"/>
      <c r="C615" s="354">
        <v>91597</v>
      </c>
      <c r="D615" s="374">
        <v>0</v>
      </c>
      <c r="E615" s="374"/>
      <c r="F615" s="354">
        <v>91597</v>
      </c>
    </row>
    <row r="616" spans="1:6" ht="15.75" customHeight="1" x14ac:dyDescent="0.25">
      <c r="A616" s="372" t="s">
        <v>839</v>
      </c>
      <c r="B616" s="373"/>
      <c r="C616" s="354">
        <v>200</v>
      </c>
      <c r="D616" s="374">
        <v>0</v>
      </c>
      <c r="E616" s="374"/>
      <c r="F616" s="354">
        <v>200</v>
      </c>
    </row>
    <row r="617" spans="1:6" ht="15.75" customHeight="1" x14ac:dyDescent="0.25">
      <c r="A617" s="372" t="s">
        <v>705</v>
      </c>
      <c r="B617" s="373"/>
      <c r="C617" s="354">
        <v>2500</v>
      </c>
      <c r="D617" s="374">
        <v>0</v>
      </c>
      <c r="E617" s="374"/>
      <c r="F617" s="354">
        <v>2500</v>
      </c>
    </row>
    <row r="618" spans="1:6" ht="15.75" customHeight="1" x14ac:dyDescent="0.25">
      <c r="A618" s="372" t="s">
        <v>706</v>
      </c>
      <c r="B618" s="373"/>
      <c r="C618" s="354">
        <v>2500</v>
      </c>
      <c r="D618" s="374">
        <v>0</v>
      </c>
      <c r="E618" s="374"/>
      <c r="F618" s="354">
        <v>2500</v>
      </c>
    </row>
    <row r="619" spans="1:6" ht="14.25" customHeight="1" x14ac:dyDescent="0.25"/>
    <row r="620" spans="1:6" ht="15.75" customHeight="1" x14ac:dyDescent="0.25">
      <c r="A620" s="382" t="s">
        <v>906</v>
      </c>
      <c r="B620" s="373"/>
      <c r="C620" s="373"/>
      <c r="D620" s="373"/>
      <c r="E620" s="373"/>
      <c r="F620" s="373"/>
    </row>
    <row r="621" spans="1:6" ht="15.75" customHeight="1" x14ac:dyDescent="0.25">
      <c r="A621" s="382" t="s">
        <v>698</v>
      </c>
      <c r="B621" s="383"/>
      <c r="C621" s="353">
        <v>42686</v>
      </c>
      <c r="D621" s="384">
        <v>0</v>
      </c>
      <c r="E621" s="384"/>
      <c r="F621" s="353">
        <v>42686</v>
      </c>
    </row>
    <row r="622" spans="1:6" ht="15.75" customHeight="1" x14ac:dyDescent="0.25">
      <c r="A622" s="372" t="s">
        <v>710</v>
      </c>
      <c r="B622" s="373"/>
      <c r="C622" s="354">
        <v>42686</v>
      </c>
      <c r="D622" s="374">
        <v>0</v>
      </c>
      <c r="E622" s="374"/>
      <c r="F622" s="354">
        <v>42686</v>
      </c>
    </row>
    <row r="623" spans="1:6" ht="31.5" customHeight="1" x14ac:dyDescent="0.25">
      <c r="A623" s="372" t="s">
        <v>711</v>
      </c>
      <c r="B623" s="373"/>
      <c r="C623" s="354">
        <v>42686</v>
      </c>
      <c r="D623" s="374">
        <v>0</v>
      </c>
      <c r="E623" s="374"/>
      <c r="F623" s="354">
        <v>42686</v>
      </c>
    </row>
    <row r="624" spans="1:6" ht="14.25" customHeight="1" x14ac:dyDescent="0.25"/>
    <row r="625" spans="1:6" ht="15.75" customHeight="1" x14ac:dyDescent="0.25">
      <c r="A625" s="382" t="s">
        <v>907</v>
      </c>
      <c r="B625" s="373"/>
      <c r="C625" s="373"/>
      <c r="D625" s="373"/>
      <c r="E625" s="373"/>
      <c r="F625" s="373"/>
    </row>
    <row r="626" spans="1:6" ht="15.75" customHeight="1" x14ac:dyDescent="0.25">
      <c r="A626" s="382" t="s">
        <v>698</v>
      </c>
      <c r="B626" s="383"/>
      <c r="C626" s="353">
        <v>20000</v>
      </c>
      <c r="D626" s="384">
        <v>0</v>
      </c>
      <c r="E626" s="384"/>
      <c r="F626" s="353">
        <v>20000</v>
      </c>
    </row>
    <row r="627" spans="1:6" ht="15.75" customHeight="1" x14ac:dyDescent="0.25">
      <c r="A627" s="372" t="s">
        <v>699</v>
      </c>
      <c r="B627" s="373"/>
      <c r="C627" s="354">
        <v>5210</v>
      </c>
      <c r="D627" s="374">
        <v>0</v>
      </c>
      <c r="E627" s="374"/>
      <c r="F627" s="354">
        <v>5210</v>
      </c>
    </row>
    <row r="628" spans="1:6" ht="15.75" customHeight="1" x14ac:dyDescent="0.25">
      <c r="A628" s="372" t="s">
        <v>700</v>
      </c>
      <c r="B628" s="373"/>
      <c r="C628" s="354">
        <v>5000</v>
      </c>
      <c r="D628" s="374">
        <v>0</v>
      </c>
      <c r="E628" s="374"/>
      <c r="F628" s="354">
        <v>5000</v>
      </c>
    </row>
    <row r="629" spans="1:6" ht="15.75" customHeight="1" x14ac:dyDescent="0.25">
      <c r="A629" s="372" t="s">
        <v>701</v>
      </c>
      <c r="B629" s="373"/>
      <c r="C629" s="354">
        <v>210</v>
      </c>
      <c r="D629" s="374">
        <v>0</v>
      </c>
      <c r="E629" s="374"/>
      <c r="F629" s="354">
        <v>210</v>
      </c>
    </row>
    <row r="630" spans="1:6" ht="15.75" customHeight="1" x14ac:dyDescent="0.25">
      <c r="A630" s="372" t="s">
        <v>702</v>
      </c>
      <c r="B630" s="373"/>
      <c r="C630" s="354">
        <v>7690</v>
      </c>
      <c r="D630" s="374">
        <v>0</v>
      </c>
      <c r="E630" s="374"/>
      <c r="F630" s="354">
        <v>7690</v>
      </c>
    </row>
    <row r="631" spans="1:6" ht="15.75" customHeight="1" x14ac:dyDescent="0.25">
      <c r="A631" s="372" t="s">
        <v>703</v>
      </c>
      <c r="B631" s="373"/>
      <c r="C631" s="354">
        <v>5307</v>
      </c>
      <c r="D631" s="374">
        <v>0</v>
      </c>
      <c r="E631" s="374"/>
      <c r="F631" s="354">
        <v>5307</v>
      </c>
    </row>
    <row r="632" spans="1:6" ht="31.5" customHeight="1" x14ac:dyDescent="0.25">
      <c r="A632" s="372" t="s">
        <v>704</v>
      </c>
      <c r="B632" s="373"/>
      <c r="C632" s="354">
        <v>2383</v>
      </c>
      <c r="D632" s="374">
        <v>0</v>
      </c>
      <c r="E632" s="374"/>
      <c r="F632" s="354">
        <v>2383</v>
      </c>
    </row>
    <row r="633" spans="1:6" ht="15.75" customHeight="1" x14ac:dyDescent="0.25">
      <c r="A633" s="372" t="s">
        <v>710</v>
      </c>
      <c r="B633" s="373"/>
      <c r="C633" s="354">
        <v>7100</v>
      </c>
      <c r="D633" s="374">
        <v>0</v>
      </c>
      <c r="E633" s="374"/>
      <c r="F633" s="354">
        <v>7100</v>
      </c>
    </row>
    <row r="634" spans="1:6" ht="31.5" customHeight="1" x14ac:dyDescent="0.25">
      <c r="A634" s="372" t="s">
        <v>711</v>
      </c>
      <c r="B634" s="373"/>
      <c r="C634" s="354">
        <v>7100</v>
      </c>
      <c r="D634" s="374">
        <v>0</v>
      </c>
      <c r="E634" s="374"/>
      <c r="F634" s="354">
        <v>7100</v>
      </c>
    </row>
    <row r="635" spans="1:6" ht="14.25" customHeight="1" x14ac:dyDescent="0.25"/>
    <row r="636" spans="1:6" ht="15.75" customHeight="1" x14ac:dyDescent="0.25">
      <c r="A636" s="382" t="s">
        <v>908</v>
      </c>
      <c r="B636" s="373"/>
      <c r="C636" s="373"/>
      <c r="D636" s="373"/>
      <c r="E636" s="373"/>
      <c r="F636" s="373"/>
    </row>
    <row r="637" spans="1:6" ht="15.75" customHeight="1" x14ac:dyDescent="0.25">
      <c r="A637" s="382" t="s">
        <v>698</v>
      </c>
      <c r="B637" s="383"/>
      <c r="C637" s="353">
        <v>4300</v>
      </c>
      <c r="D637" s="384">
        <v>0</v>
      </c>
      <c r="E637" s="384"/>
      <c r="F637" s="353">
        <v>4300</v>
      </c>
    </row>
    <row r="638" spans="1:6" ht="15.75" customHeight="1" x14ac:dyDescent="0.25">
      <c r="A638" s="372" t="s">
        <v>710</v>
      </c>
      <c r="B638" s="373"/>
      <c r="C638" s="354">
        <v>4300</v>
      </c>
      <c r="D638" s="374">
        <v>0</v>
      </c>
      <c r="E638" s="374"/>
      <c r="F638" s="354">
        <v>4300</v>
      </c>
    </row>
    <row r="639" spans="1:6" ht="31.5" customHeight="1" x14ac:dyDescent="0.25">
      <c r="A639" s="372" t="s">
        <v>711</v>
      </c>
      <c r="B639" s="373"/>
      <c r="C639" s="354">
        <v>4300</v>
      </c>
      <c r="D639" s="374">
        <v>0</v>
      </c>
      <c r="E639" s="374"/>
      <c r="F639" s="354">
        <v>4300</v>
      </c>
    </row>
    <row r="640" spans="1:6" ht="14.25" customHeight="1" x14ac:dyDescent="0.25"/>
    <row r="641" spans="1:6" ht="15.75" customHeight="1" x14ac:dyDescent="0.25">
      <c r="A641" s="382" t="s">
        <v>909</v>
      </c>
      <c r="B641" s="373"/>
      <c r="C641" s="373"/>
      <c r="D641" s="373"/>
      <c r="E641" s="373"/>
      <c r="F641" s="373"/>
    </row>
    <row r="642" spans="1:6" ht="15.75" customHeight="1" x14ac:dyDescent="0.25">
      <c r="A642" s="382" t="s">
        <v>698</v>
      </c>
      <c r="B642" s="383"/>
      <c r="C642" s="353">
        <v>181179</v>
      </c>
      <c r="D642" s="384">
        <v>150400</v>
      </c>
      <c r="E642" s="385"/>
      <c r="F642" s="353">
        <v>331579</v>
      </c>
    </row>
    <row r="643" spans="1:6" ht="15.75" customHeight="1" x14ac:dyDescent="0.25">
      <c r="A643" s="372" t="s">
        <v>710</v>
      </c>
      <c r="B643" s="373"/>
      <c r="C643" s="354">
        <v>181179</v>
      </c>
      <c r="D643" s="374">
        <v>150200</v>
      </c>
      <c r="E643" s="375"/>
      <c r="F643" s="354">
        <v>331379</v>
      </c>
    </row>
    <row r="644" spans="1:6" ht="31.5" customHeight="1" x14ac:dyDescent="0.25">
      <c r="A644" s="372" t="s">
        <v>711</v>
      </c>
      <c r="B644" s="373"/>
      <c r="C644" s="354">
        <v>161179</v>
      </c>
      <c r="D644" s="374">
        <v>150200</v>
      </c>
      <c r="E644" s="375"/>
      <c r="F644" s="354">
        <v>311379</v>
      </c>
    </row>
    <row r="645" spans="1:6" ht="31.5" customHeight="1" x14ac:dyDescent="0.25">
      <c r="A645" s="372" t="s">
        <v>712</v>
      </c>
      <c r="B645" s="373"/>
      <c r="C645" s="354">
        <v>20000</v>
      </c>
      <c r="D645" s="374">
        <v>0</v>
      </c>
      <c r="E645" s="374"/>
      <c r="F645" s="354">
        <v>20000</v>
      </c>
    </row>
    <row r="646" spans="1:6" ht="15.75" customHeight="1" x14ac:dyDescent="0.25">
      <c r="A646" s="372" t="s">
        <v>881</v>
      </c>
      <c r="B646" s="373"/>
      <c r="C646" s="354">
        <v>0</v>
      </c>
      <c r="D646" s="374">
        <v>200</v>
      </c>
      <c r="E646" s="375"/>
      <c r="F646" s="354">
        <v>200</v>
      </c>
    </row>
    <row r="647" spans="1:6" ht="31.5" customHeight="1" x14ac:dyDescent="0.25">
      <c r="A647" s="372" t="s">
        <v>890</v>
      </c>
      <c r="B647" s="373"/>
      <c r="C647" s="354">
        <v>0</v>
      </c>
      <c r="D647" s="374">
        <v>200</v>
      </c>
      <c r="E647" s="375"/>
      <c r="F647" s="354">
        <v>200</v>
      </c>
    </row>
    <row r="648" spans="1:6" ht="14.25" customHeight="1" x14ac:dyDescent="0.25"/>
    <row r="649" spans="1:6" ht="15.75" customHeight="1" x14ac:dyDescent="0.25">
      <c r="A649" s="382" t="s">
        <v>719</v>
      </c>
      <c r="B649" s="373"/>
      <c r="C649" s="373"/>
      <c r="D649" s="373"/>
      <c r="E649" s="373"/>
      <c r="F649" s="373"/>
    </row>
    <row r="650" spans="1:6" ht="15.75" customHeight="1" x14ac:dyDescent="0.25">
      <c r="A650" s="382" t="s">
        <v>698</v>
      </c>
      <c r="B650" s="383"/>
      <c r="C650" s="353">
        <v>29240535</v>
      </c>
      <c r="D650" s="384">
        <v>4387348</v>
      </c>
      <c r="E650" s="385"/>
      <c r="F650" s="353">
        <v>33627883</v>
      </c>
    </row>
    <row r="651" spans="1:6" ht="15.75" customHeight="1" x14ac:dyDescent="0.25">
      <c r="A651" s="372" t="s">
        <v>699</v>
      </c>
      <c r="B651" s="373"/>
      <c r="C651" s="354">
        <v>15941649</v>
      </c>
      <c r="D651" s="374">
        <v>3606335</v>
      </c>
      <c r="E651" s="375"/>
      <c r="F651" s="354">
        <v>19547984</v>
      </c>
    </row>
    <row r="652" spans="1:6" ht="15.75" customHeight="1" x14ac:dyDescent="0.25">
      <c r="A652" s="372" t="s">
        <v>700</v>
      </c>
      <c r="B652" s="373"/>
      <c r="C652" s="354">
        <v>12585491</v>
      </c>
      <c r="D652" s="374">
        <v>2884853</v>
      </c>
      <c r="E652" s="375"/>
      <c r="F652" s="354">
        <v>15470344</v>
      </c>
    </row>
    <row r="653" spans="1:6" ht="15.75" customHeight="1" x14ac:dyDescent="0.25">
      <c r="A653" s="372" t="s">
        <v>701</v>
      </c>
      <c r="B653" s="373"/>
      <c r="C653" s="354">
        <v>3356158</v>
      </c>
      <c r="D653" s="374">
        <v>721482</v>
      </c>
      <c r="E653" s="375"/>
      <c r="F653" s="354">
        <v>4077640</v>
      </c>
    </row>
    <row r="654" spans="1:6" ht="15.75" customHeight="1" x14ac:dyDescent="0.25">
      <c r="A654" s="372" t="s">
        <v>702</v>
      </c>
      <c r="B654" s="373"/>
      <c r="C654" s="354">
        <v>6764035</v>
      </c>
      <c r="D654" s="374">
        <v>716554</v>
      </c>
      <c r="E654" s="375"/>
      <c r="F654" s="354">
        <v>7480589</v>
      </c>
    </row>
    <row r="655" spans="1:6" ht="15.75" customHeight="1" x14ac:dyDescent="0.25">
      <c r="A655" s="372" t="s">
        <v>837</v>
      </c>
      <c r="B655" s="373"/>
      <c r="C655" s="354">
        <v>156239</v>
      </c>
      <c r="D655" s="374">
        <v>35430</v>
      </c>
      <c r="E655" s="375"/>
      <c r="F655" s="354">
        <v>191669</v>
      </c>
    </row>
    <row r="656" spans="1:6" ht="15.75" customHeight="1" x14ac:dyDescent="0.25">
      <c r="A656" s="372" t="s">
        <v>703</v>
      </c>
      <c r="B656" s="373"/>
      <c r="C656" s="354">
        <v>4459855</v>
      </c>
      <c r="D656" s="374">
        <v>181894</v>
      </c>
      <c r="E656" s="375"/>
      <c r="F656" s="354">
        <v>4641749</v>
      </c>
    </row>
    <row r="657" spans="1:6" ht="31.5" customHeight="1" x14ac:dyDescent="0.25">
      <c r="A657" s="372" t="s">
        <v>704</v>
      </c>
      <c r="B657" s="373"/>
      <c r="C657" s="354">
        <v>2079976</v>
      </c>
      <c r="D657" s="374">
        <v>498902</v>
      </c>
      <c r="E657" s="375"/>
      <c r="F657" s="354">
        <v>2578878</v>
      </c>
    </row>
    <row r="658" spans="1:6" ht="15.75" customHeight="1" x14ac:dyDescent="0.25">
      <c r="A658" s="372" t="s">
        <v>889</v>
      </c>
      <c r="B658" s="373"/>
      <c r="C658" s="354">
        <v>10905</v>
      </c>
      <c r="D658" s="374">
        <v>-832</v>
      </c>
      <c r="E658" s="375"/>
      <c r="F658" s="354">
        <v>10073</v>
      </c>
    </row>
    <row r="659" spans="1:6" ht="15.75" customHeight="1" x14ac:dyDescent="0.25">
      <c r="A659" s="372" t="s">
        <v>839</v>
      </c>
      <c r="B659" s="373"/>
      <c r="C659" s="354">
        <v>57060</v>
      </c>
      <c r="D659" s="374">
        <v>1160</v>
      </c>
      <c r="E659" s="375"/>
      <c r="F659" s="354">
        <v>58220</v>
      </c>
    </row>
    <row r="660" spans="1:6" ht="15.75" customHeight="1" x14ac:dyDescent="0.25">
      <c r="A660" s="372" t="s">
        <v>710</v>
      </c>
      <c r="B660" s="373"/>
      <c r="C660" s="354">
        <v>1792200</v>
      </c>
      <c r="D660" s="374">
        <v>0</v>
      </c>
      <c r="E660" s="374"/>
      <c r="F660" s="354">
        <v>1792200</v>
      </c>
    </row>
    <row r="661" spans="1:6" ht="31.5" customHeight="1" x14ac:dyDescent="0.25">
      <c r="A661" s="372" t="s">
        <v>711</v>
      </c>
      <c r="B661" s="373"/>
      <c r="C661" s="354">
        <v>1792200</v>
      </c>
      <c r="D661" s="374">
        <v>0</v>
      </c>
      <c r="E661" s="374"/>
      <c r="F661" s="354">
        <v>1792200</v>
      </c>
    </row>
    <row r="662" spans="1:6" ht="15.75" customHeight="1" x14ac:dyDescent="0.25">
      <c r="A662" s="372" t="s">
        <v>705</v>
      </c>
      <c r="B662" s="373"/>
      <c r="C662" s="354">
        <v>4401635</v>
      </c>
      <c r="D662" s="374">
        <v>78147</v>
      </c>
      <c r="E662" s="375"/>
      <c r="F662" s="354">
        <v>4479782</v>
      </c>
    </row>
    <row r="663" spans="1:6" ht="15.75" customHeight="1" x14ac:dyDescent="0.25">
      <c r="A663" s="372" t="s">
        <v>842</v>
      </c>
      <c r="B663" s="373"/>
      <c r="C663" s="354">
        <v>62493</v>
      </c>
      <c r="D663" s="374">
        <v>-16805</v>
      </c>
      <c r="E663" s="375"/>
      <c r="F663" s="354">
        <v>45688</v>
      </c>
    </row>
    <row r="664" spans="1:6" ht="15.75" customHeight="1" x14ac:dyDescent="0.25">
      <c r="A664" s="372" t="s">
        <v>706</v>
      </c>
      <c r="B664" s="373"/>
      <c r="C664" s="354">
        <v>4339142</v>
      </c>
      <c r="D664" s="374">
        <v>94952</v>
      </c>
      <c r="E664" s="375"/>
      <c r="F664" s="354">
        <v>4434094</v>
      </c>
    </row>
    <row r="665" spans="1:6" ht="15.75" customHeight="1" x14ac:dyDescent="0.25">
      <c r="A665" s="372" t="s">
        <v>881</v>
      </c>
      <c r="B665" s="373"/>
      <c r="C665" s="354">
        <v>337008</v>
      </c>
      <c r="D665" s="374">
        <v>-13688</v>
      </c>
      <c r="E665" s="375"/>
      <c r="F665" s="354">
        <v>323320</v>
      </c>
    </row>
    <row r="666" spans="1:6" ht="15.75" customHeight="1" x14ac:dyDescent="0.25">
      <c r="A666" s="372" t="s">
        <v>882</v>
      </c>
      <c r="B666" s="373"/>
      <c r="C666" s="354">
        <v>337008</v>
      </c>
      <c r="D666" s="374">
        <v>-13688</v>
      </c>
      <c r="E666" s="375"/>
      <c r="F666" s="354">
        <v>323320</v>
      </c>
    </row>
    <row r="667" spans="1:6" ht="31.5" customHeight="1" x14ac:dyDescent="0.25">
      <c r="A667" s="372" t="s">
        <v>843</v>
      </c>
      <c r="B667" s="373"/>
      <c r="C667" s="354">
        <v>4008</v>
      </c>
      <c r="D667" s="374">
        <v>0</v>
      </c>
      <c r="E667" s="374"/>
      <c r="F667" s="354">
        <v>4008</v>
      </c>
    </row>
    <row r="668" spans="1:6" ht="15.75" customHeight="1" x14ac:dyDescent="0.25">
      <c r="A668" s="372" t="s">
        <v>845</v>
      </c>
      <c r="B668" s="373"/>
      <c r="C668" s="354">
        <v>4008</v>
      </c>
      <c r="D668" s="374">
        <v>0</v>
      </c>
      <c r="E668" s="374"/>
      <c r="F668" s="354">
        <v>4008</v>
      </c>
    </row>
    <row r="669" spans="1:6" ht="14.25" customHeight="1" x14ac:dyDescent="0.25"/>
    <row r="670" spans="1:6" ht="15.75" customHeight="1" x14ac:dyDescent="0.25">
      <c r="A670" s="382" t="s">
        <v>910</v>
      </c>
      <c r="B670" s="373"/>
      <c r="C670" s="373"/>
      <c r="D670" s="373"/>
      <c r="E670" s="373"/>
      <c r="F670" s="373"/>
    </row>
    <row r="671" spans="1:6" ht="15.75" customHeight="1" x14ac:dyDescent="0.25">
      <c r="A671" s="382" t="s">
        <v>698</v>
      </c>
      <c r="B671" s="383"/>
      <c r="C671" s="353">
        <v>23378047</v>
      </c>
      <c r="D671" s="384">
        <v>4318995</v>
      </c>
      <c r="E671" s="385"/>
      <c r="F671" s="353">
        <v>27697042</v>
      </c>
    </row>
    <row r="672" spans="1:6" ht="15.75" customHeight="1" x14ac:dyDescent="0.25">
      <c r="A672" s="372" t="s">
        <v>699</v>
      </c>
      <c r="B672" s="373"/>
      <c r="C672" s="354">
        <v>14264886</v>
      </c>
      <c r="D672" s="374">
        <v>3589162</v>
      </c>
      <c r="E672" s="375"/>
      <c r="F672" s="354">
        <v>17854048</v>
      </c>
    </row>
    <row r="673" spans="1:6" ht="15.75" customHeight="1" x14ac:dyDescent="0.25">
      <c r="A673" s="372" t="s">
        <v>700</v>
      </c>
      <c r="B673" s="373"/>
      <c r="C673" s="354">
        <v>11257682</v>
      </c>
      <c r="D673" s="374">
        <v>2870654</v>
      </c>
      <c r="E673" s="375"/>
      <c r="F673" s="354">
        <v>14128336</v>
      </c>
    </row>
    <row r="674" spans="1:6" ht="15.75" customHeight="1" x14ac:dyDescent="0.25">
      <c r="A674" s="372" t="s">
        <v>701</v>
      </c>
      <c r="B674" s="373"/>
      <c r="C674" s="354">
        <v>3007204</v>
      </c>
      <c r="D674" s="374">
        <v>718508</v>
      </c>
      <c r="E674" s="375"/>
      <c r="F674" s="354">
        <v>3725712</v>
      </c>
    </row>
    <row r="675" spans="1:6" ht="15.75" customHeight="1" x14ac:dyDescent="0.25">
      <c r="A675" s="372" t="s">
        <v>702</v>
      </c>
      <c r="B675" s="373"/>
      <c r="C675" s="354">
        <v>5323946</v>
      </c>
      <c r="D675" s="374">
        <v>672233</v>
      </c>
      <c r="E675" s="375"/>
      <c r="F675" s="354">
        <v>5996179</v>
      </c>
    </row>
    <row r="676" spans="1:6" ht="15.75" customHeight="1" x14ac:dyDescent="0.25">
      <c r="A676" s="372" t="s">
        <v>837</v>
      </c>
      <c r="B676" s="373"/>
      <c r="C676" s="354">
        <v>92585</v>
      </c>
      <c r="D676" s="374">
        <v>35780</v>
      </c>
      <c r="E676" s="375"/>
      <c r="F676" s="354">
        <v>128365</v>
      </c>
    </row>
    <row r="677" spans="1:6" ht="15.75" customHeight="1" x14ac:dyDescent="0.25">
      <c r="A677" s="372" t="s">
        <v>703</v>
      </c>
      <c r="B677" s="373"/>
      <c r="C677" s="354">
        <v>3245379</v>
      </c>
      <c r="D677" s="374">
        <v>148612</v>
      </c>
      <c r="E677" s="375"/>
      <c r="F677" s="354">
        <v>3393991</v>
      </c>
    </row>
    <row r="678" spans="1:6" ht="31.5" customHeight="1" x14ac:dyDescent="0.25">
      <c r="A678" s="372" t="s">
        <v>704</v>
      </c>
      <c r="B678" s="373"/>
      <c r="C678" s="354">
        <v>1927485</v>
      </c>
      <c r="D678" s="374">
        <v>487513</v>
      </c>
      <c r="E678" s="375"/>
      <c r="F678" s="354">
        <v>2414998</v>
      </c>
    </row>
    <row r="679" spans="1:6" ht="15.75" customHeight="1" x14ac:dyDescent="0.25">
      <c r="A679" s="372" t="s">
        <v>889</v>
      </c>
      <c r="B679" s="373"/>
      <c r="C679" s="354">
        <v>10905</v>
      </c>
      <c r="D679" s="374">
        <v>-832</v>
      </c>
      <c r="E679" s="375"/>
      <c r="F679" s="354">
        <v>10073</v>
      </c>
    </row>
    <row r="680" spans="1:6" ht="15.75" customHeight="1" x14ac:dyDescent="0.25">
      <c r="A680" s="372" t="s">
        <v>839</v>
      </c>
      <c r="B680" s="373"/>
      <c r="C680" s="354">
        <v>47592</v>
      </c>
      <c r="D680" s="374">
        <v>1160</v>
      </c>
      <c r="E680" s="375"/>
      <c r="F680" s="354">
        <v>48752</v>
      </c>
    </row>
    <row r="681" spans="1:6" ht="15.75" customHeight="1" x14ac:dyDescent="0.25">
      <c r="A681" s="372" t="s">
        <v>710</v>
      </c>
      <c r="B681" s="373"/>
      <c r="C681" s="354">
        <v>1785900</v>
      </c>
      <c r="D681" s="374">
        <v>0</v>
      </c>
      <c r="E681" s="374"/>
      <c r="F681" s="354">
        <v>1785900</v>
      </c>
    </row>
    <row r="682" spans="1:6" ht="31.5" customHeight="1" x14ac:dyDescent="0.25">
      <c r="A682" s="372" t="s">
        <v>711</v>
      </c>
      <c r="B682" s="373"/>
      <c r="C682" s="354">
        <v>1785900</v>
      </c>
      <c r="D682" s="374">
        <v>0</v>
      </c>
      <c r="E682" s="374"/>
      <c r="F682" s="354">
        <v>1785900</v>
      </c>
    </row>
    <row r="683" spans="1:6" ht="15.75" customHeight="1" x14ac:dyDescent="0.25">
      <c r="A683" s="372" t="s">
        <v>705</v>
      </c>
      <c r="B683" s="373"/>
      <c r="C683" s="354">
        <v>1689887</v>
      </c>
      <c r="D683" s="374">
        <v>76647</v>
      </c>
      <c r="E683" s="375"/>
      <c r="F683" s="354">
        <v>1766534</v>
      </c>
    </row>
    <row r="684" spans="1:6" ht="15.75" customHeight="1" x14ac:dyDescent="0.25">
      <c r="A684" s="372" t="s">
        <v>842</v>
      </c>
      <c r="B684" s="373"/>
      <c r="C684" s="354">
        <v>58921</v>
      </c>
      <c r="D684" s="374">
        <v>-16805</v>
      </c>
      <c r="E684" s="375"/>
      <c r="F684" s="354">
        <v>42116</v>
      </c>
    </row>
    <row r="685" spans="1:6" ht="15.75" customHeight="1" x14ac:dyDescent="0.25">
      <c r="A685" s="372" t="s">
        <v>706</v>
      </c>
      <c r="B685" s="373"/>
      <c r="C685" s="354">
        <v>1630966</v>
      </c>
      <c r="D685" s="374">
        <v>93452</v>
      </c>
      <c r="E685" s="375"/>
      <c r="F685" s="354">
        <v>1724418</v>
      </c>
    </row>
    <row r="686" spans="1:6" ht="15.75" customHeight="1" x14ac:dyDescent="0.25">
      <c r="A686" s="372" t="s">
        <v>881</v>
      </c>
      <c r="B686" s="373"/>
      <c r="C686" s="354">
        <v>313428</v>
      </c>
      <c r="D686" s="374">
        <v>-19047</v>
      </c>
      <c r="E686" s="375"/>
      <c r="F686" s="354">
        <v>294381</v>
      </c>
    </row>
    <row r="687" spans="1:6" ht="15.75" customHeight="1" x14ac:dyDescent="0.25">
      <c r="A687" s="372" t="s">
        <v>882</v>
      </c>
      <c r="B687" s="373"/>
      <c r="C687" s="354">
        <v>313428</v>
      </c>
      <c r="D687" s="374">
        <v>-19047</v>
      </c>
      <c r="E687" s="375"/>
      <c r="F687" s="354">
        <v>294381</v>
      </c>
    </row>
    <row r="688" spans="1:6" ht="14.25" customHeight="1" x14ac:dyDescent="0.25"/>
    <row r="689" spans="1:6" ht="15.75" customHeight="1" x14ac:dyDescent="0.25">
      <c r="A689" s="382" t="s">
        <v>720</v>
      </c>
      <c r="B689" s="373"/>
      <c r="C689" s="373"/>
      <c r="D689" s="373"/>
      <c r="E689" s="373"/>
      <c r="F689" s="373"/>
    </row>
    <row r="690" spans="1:6" ht="15.75" customHeight="1" x14ac:dyDescent="0.25">
      <c r="A690" s="382" t="s">
        <v>698</v>
      </c>
      <c r="B690" s="383"/>
      <c r="C690" s="353">
        <v>6961083</v>
      </c>
      <c r="D690" s="384">
        <v>293204</v>
      </c>
      <c r="E690" s="385"/>
      <c r="F690" s="353">
        <v>7254287</v>
      </c>
    </row>
    <row r="691" spans="1:6" ht="15.75" customHeight="1" x14ac:dyDescent="0.25">
      <c r="A691" s="372" t="s">
        <v>699</v>
      </c>
      <c r="B691" s="373"/>
      <c r="C691" s="354">
        <v>3940734</v>
      </c>
      <c r="D691" s="374">
        <v>293404</v>
      </c>
      <c r="E691" s="375"/>
      <c r="F691" s="354">
        <v>4234138</v>
      </c>
    </row>
    <row r="692" spans="1:6" ht="15.75" customHeight="1" x14ac:dyDescent="0.25">
      <c r="A692" s="372" t="s">
        <v>700</v>
      </c>
      <c r="B692" s="373"/>
      <c r="C692" s="354">
        <v>3098287</v>
      </c>
      <c r="D692" s="374">
        <v>234491</v>
      </c>
      <c r="E692" s="375"/>
      <c r="F692" s="354">
        <v>3332778</v>
      </c>
    </row>
    <row r="693" spans="1:6" ht="15.75" customHeight="1" x14ac:dyDescent="0.25">
      <c r="A693" s="372" t="s">
        <v>701</v>
      </c>
      <c r="B693" s="373"/>
      <c r="C693" s="354">
        <v>842447</v>
      </c>
      <c r="D693" s="374">
        <v>58913</v>
      </c>
      <c r="E693" s="375"/>
      <c r="F693" s="354">
        <v>901360</v>
      </c>
    </row>
    <row r="694" spans="1:6" ht="15.75" customHeight="1" x14ac:dyDescent="0.25">
      <c r="A694" s="372" t="s">
        <v>702</v>
      </c>
      <c r="B694" s="373"/>
      <c r="C694" s="354">
        <v>1236478</v>
      </c>
      <c r="D694" s="374">
        <v>-6583</v>
      </c>
      <c r="E694" s="375"/>
      <c r="F694" s="354">
        <v>1229895</v>
      </c>
    </row>
    <row r="695" spans="1:6" ht="15.75" customHeight="1" x14ac:dyDescent="0.25">
      <c r="A695" s="372" t="s">
        <v>837</v>
      </c>
      <c r="B695" s="373"/>
      <c r="C695" s="354">
        <v>1172</v>
      </c>
      <c r="D695" s="374">
        <v>-201</v>
      </c>
      <c r="E695" s="375"/>
      <c r="F695" s="354">
        <v>971</v>
      </c>
    </row>
    <row r="696" spans="1:6" ht="15.75" customHeight="1" x14ac:dyDescent="0.25">
      <c r="A696" s="372" t="s">
        <v>703</v>
      </c>
      <c r="B696" s="373"/>
      <c r="C696" s="354">
        <v>898014</v>
      </c>
      <c r="D696" s="374">
        <v>-14689</v>
      </c>
      <c r="E696" s="375"/>
      <c r="F696" s="354">
        <v>883325</v>
      </c>
    </row>
    <row r="697" spans="1:6" ht="31.5" customHeight="1" x14ac:dyDescent="0.25">
      <c r="A697" s="372" t="s">
        <v>704</v>
      </c>
      <c r="B697" s="373"/>
      <c r="C697" s="354">
        <v>316114</v>
      </c>
      <c r="D697" s="374">
        <v>8625</v>
      </c>
      <c r="E697" s="375"/>
      <c r="F697" s="354">
        <v>324739</v>
      </c>
    </row>
    <row r="698" spans="1:6" ht="15.75" customHeight="1" x14ac:dyDescent="0.25">
      <c r="A698" s="372" t="s">
        <v>889</v>
      </c>
      <c r="B698" s="373"/>
      <c r="C698" s="354">
        <v>3195</v>
      </c>
      <c r="D698" s="374">
        <v>-318</v>
      </c>
      <c r="E698" s="375"/>
      <c r="F698" s="354">
        <v>2877</v>
      </c>
    </row>
    <row r="699" spans="1:6" ht="15.75" customHeight="1" x14ac:dyDescent="0.25">
      <c r="A699" s="372" t="s">
        <v>839</v>
      </c>
      <c r="B699" s="373"/>
      <c r="C699" s="354">
        <v>17983</v>
      </c>
      <c r="D699" s="374">
        <v>0</v>
      </c>
      <c r="E699" s="374"/>
      <c r="F699" s="354">
        <v>17983</v>
      </c>
    </row>
    <row r="700" spans="1:6" ht="15.75" customHeight="1" x14ac:dyDescent="0.25">
      <c r="A700" s="372" t="s">
        <v>710</v>
      </c>
      <c r="B700" s="373"/>
      <c r="C700" s="354">
        <v>1561680</v>
      </c>
      <c r="D700" s="374">
        <v>0</v>
      </c>
      <c r="E700" s="374"/>
      <c r="F700" s="354">
        <v>1561680</v>
      </c>
    </row>
    <row r="701" spans="1:6" ht="31.5" customHeight="1" x14ac:dyDescent="0.25">
      <c r="A701" s="372" t="s">
        <v>711</v>
      </c>
      <c r="B701" s="373"/>
      <c r="C701" s="354">
        <v>1561680</v>
      </c>
      <c r="D701" s="374">
        <v>0</v>
      </c>
      <c r="E701" s="374"/>
      <c r="F701" s="354">
        <v>1561680</v>
      </c>
    </row>
    <row r="702" spans="1:6" ht="15.75" customHeight="1" x14ac:dyDescent="0.25">
      <c r="A702" s="372" t="s">
        <v>705</v>
      </c>
      <c r="B702" s="373"/>
      <c r="C702" s="354">
        <v>222191</v>
      </c>
      <c r="D702" s="374">
        <v>6383</v>
      </c>
      <c r="E702" s="375"/>
      <c r="F702" s="354">
        <v>228574</v>
      </c>
    </row>
    <row r="703" spans="1:6" ht="15.75" customHeight="1" x14ac:dyDescent="0.25">
      <c r="A703" s="372" t="s">
        <v>842</v>
      </c>
      <c r="B703" s="373"/>
      <c r="C703" s="354">
        <v>12903</v>
      </c>
      <c r="D703" s="374">
        <v>-9640</v>
      </c>
      <c r="E703" s="375"/>
      <c r="F703" s="354">
        <v>3263</v>
      </c>
    </row>
    <row r="704" spans="1:6" ht="15.75" customHeight="1" x14ac:dyDescent="0.25">
      <c r="A704" s="372" t="s">
        <v>706</v>
      </c>
      <c r="B704" s="373"/>
      <c r="C704" s="354">
        <v>209288</v>
      </c>
      <c r="D704" s="374">
        <v>16023</v>
      </c>
      <c r="E704" s="375"/>
      <c r="F704" s="354">
        <v>225311</v>
      </c>
    </row>
    <row r="705" spans="1:6" ht="14.25" customHeight="1" x14ac:dyDescent="0.25"/>
    <row r="706" spans="1:6" ht="15.75" customHeight="1" x14ac:dyDescent="0.25">
      <c r="A706" s="382" t="s">
        <v>911</v>
      </c>
      <c r="B706" s="373"/>
      <c r="C706" s="373"/>
      <c r="D706" s="373"/>
      <c r="E706" s="373"/>
      <c r="F706" s="373"/>
    </row>
    <row r="707" spans="1:6" ht="15.75" customHeight="1" x14ac:dyDescent="0.25">
      <c r="A707" s="382" t="s">
        <v>698</v>
      </c>
      <c r="B707" s="383"/>
      <c r="C707" s="353">
        <v>520249</v>
      </c>
      <c r="D707" s="384">
        <v>0</v>
      </c>
      <c r="E707" s="384"/>
      <c r="F707" s="353">
        <v>520249</v>
      </c>
    </row>
    <row r="708" spans="1:6" ht="15.75" customHeight="1" x14ac:dyDescent="0.25">
      <c r="A708" s="372" t="s">
        <v>705</v>
      </c>
      <c r="B708" s="373"/>
      <c r="C708" s="354">
        <v>520249</v>
      </c>
      <c r="D708" s="374">
        <v>0</v>
      </c>
      <c r="E708" s="374"/>
      <c r="F708" s="354">
        <v>520249</v>
      </c>
    </row>
    <row r="709" spans="1:6" ht="15.75" customHeight="1" x14ac:dyDescent="0.25">
      <c r="A709" s="372" t="s">
        <v>706</v>
      </c>
      <c r="B709" s="373"/>
      <c r="C709" s="354">
        <v>520249</v>
      </c>
      <c r="D709" s="374">
        <v>0</v>
      </c>
      <c r="E709" s="374"/>
      <c r="F709" s="354">
        <v>520249</v>
      </c>
    </row>
    <row r="710" spans="1:6" ht="14.25" customHeight="1" x14ac:dyDescent="0.25"/>
    <row r="711" spans="1:6" ht="15.75" customHeight="1" x14ac:dyDescent="0.25">
      <c r="A711" s="382" t="s">
        <v>721</v>
      </c>
      <c r="B711" s="373"/>
      <c r="C711" s="373"/>
      <c r="D711" s="373"/>
      <c r="E711" s="373"/>
      <c r="F711" s="373"/>
    </row>
    <row r="712" spans="1:6" ht="15.75" customHeight="1" x14ac:dyDescent="0.25">
      <c r="A712" s="382" t="s">
        <v>698</v>
      </c>
      <c r="B712" s="383"/>
      <c r="C712" s="353">
        <v>10458674</v>
      </c>
      <c r="D712" s="384">
        <v>2720475</v>
      </c>
      <c r="E712" s="385"/>
      <c r="F712" s="353">
        <v>13179149</v>
      </c>
    </row>
    <row r="713" spans="1:6" ht="15.75" customHeight="1" x14ac:dyDescent="0.25">
      <c r="A713" s="372" t="s">
        <v>699</v>
      </c>
      <c r="B713" s="373"/>
      <c r="C713" s="354">
        <v>7177970</v>
      </c>
      <c r="D713" s="374">
        <v>2356955</v>
      </c>
      <c r="E713" s="375"/>
      <c r="F713" s="354">
        <v>9534925</v>
      </c>
    </row>
    <row r="714" spans="1:6" ht="15.75" customHeight="1" x14ac:dyDescent="0.25">
      <c r="A714" s="372" t="s">
        <v>700</v>
      </c>
      <c r="B714" s="373"/>
      <c r="C714" s="354">
        <v>5686346</v>
      </c>
      <c r="D714" s="374">
        <v>1879975</v>
      </c>
      <c r="E714" s="375"/>
      <c r="F714" s="354">
        <v>7566321</v>
      </c>
    </row>
    <row r="715" spans="1:6" ht="15.75" customHeight="1" x14ac:dyDescent="0.25">
      <c r="A715" s="372" t="s">
        <v>701</v>
      </c>
      <c r="B715" s="373"/>
      <c r="C715" s="354">
        <v>1491624</v>
      </c>
      <c r="D715" s="374">
        <v>476980</v>
      </c>
      <c r="E715" s="375"/>
      <c r="F715" s="354">
        <v>1968604</v>
      </c>
    </row>
    <row r="716" spans="1:6" ht="15.75" customHeight="1" x14ac:dyDescent="0.25">
      <c r="A716" s="372" t="s">
        <v>702</v>
      </c>
      <c r="B716" s="373"/>
      <c r="C716" s="354">
        <v>2576705</v>
      </c>
      <c r="D716" s="374">
        <v>358468</v>
      </c>
      <c r="E716" s="375"/>
      <c r="F716" s="354">
        <v>2935173</v>
      </c>
    </row>
    <row r="717" spans="1:6" ht="15.75" customHeight="1" x14ac:dyDescent="0.25">
      <c r="A717" s="372" t="s">
        <v>837</v>
      </c>
      <c r="B717" s="373"/>
      <c r="C717" s="354">
        <v>19837</v>
      </c>
      <c r="D717" s="374">
        <v>-2697</v>
      </c>
      <c r="E717" s="375"/>
      <c r="F717" s="354">
        <v>17140</v>
      </c>
    </row>
    <row r="718" spans="1:6" ht="15.75" customHeight="1" x14ac:dyDescent="0.25">
      <c r="A718" s="372" t="s">
        <v>703</v>
      </c>
      <c r="B718" s="373"/>
      <c r="C718" s="354">
        <v>1472541</v>
      </c>
      <c r="D718" s="374">
        <v>8588</v>
      </c>
      <c r="E718" s="375"/>
      <c r="F718" s="354">
        <v>1481129</v>
      </c>
    </row>
    <row r="719" spans="1:6" ht="31.5" customHeight="1" x14ac:dyDescent="0.25">
      <c r="A719" s="372" t="s">
        <v>704</v>
      </c>
      <c r="B719" s="373"/>
      <c r="C719" s="354">
        <v>1056070</v>
      </c>
      <c r="D719" s="374">
        <v>352991</v>
      </c>
      <c r="E719" s="375"/>
      <c r="F719" s="354">
        <v>1409061</v>
      </c>
    </row>
    <row r="720" spans="1:6" ht="15.75" customHeight="1" x14ac:dyDescent="0.25">
      <c r="A720" s="372" t="s">
        <v>889</v>
      </c>
      <c r="B720" s="373"/>
      <c r="C720" s="354">
        <v>5250</v>
      </c>
      <c r="D720" s="374">
        <v>-414</v>
      </c>
      <c r="E720" s="375"/>
      <c r="F720" s="354">
        <v>4836</v>
      </c>
    </row>
    <row r="721" spans="1:6" ht="15.75" customHeight="1" x14ac:dyDescent="0.25">
      <c r="A721" s="372" t="s">
        <v>839</v>
      </c>
      <c r="B721" s="373"/>
      <c r="C721" s="354">
        <v>23007</v>
      </c>
      <c r="D721" s="374">
        <v>0</v>
      </c>
      <c r="E721" s="374"/>
      <c r="F721" s="354">
        <v>23007</v>
      </c>
    </row>
    <row r="722" spans="1:6" ht="15.75" customHeight="1" x14ac:dyDescent="0.25">
      <c r="A722" s="372" t="s">
        <v>710</v>
      </c>
      <c r="B722" s="373"/>
      <c r="C722" s="354">
        <v>224220</v>
      </c>
      <c r="D722" s="374">
        <v>0</v>
      </c>
      <c r="E722" s="374"/>
      <c r="F722" s="354">
        <v>224220</v>
      </c>
    </row>
    <row r="723" spans="1:6" ht="31.5" customHeight="1" x14ac:dyDescent="0.25">
      <c r="A723" s="372" t="s">
        <v>711</v>
      </c>
      <c r="B723" s="373"/>
      <c r="C723" s="354">
        <v>224220</v>
      </c>
      <c r="D723" s="374">
        <v>0</v>
      </c>
      <c r="E723" s="374"/>
      <c r="F723" s="354">
        <v>224220</v>
      </c>
    </row>
    <row r="724" spans="1:6" ht="15.75" customHeight="1" x14ac:dyDescent="0.25">
      <c r="A724" s="372" t="s">
        <v>705</v>
      </c>
      <c r="B724" s="373"/>
      <c r="C724" s="354">
        <v>479779</v>
      </c>
      <c r="D724" s="374">
        <v>5052</v>
      </c>
      <c r="E724" s="375"/>
      <c r="F724" s="354">
        <v>484831</v>
      </c>
    </row>
    <row r="725" spans="1:6" ht="15.75" customHeight="1" x14ac:dyDescent="0.25">
      <c r="A725" s="372" t="s">
        <v>842</v>
      </c>
      <c r="B725" s="373"/>
      <c r="C725" s="354">
        <v>12700</v>
      </c>
      <c r="D725" s="374">
        <v>-187</v>
      </c>
      <c r="E725" s="375"/>
      <c r="F725" s="354">
        <v>12513</v>
      </c>
    </row>
    <row r="726" spans="1:6" ht="15.75" customHeight="1" x14ac:dyDescent="0.25">
      <c r="A726" s="372" t="s">
        <v>706</v>
      </c>
      <c r="B726" s="373"/>
      <c r="C726" s="354">
        <v>467079</v>
      </c>
      <c r="D726" s="374">
        <v>5239</v>
      </c>
      <c r="E726" s="375"/>
      <c r="F726" s="354">
        <v>472318</v>
      </c>
    </row>
    <row r="727" spans="1:6" ht="14.25" customHeight="1" x14ac:dyDescent="0.25"/>
    <row r="728" spans="1:6" ht="15.75" customHeight="1" x14ac:dyDescent="0.25">
      <c r="A728" s="382" t="s">
        <v>722</v>
      </c>
      <c r="B728" s="373"/>
      <c r="C728" s="373"/>
      <c r="D728" s="373"/>
      <c r="E728" s="373"/>
      <c r="F728" s="373"/>
    </row>
    <row r="729" spans="1:6" ht="15.75" customHeight="1" x14ac:dyDescent="0.25">
      <c r="A729" s="382" t="s">
        <v>698</v>
      </c>
      <c r="B729" s="383"/>
      <c r="C729" s="353">
        <v>1790894</v>
      </c>
      <c r="D729" s="384">
        <v>705060</v>
      </c>
      <c r="E729" s="385"/>
      <c r="F729" s="353">
        <v>2495954</v>
      </c>
    </row>
    <row r="730" spans="1:6" ht="15.75" customHeight="1" x14ac:dyDescent="0.25">
      <c r="A730" s="372" t="s">
        <v>699</v>
      </c>
      <c r="B730" s="373"/>
      <c r="C730" s="354">
        <v>1074671</v>
      </c>
      <c r="D730" s="374">
        <v>503353</v>
      </c>
      <c r="E730" s="375"/>
      <c r="F730" s="354">
        <v>1578024</v>
      </c>
    </row>
    <row r="731" spans="1:6" ht="15.75" customHeight="1" x14ac:dyDescent="0.25">
      <c r="A731" s="372" t="s">
        <v>700</v>
      </c>
      <c r="B731" s="373"/>
      <c r="C731" s="354">
        <v>845994</v>
      </c>
      <c r="D731" s="374">
        <v>405168</v>
      </c>
      <c r="E731" s="375"/>
      <c r="F731" s="354">
        <v>1251162</v>
      </c>
    </row>
    <row r="732" spans="1:6" ht="15.75" customHeight="1" x14ac:dyDescent="0.25">
      <c r="A732" s="372" t="s">
        <v>701</v>
      </c>
      <c r="B732" s="373"/>
      <c r="C732" s="354">
        <v>228677</v>
      </c>
      <c r="D732" s="374">
        <v>98185</v>
      </c>
      <c r="E732" s="375"/>
      <c r="F732" s="354">
        <v>326862</v>
      </c>
    </row>
    <row r="733" spans="1:6" ht="15.75" customHeight="1" x14ac:dyDescent="0.25">
      <c r="A733" s="372" t="s">
        <v>702</v>
      </c>
      <c r="B733" s="373"/>
      <c r="C733" s="354">
        <v>372227</v>
      </c>
      <c r="D733" s="374">
        <v>139529</v>
      </c>
      <c r="E733" s="375"/>
      <c r="F733" s="354">
        <v>511756</v>
      </c>
    </row>
    <row r="734" spans="1:6" ht="15.75" customHeight="1" x14ac:dyDescent="0.25">
      <c r="A734" s="372" t="s">
        <v>837</v>
      </c>
      <c r="B734" s="373"/>
      <c r="C734" s="354">
        <v>637</v>
      </c>
      <c r="D734" s="374">
        <v>500</v>
      </c>
      <c r="E734" s="375"/>
      <c r="F734" s="354">
        <v>1137</v>
      </c>
    </row>
    <row r="735" spans="1:6" ht="15.75" customHeight="1" x14ac:dyDescent="0.25">
      <c r="A735" s="372" t="s">
        <v>703</v>
      </c>
      <c r="B735" s="373"/>
      <c r="C735" s="354">
        <v>202488</v>
      </c>
      <c r="D735" s="374">
        <v>30852</v>
      </c>
      <c r="E735" s="375"/>
      <c r="F735" s="354">
        <v>233340</v>
      </c>
    </row>
    <row r="736" spans="1:6" ht="31.5" customHeight="1" x14ac:dyDescent="0.25">
      <c r="A736" s="372" t="s">
        <v>704</v>
      </c>
      <c r="B736" s="373"/>
      <c r="C736" s="354">
        <v>166056</v>
      </c>
      <c r="D736" s="374">
        <v>107877</v>
      </c>
      <c r="E736" s="375"/>
      <c r="F736" s="354">
        <v>273933</v>
      </c>
    </row>
    <row r="737" spans="1:6" ht="15.75" customHeight="1" x14ac:dyDescent="0.25">
      <c r="A737" s="372" t="s">
        <v>889</v>
      </c>
      <c r="B737" s="373"/>
      <c r="C737" s="354">
        <v>1000</v>
      </c>
      <c r="D737" s="374">
        <v>300</v>
      </c>
      <c r="E737" s="375"/>
      <c r="F737" s="354">
        <v>1300</v>
      </c>
    </row>
    <row r="738" spans="1:6" ht="15.75" customHeight="1" x14ac:dyDescent="0.25">
      <c r="A738" s="372" t="s">
        <v>839</v>
      </c>
      <c r="B738" s="373"/>
      <c r="C738" s="354">
        <v>2046</v>
      </c>
      <c r="D738" s="374">
        <v>0</v>
      </c>
      <c r="E738" s="374"/>
      <c r="F738" s="354">
        <v>2046</v>
      </c>
    </row>
    <row r="739" spans="1:6" ht="15.75" customHeight="1" x14ac:dyDescent="0.25">
      <c r="A739" s="372" t="s">
        <v>705</v>
      </c>
      <c r="B739" s="373"/>
      <c r="C739" s="354">
        <v>343996</v>
      </c>
      <c r="D739" s="374">
        <v>62178</v>
      </c>
      <c r="E739" s="375"/>
      <c r="F739" s="354">
        <v>406174</v>
      </c>
    </row>
    <row r="740" spans="1:6" ht="15.75" customHeight="1" x14ac:dyDescent="0.25">
      <c r="A740" s="372" t="s">
        <v>842</v>
      </c>
      <c r="B740" s="373"/>
      <c r="C740" s="354">
        <v>6978</v>
      </c>
      <c r="D740" s="374">
        <v>-6978</v>
      </c>
      <c r="E740" s="375"/>
      <c r="F740" s="354">
        <v>0</v>
      </c>
    </row>
    <row r="741" spans="1:6" ht="15.75" customHeight="1" x14ac:dyDescent="0.25">
      <c r="A741" s="372" t="s">
        <v>706</v>
      </c>
      <c r="B741" s="373"/>
      <c r="C741" s="354">
        <v>337018</v>
      </c>
      <c r="D741" s="374">
        <v>69156</v>
      </c>
      <c r="E741" s="375"/>
      <c r="F741" s="354">
        <v>406174</v>
      </c>
    </row>
    <row r="742" spans="1:6" ht="14.25" customHeight="1" x14ac:dyDescent="0.25"/>
    <row r="743" spans="1:6" ht="15.75" customHeight="1" x14ac:dyDescent="0.25">
      <c r="A743" s="382" t="s">
        <v>912</v>
      </c>
      <c r="B743" s="373"/>
      <c r="C743" s="373"/>
      <c r="D743" s="373"/>
      <c r="E743" s="373"/>
      <c r="F743" s="373"/>
    </row>
    <row r="744" spans="1:6" ht="15.75" customHeight="1" x14ac:dyDescent="0.25">
      <c r="A744" s="382" t="s">
        <v>698</v>
      </c>
      <c r="B744" s="383"/>
      <c r="C744" s="353">
        <v>120718</v>
      </c>
      <c r="D744" s="384">
        <v>53345</v>
      </c>
      <c r="E744" s="385"/>
      <c r="F744" s="353">
        <v>174063</v>
      </c>
    </row>
    <row r="745" spans="1:6" ht="15.75" customHeight="1" x14ac:dyDescent="0.25">
      <c r="A745" s="372" t="s">
        <v>699</v>
      </c>
      <c r="B745" s="373"/>
      <c r="C745" s="354">
        <v>7207</v>
      </c>
      <c r="D745" s="374">
        <v>247</v>
      </c>
      <c r="E745" s="375"/>
      <c r="F745" s="354">
        <v>7454</v>
      </c>
    </row>
    <row r="746" spans="1:6" ht="15.75" customHeight="1" x14ac:dyDescent="0.25">
      <c r="A746" s="372" t="s">
        <v>700</v>
      </c>
      <c r="B746" s="373"/>
      <c r="C746" s="354">
        <v>5828</v>
      </c>
      <c r="D746" s="374">
        <v>200</v>
      </c>
      <c r="E746" s="375"/>
      <c r="F746" s="354">
        <v>6028</v>
      </c>
    </row>
    <row r="747" spans="1:6" ht="15.75" customHeight="1" x14ac:dyDescent="0.25">
      <c r="A747" s="372" t="s">
        <v>701</v>
      </c>
      <c r="B747" s="373"/>
      <c r="C747" s="354">
        <v>1379</v>
      </c>
      <c r="D747" s="374">
        <v>47</v>
      </c>
      <c r="E747" s="375"/>
      <c r="F747" s="354">
        <v>1426</v>
      </c>
    </row>
    <row r="748" spans="1:6" ht="15.75" customHeight="1" x14ac:dyDescent="0.25">
      <c r="A748" s="372" t="s">
        <v>702</v>
      </c>
      <c r="B748" s="373"/>
      <c r="C748" s="354">
        <v>112511</v>
      </c>
      <c r="D748" s="374">
        <v>52248</v>
      </c>
      <c r="E748" s="375"/>
      <c r="F748" s="354">
        <v>164759</v>
      </c>
    </row>
    <row r="749" spans="1:6" ht="15.75" customHeight="1" x14ac:dyDescent="0.25">
      <c r="A749" s="372" t="s">
        <v>837</v>
      </c>
      <c r="B749" s="373"/>
      <c r="C749" s="354">
        <v>36388</v>
      </c>
      <c r="D749" s="374">
        <v>32858</v>
      </c>
      <c r="E749" s="375"/>
      <c r="F749" s="354">
        <v>69246</v>
      </c>
    </row>
    <row r="750" spans="1:6" ht="15.75" customHeight="1" x14ac:dyDescent="0.25">
      <c r="A750" s="372" t="s">
        <v>703</v>
      </c>
      <c r="B750" s="373"/>
      <c r="C750" s="354">
        <v>68927</v>
      </c>
      <c r="D750" s="374">
        <v>14348</v>
      </c>
      <c r="E750" s="375"/>
      <c r="F750" s="354">
        <v>83275</v>
      </c>
    </row>
    <row r="751" spans="1:6" ht="31.5" customHeight="1" x14ac:dyDescent="0.25">
      <c r="A751" s="372" t="s">
        <v>704</v>
      </c>
      <c r="B751" s="373"/>
      <c r="C751" s="354">
        <v>7196</v>
      </c>
      <c r="D751" s="374">
        <v>5042</v>
      </c>
      <c r="E751" s="375"/>
      <c r="F751" s="354">
        <v>12238</v>
      </c>
    </row>
    <row r="752" spans="1:6" ht="15.75" customHeight="1" x14ac:dyDescent="0.25">
      <c r="A752" s="372" t="s">
        <v>705</v>
      </c>
      <c r="B752" s="373"/>
      <c r="C752" s="354">
        <v>1000</v>
      </c>
      <c r="D752" s="374">
        <v>850</v>
      </c>
      <c r="E752" s="375"/>
      <c r="F752" s="354">
        <v>1850</v>
      </c>
    </row>
    <row r="753" spans="1:6" ht="15.75" customHeight="1" x14ac:dyDescent="0.25">
      <c r="A753" s="372" t="s">
        <v>706</v>
      </c>
      <c r="B753" s="373"/>
      <c r="C753" s="354">
        <v>1000</v>
      </c>
      <c r="D753" s="374">
        <v>850</v>
      </c>
      <c r="E753" s="375"/>
      <c r="F753" s="354">
        <v>1850</v>
      </c>
    </row>
    <row r="754" spans="1:6" ht="14.25" customHeight="1" x14ac:dyDescent="0.25"/>
    <row r="755" spans="1:6" ht="15.75" customHeight="1" x14ac:dyDescent="0.25">
      <c r="A755" s="382" t="s">
        <v>913</v>
      </c>
      <c r="B755" s="373"/>
      <c r="C755" s="373"/>
      <c r="D755" s="373"/>
      <c r="E755" s="373"/>
      <c r="F755" s="373"/>
    </row>
    <row r="756" spans="1:6" ht="15.75" customHeight="1" x14ac:dyDescent="0.25">
      <c r="A756" s="382" t="s">
        <v>698</v>
      </c>
      <c r="B756" s="383"/>
      <c r="C756" s="353">
        <v>906305</v>
      </c>
      <c r="D756" s="384">
        <v>166320</v>
      </c>
      <c r="E756" s="385"/>
      <c r="F756" s="353">
        <v>1072625</v>
      </c>
    </row>
    <row r="757" spans="1:6" ht="15.75" customHeight="1" x14ac:dyDescent="0.25">
      <c r="A757" s="372" t="s">
        <v>699</v>
      </c>
      <c r="B757" s="373"/>
      <c r="C757" s="354">
        <v>540159</v>
      </c>
      <c r="D757" s="374">
        <v>166320</v>
      </c>
      <c r="E757" s="375"/>
      <c r="F757" s="354">
        <v>706479</v>
      </c>
    </row>
    <row r="758" spans="1:6" ht="15.75" customHeight="1" x14ac:dyDescent="0.25">
      <c r="A758" s="372" t="s">
        <v>700</v>
      </c>
      <c r="B758" s="373"/>
      <c r="C758" s="354">
        <v>427751</v>
      </c>
      <c r="D758" s="374">
        <v>133574</v>
      </c>
      <c r="E758" s="375"/>
      <c r="F758" s="354">
        <v>561325</v>
      </c>
    </row>
    <row r="759" spans="1:6" ht="15.75" customHeight="1" x14ac:dyDescent="0.25">
      <c r="A759" s="372" t="s">
        <v>701</v>
      </c>
      <c r="B759" s="373"/>
      <c r="C759" s="354">
        <v>112408</v>
      </c>
      <c r="D759" s="374">
        <v>32746</v>
      </c>
      <c r="E759" s="375"/>
      <c r="F759" s="354">
        <v>145154</v>
      </c>
    </row>
    <row r="760" spans="1:6" ht="15.75" customHeight="1" x14ac:dyDescent="0.25">
      <c r="A760" s="372" t="s">
        <v>702</v>
      </c>
      <c r="B760" s="373"/>
      <c r="C760" s="354">
        <v>221116</v>
      </c>
      <c r="D760" s="374">
        <v>19047</v>
      </c>
      <c r="E760" s="375"/>
      <c r="F760" s="354">
        <v>240163</v>
      </c>
    </row>
    <row r="761" spans="1:6" ht="15.75" customHeight="1" x14ac:dyDescent="0.25">
      <c r="A761" s="372" t="s">
        <v>837</v>
      </c>
      <c r="B761" s="373"/>
      <c r="C761" s="354">
        <v>9278</v>
      </c>
      <c r="D761" s="374">
        <v>3605</v>
      </c>
      <c r="E761" s="375"/>
      <c r="F761" s="354">
        <v>12883</v>
      </c>
    </row>
    <row r="762" spans="1:6" ht="15.75" customHeight="1" x14ac:dyDescent="0.25">
      <c r="A762" s="372" t="s">
        <v>703</v>
      </c>
      <c r="B762" s="373"/>
      <c r="C762" s="354">
        <v>120997</v>
      </c>
      <c r="D762" s="374">
        <v>15467</v>
      </c>
      <c r="E762" s="375"/>
      <c r="F762" s="354">
        <v>136464</v>
      </c>
    </row>
    <row r="763" spans="1:6" ht="31.5" customHeight="1" x14ac:dyDescent="0.25">
      <c r="A763" s="372" t="s">
        <v>704</v>
      </c>
      <c r="B763" s="373"/>
      <c r="C763" s="354">
        <v>87884</v>
      </c>
      <c r="D763" s="374">
        <v>-25</v>
      </c>
      <c r="E763" s="375"/>
      <c r="F763" s="354">
        <v>87859</v>
      </c>
    </row>
    <row r="764" spans="1:6" ht="15.75" customHeight="1" x14ac:dyDescent="0.25">
      <c r="A764" s="372" t="s">
        <v>889</v>
      </c>
      <c r="B764" s="373"/>
      <c r="C764" s="354">
        <v>500</v>
      </c>
      <c r="D764" s="374">
        <v>0</v>
      </c>
      <c r="E764" s="374"/>
      <c r="F764" s="354">
        <v>500</v>
      </c>
    </row>
    <row r="765" spans="1:6" ht="15.75" customHeight="1" x14ac:dyDescent="0.25">
      <c r="A765" s="372" t="s">
        <v>839</v>
      </c>
      <c r="B765" s="373"/>
      <c r="C765" s="354">
        <v>2457</v>
      </c>
      <c r="D765" s="374">
        <v>0</v>
      </c>
      <c r="E765" s="374"/>
      <c r="F765" s="354">
        <v>2457</v>
      </c>
    </row>
    <row r="766" spans="1:6" ht="15.75" customHeight="1" x14ac:dyDescent="0.25">
      <c r="A766" s="372" t="s">
        <v>705</v>
      </c>
      <c r="B766" s="373"/>
      <c r="C766" s="354">
        <v>39930</v>
      </c>
      <c r="D766" s="374">
        <v>0</v>
      </c>
      <c r="E766" s="374"/>
      <c r="F766" s="354">
        <v>39930</v>
      </c>
    </row>
    <row r="767" spans="1:6" ht="15.75" customHeight="1" x14ac:dyDescent="0.25">
      <c r="A767" s="372" t="s">
        <v>842</v>
      </c>
      <c r="B767" s="373"/>
      <c r="C767" s="354">
        <v>2000</v>
      </c>
      <c r="D767" s="374">
        <v>0</v>
      </c>
      <c r="E767" s="374"/>
      <c r="F767" s="354">
        <v>2000</v>
      </c>
    </row>
    <row r="768" spans="1:6" ht="15.75" customHeight="1" x14ac:dyDescent="0.25">
      <c r="A768" s="372" t="s">
        <v>706</v>
      </c>
      <c r="B768" s="373"/>
      <c r="C768" s="354">
        <v>37930</v>
      </c>
      <c r="D768" s="374">
        <v>0</v>
      </c>
      <c r="E768" s="374"/>
      <c r="F768" s="354">
        <v>37930</v>
      </c>
    </row>
    <row r="769" spans="1:6" ht="15.75" customHeight="1" x14ac:dyDescent="0.25">
      <c r="A769" s="372" t="s">
        <v>881</v>
      </c>
      <c r="B769" s="373"/>
      <c r="C769" s="354">
        <v>105100</v>
      </c>
      <c r="D769" s="374">
        <v>-19047</v>
      </c>
      <c r="E769" s="375"/>
      <c r="F769" s="354">
        <v>86053</v>
      </c>
    </row>
    <row r="770" spans="1:6" ht="15.75" customHeight="1" x14ac:dyDescent="0.25">
      <c r="A770" s="372" t="s">
        <v>882</v>
      </c>
      <c r="B770" s="373"/>
      <c r="C770" s="354">
        <v>105100</v>
      </c>
      <c r="D770" s="374">
        <v>-19047</v>
      </c>
      <c r="E770" s="375"/>
      <c r="F770" s="354">
        <v>86053</v>
      </c>
    </row>
    <row r="771" spans="1:6" ht="14.25" customHeight="1" x14ac:dyDescent="0.25"/>
    <row r="772" spans="1:6" ht="15.75" customHeight="1" x14ac:dyDescent="0.25">
      <c r="A772" s="382" t="s">
        <v>914</v>
      </c>
      <c r="B772" s="373"/>
      <c r="C772" s="373"/>
      <c r="D772" s="373"/>
      <c r="E772" s="373"/>
      <c r="F772" s="373"/>
    </row>
    <row r="773" spans="1:6" ht="15.75" customHeight="1" x14ac:dyDescent="0.25">
      <c r="A773" s="382" t="s">
        <v>698</v>
      </c>
      <c r="B773" s="383"/>
      <c r="C773" s="353">
        <v>845287</v>
      </c>
      <c r="D773" s="384">
        <v>18750</v>
      </c>
      <c r="E773" s="385"/>
      <c r="F773" s="353">
        <v>864037</v>
      </c>
    </row>
    <row r="774" spans="1:6" ht="15.75" customHeight="1" x14ac:dyDescent="0.25">
      <c r="A774" s="372" t="s">
        <v>699</v>
      </c>
      <c r="B774" s="373"/>
      <c r="C774" s="354">
        <v>269293</v>
      </c>
      <c r="D774" s="374">
        <v>2512</v>
      </c>
      <c r="E774" s="375"/>
      <c r="F774" s="354">
        <v>271805</v>
      </c>
    </row>
    <row r="775" spans="1:6" ht="15.75" customHeight="1" x14ac:dyDescent="0.25">
      <c r="A775" s="372" t="s">
        <v>700</v>
      </c>
      <c r="B775" s="373"/>
      <c r="C775" s="354">
        <v>217892</v>
      </c>
      <c r="D775" s="374">
        <v>2512</v>
      </c>
      <c r="E775" s="375"/>
      <c r="F775" s="354">
        <v>220404</v>
      </c>
    </row>
    <row r="776" spans="1:6" ht="15.75" customHeight="1" x14ac:dyDescent="0.25">
      <c r="A776" s="372" t="s">
        <v>701</v>
      </c>
      <c r="B776" s="373"/>
      <c r="C776" s="354">
        <v>51401</v>
      </c>
      <c r="D776" s="374">
        <v>0</v>
      </c>
      <c r="E776" s="374"/>
      <c r="F776" s="354">
        <v>51401</v>
      </c>
    </row>
    <row r="777" spans="1:6" ht="15.75" customHeight="1" x14ac:dyDescent="0.25">
      <c r="A777" s="372" t="s">
        <v>702</v>
      </c>
      <c r="B777" s="373"/>
      <c r="C777" s="354">
        <v>367666</v>
      </c>
      <c r="D777" s="374">
        <v>16238</v>
      </c>
      <c r="E777" s="375"/>
      <c r="F777" s="354">
        <v>383904</v>
      </c>
    </row>
    <row r="778" spans="1:6" ht="15.75" customHeight="1" x14ac:dyDescent="0.25">
      <c r="A778" s="372" t="s">
        <v>837</v>
      </c>
      <c r="B778" s="373"/>
      <c r="C778" s="354">
        <v>15112</v>
      </c>
      <c r="D778" s="374">
        <v>0</v>
      </c>
      <c r="E778" s="374"/>
      <c r="F778" s="354">
        <v>15112</v>
      </c>
    </row>
    <row r="779" spans="1:6" ht="15.75" customHeight="1" x14ac:dyDescent="0.25">
      <c r="A779" s="372" t="s">
        <v>703</v>
      </c>
      <c r="B779" s="373"/>
      <c r="C779" s="354">
        <v>175784</v>
      </c>
      <c r="D779" s="374">
        <v>17204</v>
      </c>
      <c r="E779" s="375"/>
      <c r="F779" s="354">
        <v>192988</v>
      </c>
    </row>
    <row r="780" spans="1:6" ht="31.5" customHeight="1" x14ac:dyDescent="0.25">
      <c r="A780" s="372" t="s">
        <v>704</v>
      </c>
      <c r="B780" s="373"/>
      <c r="C780" s="354">
        <v>176770</v>
      </c>
      <c r="D780" s="374">
        <v>-966</v>
      </c>
      <c r="E780" s="375"/>
      <c r="F780" s="354">
        <v>175804</v>
      </c>
    </row>
    <row r="781" spans="1:6" ht="15.75" customHeight="1" x14ac:dyDescent="0.25">
      <c r="A781" s="372" t="s">
        <v>881</v>
      </c>
      <c r="B781" s="373"/>
      <c r="C781" s="354">
        <v>208328</v>
      </c>
      <c r="D781" s="374">
        <v>0</v>
      </c>
      <c r="E781" s="374"/>
      <c r="F781" s="354">
        <v>208328</v>
      </c>
    </row>
    <row r="782" spans="1:6" ht="15.75" customHeight="1" x14ac:dyDescent="0.25">
      <c r="A782" s="372" t="s">
        <v>882</v>
      </c>
      <c r="B782" s="373"/>
      <c r="C782" s="354">
        <v>208328</v>
      </c>
      <c r="D782" s="374">
        <v>0</v>
      </c>
      <c r="E782" s="374"/>
      <c r="F782" s="354">
        <v>208328</v>
      </c>
    </row>
    <row r="783" spans="1:6" ht="14.25" customHeight="1" x14ac:dyDescent="0.25"/>
    <row r="784" spans="1:6" ht="15.75" customHeight="1" x14ac:dyDescent="0.25">
      <c r="A784" s="382" t="s">
        <v>915</v>
      </c>
      <c r="B784" s="373"/>
      <c r="C784" s="373"/>
      <c r="D784" s="373"/>
      <c r="E784" s="373"/>
      <c r="F784" s="373"/>
    </row>
    <row r="785" spans="1:6" ht="15.75" customHeight="1" x14ac:dyDescent="0.25">
      <c r="A785" s="382" t="s">
        <v>698</v>
      </c>
      <c r="B785" s="383"/>
      <c r="C785" s="353">
        <v>755655</v>
      </c>
      <c r="D785" s="384">
        <v>173763</v>
      </c>
      <c r="E785" s="385"/>
      <c r="F785" s="353">
        <v>929418</v>
      </c>
    </row>
    <row r="786" spans="1:6" ht="15.75" customHeight="1" x14ac:dyDescent="0.25">
      <c r="A786" s="372" t="s">
        <v>699</v>
      </c>
      <c r="B786" s="373"/>
      <c r="C786" s="354">
        <v>506636</v>
      </c>
      <c r="D786" s="374">
        <v>166058</v>
      </c>
      <c r="E786" s="375"/>
      <c r="F786" s="354">
        <v>672694</v>
      </c>
    </row>
    <row r="787" spans="1:6" ht="15.75" customHeight="1" x14ac:dyDescent="0.25">
      <c r="A787" s="372" t="s">
        <v>700</v>
      </c>
      <c r="B787" s="373"/>
      <c r="C787" s="354">
        <v>397961</v>
      </c>
      <c r="D787" s="374">
        <v>133954</v>
      </c>
      <c r="E787" s="375"/>
      <c r="F787" s="354">
        <v>531915</v>
      </c>
    </row>
    <row r="788" spans="1:6" ht="15.75" customHeight="1" x14ac:dyDescent="0.25">
      <c r="A788" s="372" t="s">
        <v>701</v>
      </c>
      <c r="B788" s="373"/>
      <c r="C788" s="354">
        <v>108675</v>
      </c>
      <c r="D788" s="374">
        <v>32104</v>
      </c>
      <c r="E788" s="375"/>
      <c r="F788" s="354">
        <v>140779</v>
      </c>
    </row>
    <row r="789" spans="1:6" ht="15.75" customHeight="1" x14ac:dyDescent="0.25">
      <c r="A789" s="372" t="s">
        <v>702</v>
      </c>
      <c r="B789" s="373"/>
      <c r="C789" s="354">
        <v>203474</v>
      </c>
      <c r="D789" s="374">
        <v>8415</v>
      </c>
      <c r="E789" s="375"/>
      <c r="F789" s="354">
        <v>211889</v>
      </c>
    </row>
    <row r="790" spans="1:6" ht="15.75" customHeight="1" x14ac:dyDescent="0.25">
      <c r="A790" s="372" t="s">
        <v>837</v>
      </c>
      <c r="B790" s="373"/>
      <c r="C790" s="354">
        <v>1550</v>
      </c>
      <c r="D790" s="374">
        <v>-150</v>
      </c>
      <c r="E790" s="375"/>
      <c r="F790" s="354">
        <v>1400</v>
      </c>
    </row>
    <row r="791" spans="1:6" ht="15.75" customHeight="1" x14ac:dyDescent="0.25">
      <c r="A791" s="372" t="s">
        <v>703</v>
      </c>
      <c r="B791" s="373"/>
      <c r="C791" s="354">
        <v>140070</v>
      </c>
      <c r="D791" s="374">
        <v>2724</v>
      </c>
      <c r="E791" s="375"/>
      <c r="F791" s="354">
        <v>142794</v>
      </c>
    </row>
    <row r="792" spans="1:6" ht="31.5" customHeight="1" x14ac:dyDescent="0.25">
      <c r="A792" s="372" t="s">
        <v>704</v>
      </c>
      <c r="B792" s="373"/>
      <c r="C792" s="354">
        <v>59538</v>
      </c>
      <c r="D792" s="374">
        <v>4881</v>
      </c>
      <c r="E792" s="375"/>
      <c r="F792" s="354">
        <v>64419</v>
      </c>
    </row>
    <row r="793" spans="1:6" ht="15.75" customHeight="1" x14ac:dyDescent="0.25">
      <c r="A793" s="372" t="s">
        <v>889</v>
      </c>
      <c r="B793" s="373"/>
      <c r="C793" s="354">
        <v>460</v>
      </c>
      <c r="D793" s="374">
        <v>-200</v>
      </c>
      <c r="E793" s="375"/>
      <c r="F793" s="354">
        <v>260</v>
      </c>
    </row>
    <row r="794" spans="1:6" ht="15.75" customHeight="1" x14ac:dyDescent="0.25">
      <c r="A794" s="372" t="s">
        <v>839</v>
      </c>
      <c r="B794" s="373"/>
      <c r="C794" s="354">
        <v>1856</v>
      </c>
      <c r="D794" s="374">
        <v>1160</v>
      </c>
      <c r="E794" s="375"/>
      <c r="F794" s="354">
        <v>3016</v>
      </c>
    </row>
    <row r="795" spans="1:6" ht="15.75" customHeight="1" x14ac:dyDescent="0.25">
      <c r="A795" s="372" t="s">
        <v>705</v>
      </c>
      <c r="B795" s="373"/>
      <c r="C795" s="354">
        <v>45545</v>
      </c>
      <c r="D795" s="374">
        <v>-710</v>
      </c>
      <c r="E795" s="375"/>
      <c r="F795" s="354">
        <v>44835</v>
      </c>
    </row>
    <row r="796" spans="1:6" ht="15.75" customHeight="1" x14ac:dyDescent="0.25">
      <c r="A796" s="372" t="s">
        <v>842</v>
      </c>
      <c r="B796" s="373"/>
      <c r="C796" s="354">
        <v>200</v>
      </c>
      <c r="D796" s="374">
        <v>0</v>
      </c>
      <c r="E796" s="374"/>
      <c r="F796" s="354">
        <v>200</v>
      </c>
    </row>
    <row r="797" spans="1:6" ht="15.75" customHeight="1" x14ac:dyDescent="0.25">
      <c r="A797" s="372" t="s">
        <v>706</v>
      </c>
      <c r="B797" s="373"/>
      <c r="C797" s="354">
        <v>45345</v>
      </c>
      <c r="D797" s="374">
        <v>-710</v>
      </c>
      <c r="E797" s="375"/>
      <c r="F797" s="354">
        <v>44635</v>
      </c>
    </row>
    <row r="798" spans="1:6" ht="14.25" customHeight="1" x14ac:dyDescent="0.25"/>
    <row r="799" spans="1:6" ht="15.75" customHeight="1" x14ac:dyDescent="0.25">
      <c r="A799" s="382" t="s">
        <v>916</v>
      </c>
      <c r="B799" s="373"/>
      <c r="C799" s="373"/>
      <c r="D799" s="373"/>
      <c r="E799" s="373"/>
      <c r="F799" s="373"/>
    </row>
    <row r="800" spans="1:6" ht="15.75" customHeight="1" x14ac:dyDescent="0.25">
      <c r="A800" s="382" t="s">
        <v>698</v>
      </c>
      <c r="B800" s="383"/>
      <c r="C800" s="353">
        <v>222012</v>
      </c>
      <c r="D800" s="384">
        <v>26493</v>
      </c>
      <c r="E800" s="385"/>
      <c r="F800" s="353">
        <v>248505</v>
      </c>
    </row>
    <row r="801" spans="1:6" ht="15.75" customHeight="1" x14ac:dyDescent="0.25">
      <c r="A801" s="372" t="s">
        <v>699</v>
      </c>
      <c r="B801" s="373"/>
      <c r="C801" s="354">
        <v>150468</v>
      </c>
      <c r="D801" s="374">
        <v>25137</v>
      </c>
      <c r="E801" s="375"/>
      <c r="F801" s="354">
        <v>175605</v>
      </c>
    </row>
    <row r="802" spans="1:6" ht="15.75" customHeight="1" x14ac:dyDescent="0.25">
      <c r="A802" s="372" t="s">
        <v>700</v>
      </c>
      <c r="B802" s="373"/>
      <c r="C802" s="354">
        <v>118855</v>
      </c>
      <c r="D802" s="374">
        <v>20037</v>
      </c>
      <c r="E802" s="375"/>
      <c r="F802" s="354">
        <v>138892</v>
      </c>
    </row>
    <row r="803" spans="1:6" ht="15.75" customHeight="1" x14ac:dyDescent="0.25">
      <c r="A803" s="372" t="s">
        <v>701</v>
      </c>
      <c r="B803" s="373"/>
      <c r="C803" s="354">
        <v>31613</v>
      </c>
      <c r="D803" s="374">
        <v>5100</v>
      </c>
      <c r="E803" s="375"/>
      <c r="F803" s="354">
        <v>36713</v>
      </c>
    </row>
    <row r="804" spans="1:6" ht="15.75" customHeight="1" x14ac:dyDescent="0.25">
      <c r="A804" s="372" t="s">
        <v>702</v>
      </c>
      <c r="B804" s="373"/>
      <c r="C804" s="354">
        <v>69279</v>
      </c>
      <c r="D804" s="374">
        <v>-2138</v>
      </c>
      <c r="E804" s="375"/>
      <c r="F804" s="354">
        <v>67141</v>
      </c>
    </row>
    <row r="805" spans="1:6" ht="15.75" customHeight="1" x14ac:dyDescent="0.25">
      <c r="A805" s="372" t="s">
        <v>837</v>
      </c>
      <c r="B805" s="373"/>
      <c r="C805" s="354">
        <v>4821</v>
      </c>
      <c r="D805" s="374">
        <v>0</v>
      </c>
      <c r="E805" s="374"/>
      <c r="F805" s="354">
        <v>4821</v>
      </c>
    </row>
    <row r="806" spans="1:6" ht="15.75" customHeight="1" x14ac:dyDescent="0.25">
      <c r="A806" s="372" t="s">
        <v>703</v>
      </c>
      <c r="B806" s="373"/>
      <c r="C806" s="354">
        <v>52937</v>
      </c>
      <c r="D806" s="374">
        <v>-3391</v>
      </c>
      <c r="E806" s="375"/>
      <c r="F806" s="354">
        <v>49546</v>
      </c>
    </row>
    <row r="807" spans="1:6" ht="31.5" customHeight="1" x14ac:dyDescent="0.25">
      <c r="A807" s="372" t="s">
        <v>704</v>
      </c>
      <c r="B807" s="373"/>
      <c r="C807" s="354">
        <v>11021</v>
      </c>
      <c r="D807" s="374">
        <v>1453</v>
      </c>
      <c r="E807" s="375"/>
      <c r="F807" s="354">
        <v>12474</v>
      </c>
    </row>
    <row r="808" spans="1:6" ht="15.75" customHeight="1" x14ac:dyDescent="0.25">
      <c r="A808" s="372" t="s">
        <v>889</v>
      </c>
      <c r="B808" s="373"/>
      <c r="C808" s="354">
        <v>400</v>
      </c>
      <c r="D808" s="374">
        <v>-200</v>
      </c>
      <c r="E808" s="375"/>
      <c r="F808" s="354">
        <v>200</v>
      </c>
    </row>
    <row r="809" spans="1:6" ht="15.75" customHeight="1" x14ac:dyDescent="0.25">
      <c r="A809" s="372" t="s">
        <v>839</v>
      </c>
      <c r="B809" s="373"/>
      <c r="C809" s="354">
        <v>100</v>
      </c>
      <c r="D809" s="374">
        <v>0</v>
      </c>
      <c r="E809" s="374"/>
      <c r="F809" s="354">
        <v>100</v>
      </c>
    </row>
    <row r="810" spans="1:6" ht="15.75" customHeight="1" x14ac:dyDescent="0.25">
      <c r="A810" s="372" t="s">
        <v>705</v>
      </c>
      <c r="B810" s="373"/>
      <c r="C810" s="354">
        <v>2265</v>
      </c>
      <c r="D810" s="374">
        <v>3494</v>
      </c>
      <c r="E810" s="375"/>
      <c r="F810" s="354">
        <v>5759</v>
      </c>
    </row>
    <row r="811" spans="1:6" ht="15.75" customHeight="1" x14ac:dyDescent="0.25">
      <c r="A811" s="372" t="s">
        <v>842</v>
      </c>
      <c r="B811" s="373"/>
      <c r="C811" s="354">
        <v>0</v>
      </c>
      <c r="D811" s="374">
        <v>0</v>
      </c>
      <c r="E811" s="374"/>
      <c r="F811" s="354">
        <v>0</v>
      </c>
    </row>
    <row r="812" spans="1:6" ht="15.75" customHeight="1" x14ac:dyDescent="0.25">
      <c r="A812" s="372" t="s">
        <v>706</v>
      </c>
      <c r="B812" s="373"/>
      <c r="C812" s="354">
        <v>2265</v>
      </c>
      <c r="D812" s="374">
        <v>3494</v>
      </c>
      <c r="E812" s="375"/>
      <c r="F812" s="354">
        <v>5759</v>
      </c>
    </row>
    <row r="813" spans="1:6" ht="14.25" customHeight="1" x14ac:dyDescent="0.25"/>
    <row r="814" spans="1:6" ht="15.75" customHeight="1" x14ac:dyDescent="0.25">
      <c r="A814" s="382" t="s">
        <v>917</v>
      </c>
      <c r="B814" s="373"/>
      <c r="C814" s="373"/>
      <c r="D814" s="373"/>
      <c r="E814" s="373"/>
      <c r="F814" s="373"/>
    </row>
    <row r="815" spans="1:6" ht="15.75" customHeight="1" x14ac:dyDescent="0.25">
      <c r="A815" s="382" t="s">
        <v>698</v>
      </c>
      <c r="B815" s="383"/>
      <c r="C815" s="353">
        <v>727415</v>
      </c>
      <c r="D815" s="384">
        <v>1090</v>
      </c>
      <c r="E815" s="385"/>
      <c r="F815" s="353">
        <v>728505</v>
      </c>
    </row>
    <row r="816" spans="1:6" ht="15.75" customHeight="1" x14ac:dyDescent="0.25">
      <c r="A816" s="372" t="s">
        <v>699</v>
      </c>
      <c r="B816" s="373"/>
      <c r="C816" s="354">
        <v>540103</v>
      </c>
      <c r="D816" s="374">
        <v>0</v>
      </c>
      <c r="E816" s="374"/>
      <c r="F816" s="354">
        <v>540103</v>
      </c>
    </row>
    <row r="817" spans="1:6" ht="15.75" customHeight="1" x14ac:dyDescent="0.25">
      <c r="A817" s="372" t="s">
        <v>700</v>
      </c>
      <c r="B817" s="373"/>
      <c r="C817" s="354">
        <v>414252</v>
      </c>
      <c r="D817" s="374">
        <v>0</v>
      </c>
      <c r="E817" s="374"/>
      <c r="F817" s="354">
        <v>414252</v>
      </c>
    </row>
    <row r="818" spans="1:6" ht="15.75" customHeight="1" x14ac:dyDescent="0.25">
      <c r="A818" s="372" t="s">
        <v>701</v>
      </c>
      <c r="B818" s="373"/>
      <c r="C818" s="354">
        <v>125851</v>
      </c>
      <c r="D818" s="374">
        <v>0</v>
      </c>
      <c r="E818" s="374"/>
      <c r="F818" s="354">
        <v>125851</v>
      </c>
    </row>
    <row r="819" spans="1:6" ht="15.75" customHeight="1" x14ac:dyDescent="0.25">
      <c r="A819" s="372" t="s">
        <v>702</v>
      </c>
      <c r="B819" s="373"/>
      <c r="C819" s="354">
        <v>153247</v>
      </c>
      <c r="D819" s="374">
        <v>1690</v>
      </c>
      <c r="E819" s="375"/>
      <c r="F819" s="354">
        <v>154937</v>
      </c>
    </row>
    <row r="820" spans="1:6" ht="15.75" customHeight="1" x14ac:dyDescent="0.25">
      <c r="A820" s="372" t="s">
        <v>837</v>
      </c>
      <c r="B820" s="373"/>
      <c r="C820" s="354">
        <v>3550</v>
      </c>
      <c r="D820" s="374">
        <v>1860</v>
      </c>
      <c r="E820" s="375"/>
      <c r="F820" s="354">
        <v>5410</v>
      </c>
    </row>
    <row r="821" spans="1:6" ht="15.75" customHeight="1" x14ac:dyDescent="0.25">
      <c r="A821" s="372" t="s">
        <v>703</v>
      </c>
      <c r="B821" s="373"/>
      <c r="C821" s="354">
        <v>103872</v>
      </c>
      <c r="D821" s="374">
        <v>-2170</v>
      </c>
      <c r="E821" s="375"/>
      <c r="F821" s="354">
        <v>101702</v>
      </c>
    </row>
    <row r="822" spans="1:6" ht="31.5" customHeight="1" x14ac:dyDescent="0.25">
      <c r="A822" s="372" t="s">
        <v>704</v>
      </c>
      <c r="B822" s="373"/>
      <c r="C822" s="354">
        <v>45725</v>
      </c>
      <c r="D822" s="374">
        <v>2000</v>
      </c>
      <c r="E822" s="375"/>
      <c r="F822" s="354">
        <v>47725</v>
      </c>
    </row>
    <row r="823" spans="1:6" ht="15.75" customHeight="1" x14ac:dyDescent="0.25">
      <c r="A823" s="372" t="s">
        <v>889</v>
      </c>
      <c r="B823" s="373"/>
      <c r="C823" s="354">
        <v>100</v>
      </c>
      <c r="D823" s="374">
        <v>0</v>
      </c>
      <c r="E823" s="374"/>
      <c r="F823" s="354">
        <v>100</v>
      </c>
    </row>
    <row r="824" spans="1:6" ht="15.75" customHeight="1" x14ac:dyDescent="0.25">
      <c r="A824" s="372" t="s">
        <v>705</v>
      </c>
      <c r="B824" s="373"/>
      <c r="C824" s="354">
        <v>34065</v>
      </c>
      <c r="D824" s="374">
        <v>-600</v>
      </c>
      <c r="E824" s="375"/>
      <c r="F824" s="354">
        <v>33465</v>
      </c>
    </row>
    <row r="825" spans="1:6" ht="15.75" customHeight="1" x14ac:dyDescent="0.25">
      <c r="A825" s="372" t="s">
        <v>842</v>
      </c>
      <c r="B825" s="373"/>
      <c r="C825" s="354">
        <v>24140</v>
      </c>
      <c r="D825" s="374">
        <v>0</v>
      </c>
      <c r="E825" s="374"/>
      <c r="F825" s="354">
        <v>24140</v>
      </c>
    </row>
    <row r="826" spans="1:6" ht="15.75" customHeight="1" x14ac:dyDescent="0.25">
      <c r="A826" s="372" t="s">
        <v>706</v>
      </c>
      <c r="B826" s="373"/>
      <c r="C826" s="354">
        <v>9925</v>
      </c>
      <c r="D826" s="374">
        <v>-600</v>
      </c>
      <c r="E826" s="375"/>
      <c r="F826" s="354">
        <v>9325</v>
      </c>
    </row>
    <row r="827" spans="1:6" ht="14.25" customHeight="1" x14ac:dyDescent="0.25"/>
    <row r="828" spans="1:6" ht="15.75" customHeight="1" x14ac:dyDescent="0.25">
      <c r="A828" s="382" t="s">
        <v>918</v>
      </c>
      <c r="B828" s="373"/>
      <c r="C828" s="373"/>
      <c r="D828" s="373"/>
      <c r="E828" s="373"/>
      <c r="F828" s="373"/>
    </row>
    <row r="829" spans="1:6" ht="15.75" customHeight="1" x14ac:dyDescent="0.25">
      <c r="A829" s="382" t="s">
        <v>698</v>
      </c>
      <c r="B829" s="383"/>
      <c r="C829" s="353">
        <v>16810</v>
      </c>
      <c r="D829" s="384">
        <v>159692</v>
      </c>
      <c r="E829" s="385"/>
      <c r="F829" s="353">
        <v>176502</v>
      </c>
    </row>
    <row r="830" spans="1:6" ht="15.75" customHeight="1" x14ac:dyDescent="0.25">
      <c r="A830" s="372" t="s">
        <v>699</v>
      </c>
      <c r="B830" s="373"/>
      <c r="C830" s="354">
        <v>8489</v>
      </c>
      <c r="D830" s="374">
        <v>75176</v>
      </c>
      <c r="E830" s="375"/>
      <c r="F830" s="354">
        <v>83665</v>
      </c>
    </row>
    <row r="831" spans="1:6" ht="15.75" customHeight="1" x14ac:dyDescent="0.25">
      <c r="A831" s="372" t="s">
        <v>700</v>
      </c>
      <c r="B831" s="373"/>
      <c r="C831" s="354">
        <v>6869</v>
      </c>
      <c r="D831" s="374">
        <v>60743</v>
      </c>
      <c r="E831" s="375"/>
      <c r="F831" s="354">
        <v>67612</v>
      </c>
    </row>
    <row r="832" spans="1:6" ht="15.75" customHeight="1" x14ac:dyDescent="0.25">
      <c r="A832" s="372" t="s">
        <v>701</v>
      </c>
      <c r="B832" s="373"/>
      <c r="C832" s="354">
        <v>1620</v>
      </c>
      <c r="D832" s="374">
        <v>14433</v>
      </c>
      <c r="E832" s="375"/>
      <c r="F832" s="354">
        <v>16053</v>
      </c>
    </row>
    <row r="833" spans="1:6" ht="15.75" customHeight="1" x14ac:dyDescent="0.25">
      <c r="A833" s="372" t="s">
        <v>702</v>
      </c>
      <c r="B833" s="373"/>
      <c r="C833" s="354">
        <v>8321</v>
      </c>
      <c r="D833" s="374">
        <v>84516</v>
      </c>
      <c r="E833" s="375"/>
      <c r="F833" s="354">
        <v>92837</v>
      </c>
    </row>
    <row r="834" spans="1:6" ht="15.75" customHeight="1" x14ac:dyDescent="0.25">
      <c r="A834" s="372" t="s">
        <v>837</v>
      </c>
      <c r="B834" s="373"/>
      <c r="C834" s="354">
        <v>0</v>
      </c>
      <c r="D834" s="374">
        <v>5</v>
      </c>
      <c r="E834" s="375"/>
      <c r="F834" s="354">
        <v>5</v>
      </c>
    </row>
    <row r="835" spans="1:6" ht="15.75" customHeight="1" x14ac:dyDescent="0.25">
      <c r="A835" s="372" t="s">
        <v>703</v>
      </c>
      <c r="B835" s="373"/>
      <c r="C835" s="354">
        <v>8321</v>
      </c>
      <c r="D835" s="374">
        <v>79679</v>
      </c>
      <c r="E835" s="375"/>
      <c r="F835" s="354">
        <v>88000</v>
      </c>
    </row>
    <row r="836" spans="1:6" ht="31.5" customHeight="1" x14ac:dyDescent="0.25">
      <c r="A836" s="372" t="s">
        <v>704</v>
      </c>
      <c r="B836" s="373"/>
      <c r="C836" s="354">
        <v>0</v>
      </c>
      <c r="D836" s="374">
        <v>4832</v>
      </c>
      <c r="E836" s="375"/>
      <c r="F836" s="354">
        <v>4832</v>
      </c>
    </row>
    <row r="837" spans="1:6" ht="14.25" customHeight="1" x14ac:dyDescent="0.25"/>
    <row r="838" spans="1:6" ht="15.75" customHeight="1" x14ac:dyDescent="0.25">
      <c r="A838" s="382" t="s">
        <v>919</v>
      </c>
      <c r="B838" s="373"/>
      <c r="C838" s="373"/>
      <c r="D838" s="373"/>
      <c r="E838" s="373"/>
      <c r="F838" s="373"/>
    </row>
    <row r="839" spans="1:6" ht="15.75" customHeight="1" x14ac:dyDescent="0.25">
      <c r="A839" s="382" t="s">
        <v>698</v>
      </c>
      <c r="B839" s="383"/>
      <c r="C839" s="353">
        <v>52945</v>
      </c>
      <c r="D839" s="384">
        <v>803</v>
      </c>
      <c r="E839" s="385"/>
      <c r="F839" s="353">
        <v>53748</v>
      </c>
    </row>
    <row r="840" spans="1:6" ht="15.75" customHeight="1" x14ac:dyDescent="0.25">
      <c r="A840" s="372" t="s">
        <v>699</v>
      </c>
      <c r="B840" s="373"/>
      <c r="C840" s="354">
        <v>49156</v>
      </c>
      <c r="D840" s="374">
        <v>0</v>
      </c>
      <c r="E840" s="374"/>
      <c r="F840" s="354">
        <v>49156</v>
      </c>
    </row>
    <row r="841" spans="1:6" ht="15.75" customHeight="1" x14ac:dyDescent="0.25">
      <c r="A841" s="372" t="s">
        <v>700</v>
      </c>
      <c r="B841" s="373"/>
      <c r="C841" s="354">
        <v>37647</v>
      </c>
      <c r="D841" s="374">
        <v>0</v>
      </c>
      <c r="E841" s="374"/>
      <c r="F841" s="354">
        <v>37647</v>
      </c>
    </row>
    <row r="842" spans="1:6" ht="15.75" customHeight="1" x14ac:dyDescent="0.25">
      <c r="A842" s="372" t="s">
        <v>701</v>
      </c>
      <c r="B842" s="373"/>
      <c r="C842" s="354">
        <v>11509</v>
      </c>
      <c r="D842" s="374">
        <v>0</v>
      </c>
      <c r="E842" s="374"/>
      <c r="F842" s="354">
        <v>11509</v>
      </c>
    </row>
    <row r="843" spans="1:6" ht="15.75" customHeight="1" x14ac:dyDescent="0.25">
      <c r="A843" s="372" t="s">
        <v>702</v>
      </c>
      <c r="B843" s="373"/>
      <c r="C843" s="354">
        <v>2922</v>
      </c>
      <c r="D843" s="374">
        <v>803</v>
      </c>
      <c r="E843" s="375"/>
      <c r="F843" s="354">
        <v>3725</v>
      </c>
    </row>
    <row r="844" spans="1:6" ht="15.75" customHeight="1" x14ac:dyDescent="0.25">
      <c r="A844" s="372" t="s">
        <v>837</v>
      </c>
      <c r="B844" s="373"/>
      <c r="C844" s="354">
        <v>240</v>
      </c>
      <c r="D844" s="374">
        <v>0</v>
      </c>
      <c r="E844" s="374"/>
      <c r="F844" s="354">
        <v>240</v>
      </c>
    </row>
    <row r="845" spans="1:6" ht="15.75" customHeight="1" x14ac:dyDescent="0.25">
      <c r="A845" s="372" t="s">
        <v>703</v>
      </c>
      <c r="B845" s="373"/>
      <c r="C845" s="354">
        <v>1428</v>
      </c>
      <c r="D845" s="374">
        <v>0</v>
      </c>
      <c r="E845" s="374"/>
      <c r="F845" s="354">
        <v>1428</v>
      </c>
    </row>
    <row r="846" spans="1:6" ht="31.5" customHeight="1" x14ac:dyDescent="0.25">
      <c r="A846" s="372" t="s">
        <v>704</v>
      </c>
      <c r="B846" s="373"/>
      <c r="C846" s="354">
        <v>1111</v>
      </c>
      <c r="D846" s="374">
        <v>803</v>
      </c>
      <c r="E846" s="375"/>
      <c r="F846" s="354">
        <v>1914</v>
      </c>
    </row>
    <row r="847" spans="1:6" ht="15.75" customHeight="1" x14ac:dyDescent="0.25">
      <c r="A847" s="372" t="s">
        <v>839</v>
      </c>
      <c r="B847" s="373"/>
      <c r="C847" s="354">
        <v>143</v>
      </c>
      <c r="D847" s="374">
        <v>0</v>
      </c>
      <c r="E847" s="374"/>
      <c r="F847" s="354">
        <v>143</v>
      </c>
    </row>
    <row r="848" spans="1:6" ht="15.75" customHeight="1" x14ac:dyDescent="0.25">
      <c r="A848" s="372" t="s">
        <v>705</v>
      </c>
      <c r="B848" s="373"/>
      <c r="C848" s="354">
        <v>867</v>
      </c>
      <c r="D848" s="374">
        <v>0</v>
      </c>
      <c r="E848" s="374"/>
      <c r="F848" s="354">
        <v>867</v>
      </c>
    </row>
    <row r="849" spans="1:6" ht="15.75" customHeight="1" x14ac:dyDescent="0.25">
      <c r="A849" s="372" t="s">
        <v>706</v>
      </c>
      <c r="B849" s="373"/>
      <c r="C849" s="354">
        <v>867</v>
      </c>
      <c r="D849" s="374">
        <v>0</v>
      </c>
      <c r="E849" s="374"/>
      <c r="F849" s="354">
        <v>867</v>
      </c>
    </row>
    <row r="850" spans="1:6" ht="14.25" customHeight="1" x14ac:dyDescent="0.25"/>
    <row r="851" spans="1:6" ht="15.75" customHeight="1" x14ac:dyDescent="0.25">
      <c r="A851" s="382" t="s">
        <v>920</v>
      </c>
      <c r="B851" s="373"/>
      <c r="C851" s="373"/>
      <c r="D851" s="373"/>
      <c r="E851" s="373"/>
      <c r="F851" s="373"/>
    </row>
    <row r="852" spans="1:6" ht="15.75" customHeight="1" x14ac:dyDescent="0.25">
      <c r="A852" s="382" t="s">
        <v>698</v>
      </c>
      <c r="B852" s="383"/>
      <c r="C852" s="353">
        <v>2629421</v>
      </c>
      <c r="D852" s="384">
        <v>0</v>
      </c>
      <c r="E852" s="384"/>
      <c r="F852" s="353">
        <v>2629421</v>
      </c>
    </row>
    <row r="853" spans="1:6" ht="15.75" customHeight="1" x14ac:dyDescent="0.25">
      <c r="A853" s="372" t="s">
        <v>705</v>
      </c>
      <c r="B853" s="373"/>
      <c r="C853" s="354">
        <v>2629421</v>
      </c>
      <c r="D853" s="374">
        <v>0</v>
      </c>
      <c r="E853" s="374"/>
      <c r="F853" s="354">
        <v>2629421</v>
      </c>
    </row>
    <row r="854" spans="1:6" ht="15.75" customHeight="1" x14ac:dyDescent="0.25">
      <c r="A854" s="372" t="s">
        <v>706</v>
      </c>
      <c r="B854" s="373"/>
      <c r="C854" s="354">
        <v>2629421</v>
      </c>
      <c r="D854" s="374">
        <v>0</v>
      </c>
      <c r="E854" s="374"/>
      <c r="F854" s="354">
        <v>2629421</v>
      </c>
    </row>
    <row r="855" spans="1:6" ht="14.25" customHeight="1" x14ac:dyDescent="0.25"/>
    <row r="856" spans="1:6" ht="15.75" customHeight="1" x14ac:dyDescent="0.25">
      <c r="A856" s="382" t="s">
        <v>921</v>
      </c>
      <c r="B856" s="373"/>
      <c r="C856" s="373"/>
      <c r="D856" s="373"/>
      <c r="E856" s="373"/>
      <c r="F856" s="373"/>
    </row>
    <row r="857" spans="1:6" ht="15.75" customHeight="1" x14ac:dyDescent="0.25">
      <c r="A857" s="382" t="s">
        <v>698</v>
      </c>
      <c r="B857" s="383"/>
      <c r="C857" s="353">
        <v>2108276</v>
      </c>
      <c r="D857" s="384">
        <v>0</v>
      </c>
      <c r="E857" s="384"/>
      <c r="F857" s="353">
        <v>2108276</v>
      </c>
    </row>
    <row r="858" spans="1:6" ht="15.75" customHeight="1" x14ac:dyDescent="0.25">
      <c r="A858" s="372" t="s">
        <v>699</v>
      </c>
      <c r="B858" s="373"/>
      <c r="C858" s="354">
        <v>1036882</v>
      </c>
      <c r="D858" s="374">
        <v>0</v>
      </c>
      <c r="E858" s="374"/>
      <c r="F858" s="354">
        <v>1036882</v>
      </c>
    </row>
    <row r="859" spans="1:6" ht="15.75" customHeight="1" x14ac:dyDescent="0.25">
      <c r="A859" s="372" t="s">
        <v>700</v>
      </c>
      <c r="B859" s="373"/>
      <c r="C859" s="354">
        <v>829255</v>
      </c>
      <c r="D859" s="374">
        <v>0</v>
      </c>
      <c r="E859" s="374"/>
      <c r="F859" s="354">
        <v>829255</v>
      </c>
    </row>
    <row r="860" spans="1:6" ht="15.75" customHeight="1" x14ac:dyDescent="0.25">
      <c r="A860" s="372" t="s">
        <v>701</v>
      </c>
      <c r="B860" s="373"/>
      <c r="C860" s="354">
        <v>207627</v>
      </c>
      <c r="D860" s="374">
        <v>0</v>
      </c>
      <c r="E860" s="374"/>
      <c r="F860" s="354">
        <v>207627</v>
      </c>
    </row>
    <row r="861" spans="1:6" ht="15.75" customHeight="1" x14ac:dyDescent="0.25">
      <c r="A861" s="372" t="s">
        <v>702</v>
      </c>
      <c r="B861" s="373"/>
      <c r="C861" s="354">
        <v>1071394</v>
      </c>
      <c r="D861" s="374">
        <v>0</v>
      </c>
      <c r="E861" s="374"/>
      <c r="F861" s="354">
        <v>1071394</v>
      </c>
    </row>
    <row r="862" spans="1:6" ht="15.75" customHeight="1" x14ac:dyDescent="0.25">
      <c r="A862" s="372" t="s">
        <v>837</v>
      </c>
      <c r="B862" s="373"/>
      <c r="C862" s="354">
        <v>55787</v>
      </c>
      <c r="D862" s="374">
        <v>0</v>
      </c>
      <c r="E862" s="374"/>
      <c r="F862" s="354">
        <v>55787</v>
      </c>
    </row>
    <row r="863" spans="1:6" ht="15.75" customHeight="1" x14ac:dyDescent="0.25">
      <c r="A863" s="372" t="s">
        <v>703</v>
      </c>
      <c r="B863" s="373"/>
      <c r="C863" s="354">
        <v>937776</v>
      </c>
      <c r="D863" s="374">
        <v>0</v>
      </c>
      <c r="E863" s="374"/>
      <c r="F863" s="354">
        <v>937776</v>
      </c>
    </row>
    <row r="864" spans="1:6" ht="31.5" customHeight="1" x14ac:dyDescent="0.25">
      <c r="A864" s="372" t="s">
        <v>704</v>
      </c>
      <c r="B864" s="373"/>
      <c r="C864" s="354">
        <v>76240</v>
      </c>
      <c r="D864" s="374">
        <v>0</v>
      </c>
      <c r="E864" s="374"/>
      <c r="F864" s="354">
        <v>76240</v>
      </c>
    </row>
    <row r="865" spans="1:6" ht="15.75" customHeight="1" x14ac:dyDescent="0.25">
      <c r="A865" s="372" t="s">
        <v>839</v>
      </c>
      <c r="B865" s="373"/>
      <c r="C865" s="354">
        <v>1591</v>
      </c>
      <c r="D865" s="374">
        <v>0</v>
      </c>
      <c r="E865" s="374"/>
      <c r="F865" s="354">
        <v>1591</v>
      </c>
    </row>
    <row r="866" spans="1:6" ht="14.25" hidden="1" customHeight="1" x14ac:dyDescent="0.25"/>
    <row r="867" spans="1:6" ht="15.75" hidden="1" customHeight="1" x14ac:dyDescent="0.25">
      <c r="A867" s="382" t="s">
        <v>922</v>
      </c>
      <c r="B867" s="373"/>
      <c r="C867" s="373"/>
      <c r="D867" s="373"/>
      <c r="E867" s="373"/>
      <c r="F867" s="373"/>
    </row>
    <row r="868" spans="1:6" ht="15.75" hidden="1" customHeight="1" x14ac:dyDescent="0.25">
      <c r="A868" s="382" t="s">
        <v>698</v>
      </c>
      <c r="B868" s="383"/>
      <c r="C868" s="353">
        <v>908126</v>
      </c>
      <c r="D868" s="384">
        <v>0</v>
      </c>
      <c r="E868" s="384"/>
      <c r="F868" s="353">
        <v>908126</v>
      </c>
    </row>
    <row r="869" spans="1:6" ht="15.75" hidden="1" customHeight="1" x14ac:dyDescent="0.25">
      <c r="A869" s="372" t="s">
        <v>699</v>
      </c>
      <c r="B869" s="373"/>
      <c r="C869" s="354">
        <v>572255</v>
      </c>
      <c r="D869" s="374">
        <v>0</v>
      </c>
      <c r="E869" s="374"/>
      <c r="F869" s="354">
        <v>572255</v>
      </c>
    </row>
    <row r="870" spans="1:6" ht="15.75" hidden="1" customHeight="1" x14ac:dyDescent="0.25">
      <c r="A870" s="372" t="s">
        <v>700</v>
      </c>
      <c r="B870" s="373"/>
      <c r="C870" s="354">
        <v>456928</v>
      </c>
      <c r="D870" s="374">
        <v>0</v>
      </c>
      <c r="E870" s="374"/>
      <c r="F870" s="354">
        <v>456928</v>
      </c>
    </row>
    <row r="871" spans="1:6" ht="15.75" hidden="1" customHeight="1" x14ac:dyDescent="0.25">
      <c r="A871" s="372" t="s">
        <v>701</v>
      </c>
      <c r="B871" s="373"/>
      <c r="C871" s="354">
        <v>115327</v>
      </c>
      <c r="D871" s="374">
        <v>0</v>
      </c>
      <c r="E871" s="374"/>
      <c r="F871" s="354">
        <v>115327</v>
      </c>
    </row>
    <row r="872" spans="1:6" ht="15.75" hidden="1" customHeight="1" x14ac:dyDescent="0.25">
      <c r="A872" s="372" t="s">
        <v>702</v>
      </c>
      <c r="B872" s="373"/>
      <c r="C872" s="354">
        <v>335871</v>
      </c>
      <c r="D872" s="374">
        <v>0</v>
      </c>
      <c r="E872" s="374"/>
      <c r="F872" s="354">
        <v>335871</v>
      </c>
    </row>
    <row r="873" spans="1:6" ht="15.75" hidden="1" customHeight="1" x14ac:dyDescent="0.25">
      <c r="A873" s="372" t="s">
        <v>837</v>
      </c>
      <c r="B873" s="373"/>
      <c r="C873" s="354">
        <v>42300</v>
      </c>
      <c r="D873" s="374">
        <v>0</v>
      </c>
      <c r="E873" s="374"/>
      <c r="F873" s="354">
        <v>42300</v>
      </c>
    </row>
    <row r="874" spans="1:6" ht="15.75" hidden="1" customHeight="1" x14ac:dyDescent="0.25">
      <c r="A874" s="372" t="s">
        <v>703</v>
      </c>
      <c r="B874" s="373"/>
      <c r="C874" s="354">
        <v>256190</v>
      </c>
      <c r="D874" s="374">
        <v>0</v>
      </c>
      <c r="E874" s="374"/>
      <c r="F874" s="354">
        <v>256190</v>
      </c>
    </row>
    <row r="875" spans="1:6" ht="31.5" hidden="1" customHeight="1" x14ac:dyDescent="0.25">
      <c r="A875" s="372" t="s">
        <v>704</v>
      </c>
      <c r="B875" s="373"/>
      <c r="C875" s="354">
        <v>36350</v>
      </c>
      <c r="D875" s="374">
        <v>0</v>
      </c>
      <c r="E875" s="374"/>
      <c r="F875" s="354">
        <v>36350</v>
      </c>
    </row>
    <row r="876" spans="1:6" ht="15.75" hidden="1" customHeight="1" x14ac:dyDescent="0.25">
      <c r="A876" s="372" t="s">
        <v>839</v>
      </c>
      <c r="B876" s="373"/>
      <c r="C876" s="354">
        <v>1031</v>
      </c>
      <c r="D876" s="374">
        <v>0</v>
      </c>
      <c r="E876" s="374"/>
      <c r="F876" s="354">
        <v>1031</v>
      </c>
    </row>
    <row r="877" spans="1:6" ht="14.25" hidden="1" customHeight="1" x14ac:dyDescent="0.25"/>
    <row r="878" spans="1:6" ht="15.75" hidden="1" customHeight="1" x14ac:dyDescent="0.25">
      <c r="A878" s="382" t="s">
        <v>923</v>
      </c>
      <c r="B878" s="373"/>
      <c r="C878" s="373"/>
      <c r="D878" s="373"/>
      <c r="E878" s="373"/>
      <c r="F878" s="373"/>
    </row>
    <row r="879" spans="1:6" ht="15.75" hidden="1" customHeight="1" x14ac:dyDescent="0.25">
      <c r="A879" s="382" t="s">
        <v>698</v>
      </c>
      <c r="B879" s="383"/>
      <c r="C879" s="353">
        <v>379706</v>
      </c>
      <c r="D879" s="384">
        <v>0</v>
      </c>
      <c r="E879" s="384"/>
      <c r="F879" s="353">
        <v>379706</v>
      </c>
    </row>
    <row r="880" spans="1:6" ht="15.75" hidden="1" customHeight="1" x14ac:dyDescent="0.25">
      <c r="A880" s="372" t="s">
        <v>699</v>
      </c>
      <c r="B880" s="373"/>
      <c r="C880" s="354">
        <v>149285</v>
      </c>
      <c r="D880" s="374">
        <v>0</v>
      </c>
      <c r="E880" s="374"/>
      <c r="F880" s="354">
        <v>149285</v>
      </c>
    </row>
    <row r="881" spans="1:6" ht="15.75" hidden="1" customHeight="1" x14ac:dyDescent="0.25">
      <c r="A881" s="372" t="s">
        <v>700</v>
      </c>
      <c r="B881" s="373"/>
      <c r="C881" s="354">
        <v>119129</v>
      </c>
      <c r="D881" s="374">
        <v>0</v>
      </c>
      <c r="E881" s="374"/>
      <c r="F881" s="354">
        <v>119129</v>
      </c>
    </row>
    <row r="882" spans="1:6" ht="15.75" hidden="1" customHeight="1" x14ac:dyDescent="0.25">
      <c r="A882" s="372" t="s">
        <v>701</v>
      </c>
      <c r="B882" s="373"/>
      <c r="C882" s="354">
        <v>30156</v>
      </c>
      <c r="D882" s="374">
        <v>0</v>
      </c>
      <c r="E882" s="374"/>
      <c r="F882" s="354">
        <v>30156</v>
      </c>
    </row>
    <row r="883" spans="1:6" ht="15.75" hidden="1" customHeight="1" x14ac:dyDescent="0.25">
      <c r="A883" s="372" t="s">
        <v>702</v>
      </c>
      <c r="B883" s="373"/>
      <c r="C883" s="354">
        <v>230421</v>
      </c>
      <c r="D883" s="374">
        <v>0</v>
      </c>
      <c r="E883" s="374"/>
      <c r="F883" s="354">
        <v>230421</v>
      </c>
    </row>
    <row r="884" spans="1:6" ht="15.75" hidden="1" customHeight="1" x14ac:dyDescent="0.25">
      <c r="A884" s="372" t="s">
        <v>837</v>
      </c>
      <c r="B884" s="373"/>
      <c r="C884" s="354">
        <v>8300</v>
      </c>
      <c r="D884" s="374">
        <v>0</v>
      </c>
      <c r="E884" s="374"/>
      <c r="F884" s="354">
        <v>8300</v>
      </c>
    </row>
    <row r="885" spans="1:6" ht="15.75" hidden="1" customHeight="1" x14ac:dyDescent="0.25">
      <c r="A885" s="372" t="s">
        <v>703</v>
      </c>
      <c r="B885" s="373"/>
      <c r="C885" s="354">
        <v>209071</v>
      </c>
      <c r="D885" s="374">
        <v>0</v>
      </c>
      <c r="E885" s="374"/>
      <c r="F885" s="354">
        <v>209071</v>
      </c>
    </row>
    <row r="886" spans="1:6" ht="31.5" hidden="1" customHeight="1" x14ac:dyDescent="0.25">
      <c r="A886" s="372" t="s">
        <v>704</v>
      </c>
      <c r="B886" s="373"/>
      <c r="C886" s="354">
        <v>12590</v>
      </c>
      <c r="D886" s="374">
        <v>0</v>
      </c>
      <c r="E886" s="374"/>
      <c r="F886" s="354">
        <v>12590</v>
      </c>
    </row>
    <row r="887" spans="1:6" ht="15.75" hidden="1" customHeight="1" x14ac:dyDescent="0.25">
      <c r="A887" s="372" t="s">
        <v>839</v>
      </c>
      <c r="B887" s="373"/>
      <c r="C887" s="354">
        <v>460</v>
      </c>
      <c r="D887" s="374">
        <v>0</v>
      </c>
      <c r="E887" s="374"/>
      <c r="F887" s="354">
        <v>460</v>
      </c>
    </row>
    <row r="888" spans="1:6" ht="14.25" hidden="1" customHeight="1" x14ac:dyDescent="0.25"/>
    <row r="889" spans="1:6" ht="15.75" hidden="1" customHeight="1" x14ac:dyDescent="0.25">
      <c r="A889" s="382" t="s">
        <v>924</v>
      </c>
      <c r="B889" s="373"/>
      <c r="C889" s="373"/>
      <c r="D889" s="373"/>
      <c r="E889" s="373"/>
      <c r="F889" s="373"/>
    </row>
    <row r="890" spans="1:6" ht="15.75" hidden="1" customHeight="1" x14ac:dyDescent="0.25">
      <c r="A890" s="382" t="s">
        <v>698</v>
      </c>
      <c r="B890" s="383"/>
      <c r="C890" s="353">
        <v>820444</v>
      </c>
      <c r="D890" s="384">
        <v>0</v>
      </c>
      <c r="E890" s="384"/>
      <c r="F890" s="353">
        <v>820444</v>
      </c>
    </row>
    <row r="891" spans="1:6" ht="15.75" hidden="1" customHeight="1" x14ac:dyDescent="0.25">
      <c r="A891" s="372" t="s">
        <v>699</v>
      </c>
      <c r="B891" s="373"/>
      <c r="C891" s="354">
        <v>315342</v>
      </c>
      <c r="D891" s="374">
        <v>0</v>
      </c>
      <c r="E891" s="374"/>
      <c r="F891" s="354">
        <v>315342</v>
      </c>
    </row>
    <row r="892" spans="1:6" ht="15.75" hidden="1" customHeight="1" x14ac:dyDescent="0.25">
      <c r="A892" s="372" t="s">
        <v>700</v>
      </c>
      <c r="B892" s="373"/>
      <c r="C892" s="354">
        <v>253198</v>
      </c>
      <c r="D892" s="374">
        <v>0</v>
      </c>
      <c r="E892" s="374"/>
      <c r="F892" s="354">
        <v>253198</v>
      </c>
    </row>
    <row r="893" spans="1:6" ht="15.75" hidden="1" customHeight="1" x14ac:dyDescent="0.25">
      <c r="A893" s="372" t="s">
        <v>701</v>
      </c>
      <c r="B893" s="373"/>
      <c r="C893" s="354">
        <v>62144</v>
      </c>
      <c r="D893" s="374">
        <v>0</v>
      </c>
      <c r="E893" s="374"/>
      <c r="F893" s="354">
        <v>62144</v>
      </c>
    </row>
    <row r="894" spans="1:6" ht="15.75" hidden="1" customHeight="1" x14ac:dyDescent="0.25">
      <c r="A894" s="372" t="s">
        <v>702</v>
      </c>
      <c r="B894" s="373"/>
      <c r="C894" s="354">
        <v>505102</v>
      </c>
      <c r="D894" s="374">
        <v>0</v>
      </c>
      <c r="E894" s="374"/>
      <c r="F894" s="354">
        <v>505102</v>
      </c>
    </row>
    <row r="895" spans="1:6" ht="15.75" hidden="1" customHeight="1" x14ac:dyDescent="0.25">
      <c r="A895" s="372" t="s">
        <v>837</v>
      </c>
      <c r="B895" s="373"/>
      <c r="C895" s="354">
        <v>5187</v>
      </c>
      <c r="D895" s="374">
        <v>0</v>
      </c>
      <c r="E895" s="374"/>
      <c r="F895" s="354">
        <v>5187</v>
      </c>
    </row>
    <row r="896" spans="1:6" ht="15.75" hidden="1" customHeight="1" x14ac:dyDescent="0.25">
      <c r="A896" s="372" t="s">
        <v>703</v>
      </c>
      <c r="B896" s="373"/>
      <c r="C896" s="354">
        <v>472515</v>
      </c>
      <c r="D896" s="374">
        <v>0</v>
      </c>
      <c r="E896" s="374"/>
      <c r="F896" s="354">
        <v>472515</v>
      </c>
    </row>
    <row r="897" spans="1:6" ht="31.5" hidden="1" customHeight="1" x14ac:dyDescent="0.25">
      <c r="A897" s="372" t="s">
        <v>704</v>
      </c>
      <c r="B897" s="373"/>
      <c r="C897" s="354">
        <v>27300</v>
      </c>
      <c r="D897" s="374">
        <v>0</v>
      </c>
      <c r="E897" s="374"/>
      <c r="F897" s="354">
        <v>27300</v>
      </c>
    </row>
    <row r="898" spans="1:6" ht="15.75" hidden="1" customHeight="1" x14ac:dyDescent="0.25">
      <c r="A898" s="372" t="s">
        <v>839</v>
      </c>
      <c r="B898" s="373"/>
      <c r="C898" s="354">
        <v>100</v>
      </c>
      <c r="D898" s="374">
        <v>0</v>
      </c>
      <c r="E898" s="374"/>
      <c r="F898" s="354">
        <v>100</v>
      </c>
    </row>
    <row r="899" spans="1:6" ht="14.25" customHeight="1" x14ac:dyDescent="0.25"/>
    <row r="900" spans="1:6" ht="15.75" customHeight="1" x14ac:dyDescent="0.25">
      <c r="A900" s="382" t="s">
        <v>963</v>
      </c>
      <c r="B900" s="373"/>
      <c r="C900" s="373"/>
      <c r="D900" s="373"/>
      <c r="E900" s="373"/>
      <c r="F900" s="373"/>
    </row>
    <row r="901" spans="1:6" ht="15.75" customHeight="1" x14ac:dyDescent="0.25">
      <c r="A901" s="382" t="s">
        <v>698</v>
      </c>
      <c r="B901" s="383"/>
      <c r="C901" s="353">
        <v>3302</v>
      </c>
      <c r="D901" s="384">
        <v>0</v>
      </c>
      <c r="E901" s="384"/>
      <c r="F901" s="353">
        <v>3302</v>
      </c>
    </row>
    <row r="902" spans="1:6" ht="15.75" customHeight="1" x14ac:dyDescent="0.25">
      <c r="A902" s="372" t="s">
        <v>699</v>
      </c>
      <c r="B902" s="373"/>
      <c r="C902" s="354">
        <v>1614</v>
      </c>
      <c r="D902" s="374">
        <v>0</v>
      </c>
      <c r="E902" s="374"/>
      <c r="F902" s="354">
        <v>1614</v>
      </c>
    </row>
    <row r="903" spans="1:6" ht="15.75" customHeight="1" x14ac:dyDescent="0.25">
      <c r="A903" s="372" t="s">
        <v>700</v>
      </c>
      <c r="B903" s="373"/>
      <c r="C903" s="354">
        <v>1306</v>
      </c>
      <c r="D903" s="374">
        <v>0</v>
      </c>
      <c r="E903" s="374"/>
      <c r="F903" s="354">
        <v>1306</v>
      </c>
    </row>
    <row r="904" spans="1:6" ht="15.75" customHeight="1" x14ac:dyDescent="0.25">
      <c r="A904" s="372" t="s">
        <v>701</v>
      </c>
      <c r="B904" s="373"/>
      <c r="C904" s="354">
        <v>308</v>
      </c>
      <c r="D904" s="374">
        <v>0</v>
      </c>
      <c r="E904" s="374"/>
      <c r="F904" s="354">
        <v>308</v>
      </c>
    </row>
    <row r="905" spans="1:6" ht="15.75" customHeight="1" x14ac:dyDescent="0.25">
      <c r="A905" s="372" t="s">
        <v>702</v>
      </c>
      <c r="B905" s="373"/>
      <c r="C905" s="354">
        <v>1688</v>
      </c>
      <c r="D905" s="374">
        <v>0</v>
      </c>
      <c r="E905" s="374"/>
      <c r="F905" s="354">
        <v>1688</v>
      </c>
    </row>
    <row r="906" spans="1:6" ht="15.75" customHeight="1" x14ac:dyDescent="0.25">
      <c r="A906" s="372" t="s">
        <v>703</v>
      </c>
      <c r="B906" s="373"/>
      <c r="C906" s="354">
        <v>845</v>
      </c>
      <c r="D906" s="374">
        <v>0</v>
      </c>
      <c r="E906" s="374"/>
      <c r="F906" s="354">
        <v>845</v>
      </c>
    </row>
    <row r="907" spans="1:6" ht="31.5" customHeight="1" x14ac:dyDescent="0.25">
      <c r="A907" s="372" t="s">
        <v>704</v>
      </c>
      <c r="B907" s="373"/>
      <c r="C907" s="354">
        <v>843</v>
      </c>
      <c r="D907" s="374">
        <v>0</v>
      </c>
      <c r="E907" s="374"/>
      <c r="F907" s="354">
        <v>843</v>
      </c>
    </row>
    <row r="908" spans="1:6" ht="14.25" customHeight="1" x14ac:dyDescent="0.25"/>
    <row r="909" spans="1:6" ht="15.75" customHeight="1" x14ac:dyDescent="0.25">
      <c r="A909" s="382" t="s">
        <v>925</v>
      </c>
      <c r="B909" s="373"/>
      <c r="C909" s="373"/>
      <c r="D909" s="373"/>
      <c r="E909" s="373"/>
      <c r="F909" s="373"/>
    </row>
    <row r="910" spans="1:6" ht="15.75" customHeight="1" x14ac:dyDescent="0.25">
      <c r="A910" s="382" t="s">
        <v>698</v>
      </c>
      <c r="B910" s="383"/>
      <c r="C910" s="353">
        <v>4900</v>
      </c>
      <c r="D910" s="384">
        <v>0</v>
      </c>
      <c r="E910" s="384"/>
      <c r="F910" s="353">
        <v>4900</v>
      </c>
    </row>
    <row r="911" spans="1:6" ht="15.75" customHeight="1" x14ac:dyDescent="0.25">
      <c r="A911" s="372" t="s">
        <v>710</v>
      </c>
      <c r="B911" s="373"/>
      <c r="C911" s="354">
        <v>4900</v>
      </c>
      <c r="D911" s="374">
        <v>0</v>
      </c>
      <c r="E911" s="374"/>
      <c r="F911" s="354">
        <v>4900</v>
      </c>
    </row>
    <row r="912" spans="1:6" ht="31.5" customHeight="1" x14ac:dyDescent="0.25">
      <c r="A912" s="372" t="s">
        <v>711</v>
      </c>
      <c r="B912" s="373"/>
      <c r="C912" s="354">
        <v>4900</v>
      </c>
      <c r="D912" s="374">
        <v>0</v>
      </c>
      <c r="E912" s="374"/>
      <c r="F912" s="354">
        <v>4900</v>
      </c>
    </row>
    <row r="913" spans="1:6" ht="14.25" customHeight="1" x14ac:dyDescent="0.25"/>
    <row r="914" spans="1:6" ht="15.75" customHeight="1" x14ac:dyDescent="0.25">
      <c r="A914" s="382" t="s">
        <v>926</v>
      </c>
      <c r="B914" s="373"/>
      <c r="C914" s="373"/>
      <c r="D914" s="373"/>
      <c r="E914" s="373"/>
      <c r="F914" s="373"/>
    </row>
    <row r="915" spans="1:6" ht="15.75" customHeight="1" x14ac:dyDescent="0.25">
      <c r="A915" s="382" t="s">
        <v>698</v>
      </c>
      <c r="B915" s="383"/>
      <c r="C915" s="353">
        <v>1400</v>
      </c>
      <c r="D915" s="384">
        <v>0</v>
      </c>
      <c r="E915" s="384"/>
      <c r="F915" s="353">
        <v>1400</v>
      </c>
    </row>
    <row r="916" spans="1:6" ht="15.75" customHeight="1" x14ac:dyDescent="0.25">
      <c r="A916" s="372" t="s">
        <v>710</v>
      </c>
      <c r="B916" s="373"/>
      <c r="C916" s="354">
        <v>1400</v>
      </c>
      <c r="D916" s="374">
        <v>0</v>
      </c>
      <c r="E916" s="374"/>
      <c r="F916" s="354">
        <v>1400</v>
      </c>
    </row>
    <row r="917" spans="1:6" ht="31.5" customHeight="1" x14ac:dyDescent="0.25">
      <c r="A917" s="372" t="s">
        <v>711</v>
      </c>
      <c r="B917" s="373"/>
      <c r="C917" s="354">
        <v>1400</v>
      </c>
      <c r="D917" s="374">
        <v>0</v>
      </c>
      <c r="E917" s="374"/>
      <c r="F917" s="354">
        <v>1400</v>
      </c>
    </row>
    <row r="918" spans="1:6" ht="14.25" customHeight="1" x14ac:dyDescent="0.25"/>
    <row r="919" spans="1:6" ht="15.75" customHeight="1" x14ac:dyDescent="0.25">
      <c r="A919" s="382" t="s">
        <v>927</v>
      </c>
      <c r="B919" s="373"/>
      <c r="C919" s="373"/>
      <c r="D919" s="373"/>
      <c r="E919" s="373"/>
      <c r="F919" s="373"/>
    </row>
    <row r="920" spans="1:6" ht="15.75" customHeight="1" x14ac:dyDescent="0.25">
      <c r="A920" s="382" t="s">
        <v>698</v>
      </c>
      <c r="B920" s="383"/>
      <c r="C920" s="353">
        <v>919519</v>
      </c>
      <c r="D920" s="384">
        <v>27846</v>
      </c>
      <c r="E920" s="385"/>
      <c r="F920" s="353">
        <v>947365</v>
      </c>
    </row>
    <row r="921" spans="1:6" ht="15.75" customHeight="1" x14ac:dyDescent="0.25">
      <c r="A921" s="372" t="s">
        <v>699</v>
      </c>
      <c r="B921" s="373"/>
      <c r="C921" s="354">
        <v>595019</v>
      </c>
      <c r="D921" s="374">
        <v>1575</v>
      </c>
      <c r="E921" s="375"/>
      <c r="F921" s="354">
        <v>596594</v>
      </c>
    </row>
    <row r="922" spans="1:6" ht="15.75" customHeight="1" x14ac:dyDescent="0.25">
      <c r="A922" s="372" t="s">
        <v>700</v>
      </c>
      <c r="B922" s="373"/>
      <c r="C922" s="354">
        <v>462254</v>
      </c>
      <c r="D922" s="374">
        <v>1575</v>
      </c>
      <c r="E922" s="375"/>
      <c r="F922" s="354">
        <v>463829</v>
      </c>
    </row>
    <row r="923" spans="1:6" ht="15.75" customHeight="1" x14ac:dyDescent="0.25">
      <c r="A923" s="372" t="s">
        <v>701</v>
      </c>
      <c r="B923" s="373"/>
      <c r="C923" s="354">
        <v>132765</v>
      </c>
      <c r="D923" s="374">
        <v>0</v>
      </c>
      <c r="E923" s="374"/>
      <c r="F923" s="354">
        <v>132765</v>
      </c>
    </row>
    <row r="924" spans="1:6" ht="15.75" customHeight="1" x14ac:dyDescent="0.25">
      <c r="A924" s="372" t="s">
        <v>702</v>
      </c>
      <c r="B924" s="373"/>
      <c r="C924" s="354">
        <v>252173</v>
      </c>
      <c r="D924" s="374">
        <v>26271</v>
      </c>
      <c r="E924" s="375"/>
      <c r="F924" s="354">
        <v>278444</v>
      </c>
    </row>
    <row r="925" spans="1:6" ht="15.75" customHeight="1" x14ac:dyDescent="0.25">
      <c r="A925" s="372" t="s">
        <v>837</v>
      </c>
      <c r="B925" s="373"/>
      <c r="C925" s="354">
        <v>4340</v>
      </c>
      <c r="D925" s="374">
        <v>0</v>
      </c>
      <c r="E925" s="374"/>
      <c r="F925" s="354">
        <v>4340</v>
      </c>
    </row>
    <row r="926" spans="1:6" ht="15.75" customHeight="1" x14ac:dyDescent="0.25">
      <c r="A926" s="372" t="s">
        <v>703</v>
      </c>
      <c r="B926" s="373"/>
      <c r="C926" s="354">
        <v>206524</v>
      </c>
      <c r="D926" s="374">
        <v>22282</v>
      </c>
      <c r="E926" s="375"/>
      <c r="F926" s="354">
        <v>228806</v>
      </c>
    </row>
    <row r="927" spans="1:6" ht="31.5" customHeight="1" x14ac:dyDescent="0.25">
      <c r="A927" s="372" t="s">
        <v>704</v>
      </c>
      <c r="B927" s="373"/>
      <c r="C927" s="354">
        <v>35139</v>
      </c>
      <c r="D927" s="374">
        <v>3989</v>
      </c>
      <c r="E927" s="375"/>
      <c r="F927" s="354">
        <v>39128</v>
      </c>
    </row>
    <row r="928" spans="1:6" ht="15.75" customHeight="1" x14ac:dyDescent="0.25">
      <c r="A928" s="372" t="s">
        <v>839</v>
      </c>
      <c r="B928" s="373"/>
      <c r="C928" s="354">
        <v>6170</v>
      </c>
      <c r="D928" s="374">
        <v>0</v>
      </c>
      <c r="E928" s="374"/>
      <c r="F928" s="354">
        <v>6170</v>
      </c>
    </row>
    <row r="929" spans="1:6" ht="15.75" customHeight="1" x14ac:dyDescent="0.25">
      <c r="A929" s="372" t="s">
        <v>705</v>
      </c>
      <c r="B929" s="373"/>
      <c r="C929" s="354">
        <v>72327</v>
      </c>
      <c r="D929" s="374">
        <v>0</v>
      </c>
      <c r="E929" s="374"/>
      <c r="F929" s="354">
        <v>72327</v>
      </c>
    </row>
    <row r="930" spans="1:6" ht="15.75" customHeight="1" x14ac:dyDescent="0.25">
      <c r="A930" s="372" t="s">
        <v>842</v>
      </c>
      <c r="B930" s="373"/>
      <c r="C930" s="354">
        <v>3572</v>
      </c>
      <c r="D930" s="374">
        <v>0</v>
      </c>
      <c r="E930" s="374"/>
      <c r="F930" s="354">
        <v>3572</v>
      </c>
    </row>
    <row r="931" spans="1:6" ht="15.75" customHeight="1" x14ac:dyDescent="0.25">
      <c r="A931" s="372" t="s">
        <v>706</v>
      </c>
      <c r="B931" s="373"/>
      <c r="C931" s="354">
        <v>68755</v>
      </c>
      <c r="D931" s="374">
        <v>0</v>
      </c>
      <c r="E931" s="374"/>
      <c r="F931" s="354">
        <v>68755</v>
      </c>
    </row>
    <row r="932" spans="1:6" ht="14.25" customHeight="1" x14ac:dyDescent="0.25"/>
    <row r="933" spans="1:6" ht="15.75" customHeight="1" x14ac:dyDescent="0.25">
      <c r="A933" s="382" t="s">
        <v>928</v>
      </c>
      <c r="B933" s="373"/>
      <c r="C933" s="373"/>
      <c r="D933" s="373"/>
      <c r="E933" s="373"/>
      <c r="F933" s="373"/>
    </row>
    <row r="934" spans="1:6" ht="15.75" customHeight="1" x14ac:dyDescent="0.25">
      <c r="A934" s="382" t="s">
        <v>698</v>
      </c>
      <c r="B934" s="383"/>
      <c r="C934" s="353">
        <v>153625</v>
      </c>
      <c r="D934" s="384">
        <v>30000</v>
      </c>
      <c r="E934" s="385"/>
      <c r="F934" s="353">
        <v>183625</v>
      </c>
    </row>
    <row r="935" spans="1:6" ht="15.75" customHeight="1" x14ac:dyDescent="0.25">
      <c r="A935" s="372" t="s">
        <v>699</v>
      </c>
      <c r="B935" s="373"/>
      <c r="C935" s="354">
        <v>12488</v>
      </c>
      <c r="D935" s="374">
        <v>6041</v>
      </c>
      <c r="E935" s="375"/>
      <c r="F935" s="354">
        <v>18529</v>
      </c>
    </row>
    <row r="936" spans="1:6" ht="15.75" customHeight="1" x14ac:dyDescent="0.25">
      <c r="A936" s="372" t="s">
        <v>700</v>
      </c>
      <c r="B936" s="373"/>
      <c r="C936" s="354">
        <v>10108</v>
      </c>
      <c r="D936" s="374">
        <v>4891</v>
      </c>
      <c r="E936" s="375"/>
      <c r="F936" s="354">
        <v>14999</v>
      </c>
    </row>
    <row r="937" spans="1:6" ht="15.75" customHeight="1" x14ac:dyDescent="0.25">
      <c r="A937" s="372" t="s">
        <v>701</v>
      </c>
      <c r="B937" s="373"/>
      <c r="C937" s="354">
        <v>2380</v>
      </c>
      <c r="D937" s="374">
        <v>1150</v>
      </c>
      <c r="E937" s="375"/>
      <c r="F937" s="354">
        <v>3530</v>
      </c>
    </row>
    <row r="938" spans="1:6" ht="15.75" customHeight="1" x14ac:dyDescent="0.25">
      <c r="A938" s="372" t="s">
        <v>702</v>
      </c>
      <c r="B938" s="373"/>
      <c r="C938" s="354">
        <v>103549</v>
      </c>
      <c r="D938" s="374">
        <v>17100</v>
      </c>
      <c r="E938" s="375"/>
      <c r="F938" s="354">
        <v>120649</v>
      </c>
    </row>
    <row r="939" spans="1:6" ht="15.75" customHeight="1" x14ac:dyDescent="0.25">
      <c r="A939" s="372" t="s">
        <v>837</v>
      </c>
      <c r="B939" s="373"/>
      <c r="C939" s="354">
        <v>3527</v>
      </c>
      <c r="D939" s="374">
        <v>-350</v>
      </c>
      <c r="E939" s="375"/>
      <c r="F939" s="354">
        <v>3177</v>
      </c>
    </row>
    <row r="940" spans="1:6" ht="15.75" customHeight="1" x14ac:dyDescent="0.25">
      <c r="A940" s="372" t="s">
        <v>703</v>
      </c>
      <c r="B940" s="373"/>
      <c r="C940" s="354">
        <v>59596</v>
      </c>
      <c r="D940" s="374">
        <v>10850</v>
      </c>
      <c r="E940" s="375"/>
      <c r="F940" s="354">
        <v>70446</v>
      </c>
    </row>
    <row r="941" spans="1:6" ht="31.5" customHeight="1" x14ac:dyDescent="0.25">
      <c r="A941" s="372" t="s">
        <v>704</v>
      </c>
      <c r="B941" s="373"/>
      <c r="C941" s="354">
        <v>38719</v>
      </c>
      <c r="D941" s="374">
        <v>6600</v>
      </c>
      <c r="E941" s="375"/>
      <c r="F941" s="354">
        <v>45319</v>
      </c>
    </row>
    <row r="942" spans="1:6" ht="15.75" customHeight="1" x14ac:dyDescent="0.25">
      <c r="A942" s="372" t="s">
        <v>839</v>
      </c>
      <c r="B942" s="373"/>
      <c r="C942" s="354">
        <v>1707</v>
      </c>
      <c r="D942" s="374">
        <v>0</v>
      </c>
      <c r="E942" s="374"/>
      <c r="F942" s="354">
        <v>1707</v>
      </c>
    </row>
    <row r="943" spans="1:6" ht="15.75" customHeight="1" x14ac:dyDescent="0.25">
      <c r="A943" s="372" t="s">
        <v>705</v>
      </c>
      <c r="B943" s="373"/>
      <c r="C943" s="354">
        <v>10000</v>
      </c>
      <c r="D943" s="374">
        <v>1500</v>
      </c>
      <c r="E943" s="375"/>
      <c r="F943" s="354">
        <v>11500</v>
      </c>
    </row>
    <row r="944" spans="1:6" ht="15.75" customHeight="1" x14ac:dyDescent="0.25">
      <c r="A944" s="372" t="s">
        <v>706</v>
      </c>
      <c r="B944" s="373"/>
      <c r="C944" s="354">
        <v>10000</v>
      </c>
      <c r="D944" s="374">
        <v>1500</v>
      </c>
      <c r="E944" s="375"/>
      <c r="F944" s="354">
        <v>11500</v>
      </c>
    </row>
    <row r="945" spans="1:6" ht="15.75" customHeight="1" x14ac:dyDescent="0.25">
      <c r="A945" s="372" t="s">
        <v>881</v>
      </c>
      <c r="B945" s="373"/>
      <c r="C945" s="354">
        <v>23580</v>
      </c>
      <c r="D945" s="374">
        <v>5359</v>
      </c>
      <c r="E945" s="375"/>
      <c r="F945" s="354">
        <v>28939</v>
      </c>
    </row>
    <row r="946" spans="1:6" ht="15.75" customHeight="1" x14ac:dyDescent="0.25">
      <c r="A946" s="372" t="s">
        <v>882</v>
      </c>
      <c r="B946" s="373"/>
      <c r="C946" s="354">
        <v>23580</v>
      </c>
      <c r="D946" s="374">
        <v>5359</v>
      </c>
      <c r="E946" s="375"/>
      <c r="F946" s="354">
        <v>28939</v>
      </c>
    </row>
    <row r="947" spans="1:6" ht="31.5" customHeight="1" x14ac:dyDescent="0.25">
      <c r="A947" s="372" t="s">
        <v>843</v>
      </c>
      <c r="B947" s="373"/>
      <c r="C947" s="354">
        <v>4008</v>
      </c>
      <c r="D947" s="374">
        <v>0</v>
      </c>
      <c r="E947" s="374"/>
      <c r="F947" s="354">
        <v>4008</v>
      </c>
    </row>
    <row r="948" spans="1:6" ht="15.75" customHeight="1" x14ac:dyDescent="0.25">
      <c r="A948" s="372" t="s">
        <v>845</v>
      </c>
      <c r="B948" s="373"/>
      <c r="C948" s="354">
        <v>4008</v>
      </c>
      <c r="D948" s="374">
        <v>0</v>
      </c>
      <c r="E948" s="374"/>
      <c r="F948" s="354">
        <v>4008</v>
      </c>
    </row>
    <row r="949" spans="1:6" ht="14.25" customHeight="1" x14ac:dyDescent="0.25"/>
    <row r="950" spans="1:6" ht="15.75" customHeight="1" x14ac:dyDescent="0.25">
      <c r="A950" s="382" t="s">
        <v>929</v>
      </c>
      <c r="B950" s="373"/>
      <c r="C950" s="373"/>
      <c r="D950" s="373"/>
      <c r="E950" s="373"/>
      <c r="F950" s="373"/>
    </row>
    <row r="951" spans="1:6" ht="15.75" customHeight="1" x14ac:dyDescent="0.25">
      <c r="A951" s="382" t="s">
        <v>698</v>
      </c>
      <c r="B951" s="383"/>
      <c r="C951" s="353">
        <v>42045</v>
      </c>
      <c r="D951" s="384">
        <v>10507</v>
      </c>
      <c r="E951" s="385"/>
      <c r="F951" s="353">
        <v>52552</v>
      </c>
    </row>
    <row r="952" spans="1:6" ht="15.75" customHeight="1" x14ac:dyDescent="0.25">
      <c r="A952" s="372" t="s">
        <v>699</v>
      </c>
      <c r="B952" s="373"/>
      <c r="C952" s="354">
        <v>30760</v>
      </c>
      <c r="D952" s="374">
        <v>9557</v>
      </c>
      <c r="E952" s="375"/>
      <c r="F952" s="354">
        <v>40317</v>
      </c>
    </row>
    <row r="953" spans="1:6" ht="15.75" customHeight="1" x14ac:dyDescent="0.25">
      <c r="A953" s="372" t="s">
        <v>700</v>
      </c>
      <c r="B953" s="373"/>
      <c r="C953" s="354">
        <v>24886</v>
      </c>
      <c r="D953" s="374">
        <v>7733</v>
      </c>
      <c r="E953" s="375"/>
      <c r="F953" s="354">
        <v>32619</v>
      </c>
    </row>
    <row r="954" spans="1:6" ht="15.75" customHeight="1" x14ac:dyDescent="0.25">
      <c r="A954" s="372" t="s">
        <v>701</v>
      </c>
      <c r="B954" s="373"/>
      <c r="C954" s="354">
        <v>5874</v>
      </c>
      <c r="D954" s="374">
        <v>1824</v>
      </c>
      <c r="E954" s="375"/>
      <c r="F954" s="354">
        <v>7698</v>
      </c>
    </row>
    <row r="955" spans="1:6" ht="15.75" customHeight="1" x14ac:dyDescent="0.25">
      <c r="A955" s="372" t="s">
        <v>702</v>
      </c>
      <c r="B955" s="373"/>
      <c r="C955" s="354">
        <v>11285</v>
      </c>
      <c r="D955" s="374">
        <v>950</v>
      </c>
      <c r="E955" s="375"/>
      <c r="F955" s="354">
        <v>12235</v>
      </c>
    </row>
    <row r="956" spans="1:6" ht="15.75" customHeight="1" x14ac:dyDescent="0.25">
      <c r="A956" s="372" t="s">
        <v>703</v>
      </c>
      <c r="B956" s="373"/>
      <c r="C956" s="354">
        <v>9735</v>
      </c>
      <c r="D956" s="374">
        <v>150</v>
      </c>
      <c r="E956" s="375"/>
      <c r="F956" s="354">
        <v>9885</v>
      </c>
    </row>
    <row r="957" spans="1:6" ht="31.5" customHeight="1" x14ac:dyDescent="0.25">
      <c r="A957" s="372" t="s">
        <v>704</v>
      </c>
      <c r="B957" s="373"/>
      <c r="C957" s="354">
        <v>1550</v>
      </c>
      <c r="D957" s="374">
        <v>800</v>
      </c>
      <c r="E957" s="375"/>
      <c r="F957" s="354">
        <v>2350</v>
      </c>
    </row>
    <row r="958" spans="1:6" ht="14.25" customHeight="1" x14ac:dyDescent="0.25"/>
    <row r="959" spans="1:6" ht="15.75" customHeight="1" x14ac:dyDescent="0.25">
      <c r="A959" s="382" t="s">
        <v>723</v>
      </c>
      <c r="B959" s="373"/>
      <c r="C959" s="373"/>
      <c r="D959" s="373"/>
      <c r="E959" s="373"/>
      <c r="F959" s="373"/>
    </row>
    <row r="960" spans="1:6" ht="15.75" customHeight="1" x14ac:dyDescent="0.25">
      <c r="A960" s="382" t="s">
        <v>698</v>
      </c>
      <c r="B960" s="383"/>
      <c r="C960" s="353">
        <v>4668541</v>
      </c>
      <c r="D960" s="384">
        <v>28037</v>
      </c>
      <c r="E960" s="385"/>
      <c r="F960" s="353">
        <v>4696578</v>
      </c>
    </row>
    <row r="961" spans="1:6" ht="15.75" customHeight="1" x14ac:dyDescent="0.25">
      <c r="A961" s="372" t="s">
        <v>699</v>
      </c>
      <c r="B961" s="373"/>
      <c r="C961" s="354">
        <v>2259274</v>
      </c>
      <c r="D961" s="374">
        <v>18583</v>
      </c>
      <c r="E961" s="375"/>
      <c r="F961" s="354">
        <v>2277857</v>
      </c>
    </row>
    <row r="962" spans="1:6" ht="15.75" customHeight="1" x14ac:dyDescent="0.25">
      <c r="A962" s="372" t="s">
        <v>700</v>
      </c>
      <c r="B962" s="373"/>
      <c r="C962" s="354">
        <v>1738961</v>
      </c>
      <c r="D962" s="374">
        <v>7738</v>
      </c>
      <c r="E962" s="375"/>
      <c r="F962" s="354">
        <v>1746699</v>
      </c>
    </row>
    <row r="963" spans="1:6" ht="15.75" customHeight="1" x14ac:dyDescent="0.25">
      <c r="A963" s="372" t="s">
        <v>701</v>
      </c>
      <c r="B963" s="373"/>
      <c r="C963" s="354">
        <v>520313</v>
      </c>
      <c r="D963" s="374">
        <v>10845</v>
      </c>
      <c r="E963" s="375"/>
      <c r="F963" s="354">
        <v>531158</v>
      </c>
    </row>
    <row r="964" spans="1:6" ht="15.75" customHeight="1" x14ac:dyDescent="0.25">
      <c r="A964" s="372" t="s">
        <v>702</v>
      </c>
      <c r="B964" s="373"/>
      <c r="C964" s="354">
        <v>611984</v>
      </c>
      <c r="D964" s="374">
        <v>9420</v>
      </c>
      <c r="E964" s="375"/>
      <c r="F964" s="354">
        <v>621404</v>
      </c>
    </row>
    <row r="965" spans="1:6" ht="15.75" customHeight="1" x14ac:dyDescent="0.25">
      <c r="A965" s="372" t="s">
        <v>837</v>
      </c>
      <c r="B965" s="373"/>
      <c r="C965" s="354">
        <v>13668</v>
      </c>
      <c r="D965" s="374">
        <v>0</v>
      </c>
      <c r="E965" s="374"/>
      <c r="F965" s="354">
        <v>13668</v>
      </c>
    </row>
    <row r="966" spans="1:6" ht="15.75" customHeight="1" x14ac:dyDescent="0.25">
      <c r="A966" s="372" t="s">
        <v>703</v>
      </c>
      <c r="B966" s="373"/>
      <c r="C966" s="354">
        <v>364610</v>
      </c>
      <c r="D966" s="374">
        <v>6463</v>
      </c>
      <c r="E966" s="375"/>
      <c r="F966" s="354">
        <v>371073</v>
      </c>
    </row>
    <row r="967" spans="1:6" ht="31.5" customHeight="1" x14ac:dyDescent="0.25">
      <c r="A967" s="372" t="s">
        <v>704</v>
      </c>
      <c r="B967" s="373"/>
      <c r="C967" s="354">
        <v>233706</v>
      </c>
      <c r="D967" s="374">
        <v>2957</v>
      </c>
      <c r="E967" s="375"/>
      <c r="F967" s="354">
        <v>236663</v>
      </c>
    </row>
    <row r="968" spans="1:6" ht="15.75" customHeight="1" x14ac:dyDescent="0.25">
      <c r="A968" s="372" t="s">
        <v>705</v>
      </c>
      <c r="B968" s="373"/>
      <c r="C968" s="354">
        <v>31020</v>
      </c>
      <c r="D968" s="374">
        <v>0</v>
      </c>
      <c r="E968" s="374"/>
      <c r="F968" s="354">
        <v>31020</v>
      </c>
    </row>
    <row r="969" spans="1:6" ht="15.75" customHeight="1" x14ac:dyDescent="0.25">
      <c r="A969" s="372" t="s">
        <v>706</v>
      </c>
      <c r="B969" s="373"/>
      <c r="C969" s="354">
        <v>31020</v>
      </c>
      <c r="D969" s="374">
        <v>0</v>
      </c>
      <c r="E969" s="374"/>
      <c r="F969" s="354">
        <v>31020</v>
      </c>
    </row>
    <row r="970" spans="1:6" ht="15.75" customHeight="1" x14ac:dyDescent="0.25">
      <c r="A970" s="372" t="s">
        <v>881</v>
      </c>
      <c r="B970" s="373"/>
      <c r="C970" s="354">
        <v>1766263</v>
      </c>
      <c r="D970" s="374">
        <v>34</v>
      </c>
      <c r="E970" s="375"/>
      <c r="F970" s="354">
        <v>1766297</v>
      </c>
    </row>
    <row r="971" spans="1:6" ht="15.75" customHeight="1" x14ac:dyDescent="0.25">
      <c r="A971" s="372" t="s">
        <v>882</v>
      </c>
      <c r="B971" s="373"/>
      <c r="C971" s="354">
        <v>578989</v>
      </c>
      <c r="D971" s="374">
        <v>680</v>
      </c>
      <c r="E971" s="375"/>
      <c r="F971" s="354">
        <v>579669</v>
      </c>
    </row>
    <row r="972" spans="1:6" ht="15.75" customHeight="1" x14ac:dyDescent="0.25">
      <c r="A972" s="372" t="s">
        <v>883</v>
      </c>
      <c r="B972" s="373"/>
      <c r="C972" s="354">
        <v>469985</v>
      </c>
      <c r="D972" s="374">
        <v>0</v>
      </c>
      <c r="E972" s="374"/>
      <c r="F972" s="354">
        <v>469985</v>
      </c>
    </row>
    <row r="973" spans="1:6" ht="31.5" customHeight="1" x14ac:dyDescent="0.25">
      <c r="A973" s="372" t="s">
        <v>890</v>
      </c>
      <c r="B973" s="373"/>
      <c r="C973" s="354">
        <v>717289</v>
      </c>
      <c r="D973" s="374">
        <v>-646</v>
      </c>
      <c r="E973" s="375"/>
      <c r="F973" s="354">
        <v>716643</v>
      </c>
    </row>
    <row r="974" spans="1:6" ht="14.25" customHeight="1" x14ac:dyDescent="0.25"/>
    <row r="975" spans="1:6" ht="15.75" customHeight="1" x14ac:dyDescent="0.25">
      <c r="A975" s="382" t="s">
        <v>930</v>
      </c>
      <c r="B975" s="373"/>
      <c r="C975" s="373"/>
      <c r="D975" s="373"/>
      <c r="E975" s="373"/>
      <c r="F975" s="373"/>
    </row>
    <row r="976" spans="1:6" ht="15.75" customHeight="1" x14ac:dyDescent="0.25">
      <c r="A976" s="382" t="s">
        <v>698</v>
      </c>
      <c r="B976" s="383"/>
      <c r="C976" s="353">
        <v>347056</v>
      </c>
      <c r="D976" s="384">
        <v>0</v>
      </c>
      <c r="E976" s="384"/>
      <c r="F976" s="353">
        <v>347056</v>
      </c>
    </row>
    <row r="977" spans="1:6" ht="15.75" customHeight="1" x14ac:dyDescent="0.25">
      <c r="A977" s="372" t="s">
        <v>699</v>
      </c>
      <c r="B977" s="373"/>
      <c r="C977" s="354">
        <v>245212</v>
      </c>
      <c r="D977" s="374">
        <v>0</v>
      </c>
      <c r="E977" s="374"/>
      <c r="F977" s="354">
        <v>245212</v>
      </c>
    </row>
    <row r="978" spans="1:6" ht="15.75" customHeight="1" x14ac:dyDescent="0.25">
      <c r="A978" s="372" t="s">
        <v>700</v>
      </c>
      <c r="B978" s="373"/>
      <c r="C978" s="354">
        <v>198048</v>
      </c>
      <c r="D978" s="374">
        <v>0</v>
      </c>
      <c r="E978" s="374"/>
      <c r="F978" s="354">
        <v>198048</v>
      </c>
    </row>
    <row r="979" spans="1:6" ht="15.75" customHeight="1" x14ac:dyDescent="0.25">
      <c r="A979" s="372" t="s">
        <v>701</v>
      </c>
      <c r="B979" s="373"/>
      <c r="C979" s="354">
        <v>47164</v>
      </c>
      <c r="D979" s="374">
        <v>0</v>
      </c>
      <c r="E979" s="374"/>
      <c r="F979" s="354">
        <v>47164</v>
      </c>
    </row>
    <row r="980" spans="1:6" ht="15.75" customHeight="1" x14ac:dyDescent="0.25">
      <c r="A980" s="372" t="s">
        <v>702</v>
      </c>
      <c r="B980" s="373"/>
      <c r="C980" s="354">
        <v>8113</v>
      </c>
      <c r="D980" s="374">
        <v>0</v>
      </c>
      <c r="E980" s="374"/>
      <c r="F980" s="354">
        <v>8113</v>
      </c>
    </row>
    <row r="981" spans="1:6" ht="15.75" customHeight="1" x14ac:dyDescent="0.25">
      <c r="A981" s="372" t="s">
        <v>837</v>
      </c>
      <c r="B981" s="373"/>
      <c r="C981" s="354">
        <v>134</v>
      </c>
      <c r="D981" s="374">
        <v>0</v>
      </c>
      <c r="E981" s="374"/>
      <c r="F981" s="354">
        <v>134</v>
      </c>
    </row>
    <row r="982" spans="1:6" ht="15.75" customHeight="1" x14ac:dyDescent="0.25">
      <c r="A982" s="372" t="s">
        <v>703</v>
      </c>
      <c r="B982" s="373"/>
      <c r="C982" s="354">
        <v>5608</v>
      </c>
      <c r="D982" s="374">
        <v>0</v>
      </c>
      <c r="E982" s="374"/>
      <c r="F982" s="354">
        <v>5608</v>
      </c>
    </row>
    <row r="983" spans="1:6" ht="31.5" customHeight="1" x14ac:dyDescent="0.25">
      <c r="A983" s="372" t="s">
        <v>704</v>
      </c>
      <c r="B983" s="373"/>
      <c r="C983" s="354">
        <v>2371</v>
      </c>
      <c r="D983" s="374">
        <v>0</v>
      </c>
      <c r="E983" s="374"/>
      <c r="F983" s="354">
        <v>2371</v>
      </c>
    </row>
    <row r="984" spans="1:6" ht="15.75" customHeight="1" x14ac:dyDescent="0.25">
      <c r="A984" s="372" t="s">
        <v>705</v>
      </c>
      <c r="B984" s="373"/>
      <c r="C984" s="354">
        <v>2900</v>
      </c>
      <c r="D984" s="374">
        <v>0</v>
      </c>
      <c r="E984" s="374"/>
      <c r="F984" s="354">
        <v>2900</v>
      </c>
    </row>
    <row r="985" spans="1:6" ht="15.75" customHeight="1" x14ac:dyDescent="0.25">
      <c r="A985" s="372" t="s">
        <v>706</v>
      </c>
      <c r="B985" s="373"/>
      <c r="C985" s="354">
        <v>2900</v>
      </c>
      <c r="D985" s="374">
        <v>0</v>
      </c>
      <c r="E985" s="374"/>
      <c r="F985" s="354">
        <v>2900</v>
      </c>
    </row>
    <row r="986" spans="1:6" ht="15.75" customHeight="1" x14ac:dyDescent="0.25">
      <c r="A986" s="372" t="s">
        <v>881</v>
      </c>
      <c r="B986" s="373"/>
      <c r="C986" s="354">
        <v>90831</v>
      </c>
      <c r="D986" s="374">
        <v>0</v>
      </c>
      <c r="E986" s="374"/>
      <c r="F986" s="354">
        <v>90831</v>
      </c>
    </row>
    <row r="987" spans="1:6" ht="15.75" customHeight="1" x14ac:dyDescent="0.25">
      <c r="A987" s="372" t="s">
        <v>882</v>
      </c>
      <c r="B987" s="373"/>
      <c r="C987" s="354">
        <v>6000</v>
      </c>
      <c r="D987" s="374">
        <v>0</v>
      </c>
      <c r="E987" s="374"/>
      <c r="F987" s="354">
        <v>6000</v>
      </c>
    </row>
    <row r="988" spans="1:6" ht="15.75" customHeight="1" x14ac:dyDescent="0.25">
      <c r="A988" s="372" t="s">
        <v>883</v>
      </c>
      <c r="B988" s="373"/>
      <c r="C988" s="354">
        <v>24700</v>
      </c>
      <c r="D988" s="374">
        <v>0</v>
      </c>
      <c r="E988" s="374"/>
      <c r="F988" s="354">
        <v>24700</v>
      </c>
    </row>
    <row r="989" spans="1:6" ht="31.5" customHeight="1" x14ac:dyDescent="0.25">
      <c r="A989" s="372" t="s">
        <v>890</v>
      </c>
      <c r="B989" s="373"/>
      <c r="C989" s="354">
        <v>60131</v>
      </c>
      <c r="D989" s="374">
        <v>0</v>
      </c>
      <c r="E989" s="374"/>
      <c r="F989" s="354">
        <v>60131</v>
      </c>
    </row>
    <row r="990" spans="1:6" ht="14.25" customHeight="1" x14ac:dyDescent="0.25"/>
    <row r="991" spans="1:6" ht="15.75" customHeight="1" x14ac:dyDescent="0.25">
      <c r="A991" s="382" t="s">
        <v>931</v>
      </c>
      <c r="B991" s="373"/>
      <c r="C991" s="373"/>
      <c r="D991" s="373"/>
      <c r="E991" s="373"/>
      <c r="F991" s="373"/>
    </row>
    <row r="992" spans="1:6" ht="15.75" customHeight="1" x14ac:dyDescent="0.25">
      <c r="A992" s="382" t="s">
        <v>698</v>
      </c>
      <c r="B992" s="383"/>
      <c r="C992" s="353">
        <v>84309</v>
      </c>
      <c r="D992" s="384">
        <v>0</v>
      </c>
      <c r="E992" s="384"/>
      <c r="F992" s="353">
        <v>84309</v>
      </c>
    </row>
    <row r="993" spans="1:6" ht="15.75" customHeight="1" x14ac:dyDescent="0.25">
      <c r="A993" s="372" t="s">
        <v>699</v>
      </c>
      <c r="B993" s="373"/>
      <c r="C993" s="354">
        <v>65419</v>
      </c>
      <c r="D993" s="374">
        <v>0</v>
      </c>
      <c r="E993" s="374"/>
      <c r="F993" s="354">
        <v>65419</v>
      </c>
    </row>
    <row r="994" spans="1:6" ht="15.75" customHeight="1" x14ac:dyDescent="0.25">
      <c r="A994" s="372" t="s">
        <v>700</v>
      </c>
      <c r="B994" s="373"/>
      <c r="C994" s="354">
        <v>49866</v>
      </c>
      <c r="D994" s="374">
        <v>0</v>
      </c>
      <c r="E994" s="374"/>
      <c r="F994" s="354">
        <v>49866</v>
      </c>
    </row>
    <row r="995" spans="1:6" ht="15.75" customHeight="1" x14ac:dyDescent="0.25">
      <c r="A995" s="372" t="s">
        <v>701</v>
      </c>
      <c r="B995" s="373"/>
      <c r="C995" s="354">
        <v>15553</v>
      </c>
      <c r="D995" s="374">
        <v>0</v>
      </c>
      <c r="E995" s="374"/>
      <c r="F995" s="354">
        <v>15553</v>
      </c>
    </row>
    <row r="996" spans="1:6" ht="15.75" customHeight="1" x14ac:dyDescent="0.25">
      <c r="A996" s="372" t="s">
        <v>702</v>
      </c>
      <c r="B996" s="373"/>
      <c r="C996" s="354">
        <v>18890</v>
      </c>
      <c r="D996" s="374">
        <v>0</v>
      </c>
      <c r="E996" s="374"/>
      <c r="F996" s="354">
        <v>18890</v>
      </c>
    </row>
    <row r="997" spans="1:6" ht="15.75" customHeight="1" x14ac:dyDescent="0.25">
      <c r="A997" s="372" t="s">
        <v>703</v>
      </c>
      <c r="B997" s="373"/>
      <c r="C997" s="354">
        <v>11250</v>
      </c>
      <c r="D997" s="374">
        <v>0</v>
      </c>
      <c r="E997" s="374"/>
      <c r="F997" s="354">
        <v>11250</v>
      </c>
    </row>
    <row r="998" spans="1:6" ht="31.5" customHeight="1" x14ac:dyDescent="0.25">
      <c r="A998" s="372" t="s">
        <v>704</v>
      </c>
      <c r="B998" s="373"/>
      <c r="C998" s="354">
        <v>7640</v>
      </c>
      <c r="D998" s="374">
        <v>0</v>
      </c>
      <c r="E998" s="374"/>
      <c r="F998" s="354">
        <v>7640</v>
      </c>
    </row>
    <row r="999" spans="1:6" ht="14.25" customHeight="1" x14ac:dyDescent="0.25"/>
    <row r="1000" spans="1:6" ht="15.75" customHeight="1" x14ac:dyDescent="0.25">
      <c r="A1000" s="382" t="s">
        <v>932</v>
      </c>
      <c r="B1000" s="373"/>
      <c r="C1000" s="373"/>
      <c r="D1000" s="373"/>
      <c r="E1000" s="373"/>
      <c r="F1000" s="373"/>
    </row>
    <row r="1001" spans="1:6" ht="15.75" customHeight="1" x14ac:dyDescent="0.25">
      <c r="A1001" s="382" t="s">
        <v>698</v>
      </c>
      <c r="B1001" s="383"/>
      <c r="C1001" s="353">
        <v>70444</v>
      </c>
      <c r="D1001" s="384">
        <v>0</v>
      </c>
      <c r="E1001" s="384"/>
      <c r="F1001" s="353">
        <v>70444</v>
      </c>
    </row>
    <row r="1002" spans="1:6" ht="15.75" customHeight="1" x14ac:dyDescent="0.25">
      <c r="A1002" s="372" t="s">
        <v>699</v>
      </c>
      <c r="B1002" s="373"/>
      <c r="C1002" s="354">
        <v>57187</v>
      </c>
      <c r="D1002" s="374">
        <v>0</v>
      </c>
      <c r="E1002" s="374"/>
      <c r="F1002" s="354">
        <v>57187</v>
      </c>
    </row>
    <row r="1003" spans="1:6" ht="15.75" customHeight="1" x14ac:dyDescent="0.25">
      <c r="A1003" s="372" t="s">
        <v>700</v>
      </c>
      <c r="B1003" s="373"/>
      <c r="C1003" s="354">
        <v>43752</v>
      </c>
      <c r="D1003" s="374">
        <v>0</v>
      </c>
      <c r="E1003" s="374"/>
      <c r="F1003" s="354">
        <v>43752</v>
      </c>
    </row>
    <row r="1004" spans="1:6" ht="15.75" customHeight="1" x14ac:dyDescent="0.25">
      <c r="A1004" s="372" t="s">
        <v>701</v>
      </c>
      <c r="B1004" s="373"/>
      <c r="C1004" s="354">
        <v>13435</v>
      </c>
      <c r="D1004" s="374">
        <v>0</v>
      </c>
      <c r="E1004" s="374"/>
      <c r="F1004" s="354">
        <v>13435</v>
      </c>
    </row>
    <row r="1005" spans="1:6" ht="15.75" customHeight="1" x14ac:dyDescent="0.25">
      <c r="A1005" s="372" t="s">
        <v>702</v>
      </c>
      <c r="B1005" s="373"/>
      <c r="C1005" s="354">
        <v>13257</v>
      </c>
      <c r="D1005" s="374">
        <v>0</v>
      </c>
      <c r="E1005" s="374"/>
      <c r="F1005" s="354">
        <v>13257</v>
      </c>
    </row>
    <row r="1006" spans="1:6" ht="15.75" customHeight="1" x14ac:dyDescent="0.25">
      <c r="A1006" s="372" t="s">
        <v>837</v>
      </c>
      <c r="B1006" s="373"/>
      <c r="C1006" s="354">
        <v>65</v>
      </c>
      <c r="D1006" s="374">
        <v>0</v>
      </c>
      <c r="E1006" s="374"/>
      <c r="F1006" s="354">
        <v>65</v>
      </c>
    </row>
    <row r="1007" spans="1:6" ht="15.75" customHeight="1" x14ac:dyDescent="0.25">
      <c r="A1007" s="372" t="s">
        <v>703</v>
      </c>
      <c r="B1007" s="373"/>
      <c r="C1007" s="354">
        <v>6016</v>
      </c>
      <c r="D1007" s="374">
        <v>0</v>
      </c>
      <c r="E1007" s="374"/>
      <c r="F1007" s="354">
        <v>6016</v>
      </c>
    </row>
    <row r="1008" spans="1:6" ht="31.5" customHeight="1" x14ac:dyDescent="0.25">
      <c r="A1008" s="372" t="s">
        <v>704</v>
      </c>
      <c r="B1008" s="373"/>
      <c r="C1008" s="354">
        <v>7176</v>
      </c>
      <c r="D1008" s="374">
        <v>0</v>
      </c>
      <c r="E1008" s="374"/>
      <c r="F1008" s="354">
        <v>7176</v>
      </c>
    </row>
    <row r="1009" spans="1:6" ht="14.25" customHeight="1" x14ac:dyDescent="0.25"/>
    <row r="1010" spans="1:6" ht="15.75" customHeight="1" x14ac:dyDescent="0.25">
      <c r="A1010" s="382" t="s">
        <v>933</v>
      </c>
      <c r="B1010" s="373"/>
      <c r="C1010" s="373"/>
      <c r="D1010" s="373"/>
      <c r="E1010" s="373"/>
      <c r="F1010" s="373"/>
    </row>
    <row r="1011" spans="1:6" ht="15.75" customHeight="1" x14ac:dyDescent="0.25">
      <c r="A1011" s="382" t="s">
        <v>698</v>
      </c>
      <c r="B1011" s="383"/>
      <c r="C1011" s="353">
        <v>68523</v>
      </c>
      <c r="D1011" s="384">
        <v>0</v>
      </c>
      <c r="E1011" s="384"/>
      <c r="F1011" s="353">
        <v>68523</v>
      </c>
    </row>
    <row r="1012" spans="1:6" ht="15.75" customHeight="1" x14ac:dyDescent="0.25">
      <c r="A1012" s="372" t="s">
        <v>699</v>
      </c>
      <c r="B1012" s="373"/>
      <c r="C1012" s="354">
        <v>42614</v>
      </c>
      <c r="D1012" s="374">
        <v>0</v>
      </c>
      <c r="E1012" s="374"/>
      <c r="F1012" s="354">
        <v>42614</v>
      </c>
    </row>
    <row r="1013" spans="1:6" ht="15.75" customHeight="1" x14ac:dyDescent="0.25">
      <c r="A1013" s="372" t="s">
        <v>700</v>
      </c>
      <c r="B1013" s="373"/>
      <c r="C1013" s="354">
        <v>32700</v>
      </c>
      <c r="D1013" s="374">
        <v>0</v>
      </c>
      <c r="E1013" s="374"/>
      <c r="F1013" s="354">
        <v>32700</v>
      </c>
    </row>
    <row r="1014" spans="1:6" ht="15.75" customHeight="1" x14ac:dyDescent="0.25">
      <c r="A1014" s="372" t="s">
        <v>701</v>
      </c>
      <c r="B1014" s="373"/>
      <c r="C1014" s="354">
        <v>9914</v>
      </c>
      <c r="D1014" s="374">
        <v>0</v>
      </c>
      <c r="E1014" s="374"/>
      <c r="F1014" s="354">
        <v>9914</v>
      </c>
    </row>
    <row r="1015" spans="1:6" ht="15.75" customHeight="1" x14ac:dyDescent="0.25">
      <c r="A1015" s="372" t="s">
        <v>702</v>
      </c>
      <c r="B1015" s="373"/>
      <c r="C1015" s="354">
        <v>25559</v>
      </c>
      <c r="D1015" s="374">
        <v>0</v>
      </c>
      <c r="E1015" s="374"/>
      <c r="F1015" s="354">
        <v>25559</v>
      </c>
    </row>
    <row r="1016" spans="1:6" ht="15.75" customHeight="1" x14ac:dyDescent="0.25">
      <c r="A1016" s="372" t="s">
        <v>837</v>
      </c>
      <c r="B1016" s="373"/>
      <c r="C1016" s="354">
        <v>64</v>
      </c>
      <c r="D1016" s="374">
        <v>0</v>
      </c>
      <c r="E1016" s="374"/>
      <c r="F1016" s="354">
        <v>64</v>
      </c>
    </row>
    <row r="1017" spans="1:6" ht="15.75" customHeight="1" x14ac:dyDescent="0.25">
      <c r="A1017" s="372" t="s">
        <v>703</v>
      </c>
      <c r="B1017" s="373"/>
      <c r="C1017" s="354">
        <v>13927</v>
      </c>
      <c r="D1017" s="374">
        <v>0</v>
      </c>
      <c r="E1017" s="374"/>
      <c r="F1017" s="354">
        <v>13927</v>
      </c>
    </row>
    <row r="1018" spans="1:6" ht="31.5" customHeight="1" x14ac:dyDescent="0.25">
      <c r="A1018" s="372" t="s">
        <v>704</v>
      </c>
      <c r="B1018" s="373"/>
      <c r="C1018" s="354">
        <v>11568</v>
      </c>
      <c r="D1018" s="374">
        <v>0</v>
      </c>
      <c r="E1018" s="374"/>
      <c r="F1018" s="354">
        <v>11568</v>
      </c>
    </row>
    <row r="1019" spans="1:6" ht="15.75" customHeight="1" x14ac:dyDescent="0.25">
      <c r="A1019" s="372" t="s">
        <v>705</v>
      </c>
      <c r="B1019" s="373"/>
      <c r="C1019" s="354">
        <v>350</v>
      </c>
      <c r="D1019" s="374">
        <v>0</v>
      </c>
      <c r="E1019" s="374"/>
      <c r="F1019" s="354">
        <v>350</v>
      </c>
    </row>
    <row r="1020" spans="1:6" ht="15.75" customHeight="1" x14ac:dyDescent="0.25">
      <c r="A1020" s="372" t="s">
        <v>706</v>
      </c>
      <c r="B1020" s="373"/>
      <c r="C1020" s="354">
        <v>350</v>
      </c>
      <c r="D1020" s="374">
        <v>0</v>
      </c>
      <c r="E1020" s="374"/>
      <c r="F1020" s="354">
        <v>350</v>
      </c>
    </row>
    <row r="1021" spans="1:6" ht="14.25" customHeight="1" x14ac:dyDescent="0.25"/>
    <row r="1022" spans="1:6" ht="15.75" customHeight="1" x14ac:dyDescent="0.25">
      <c r="A1022" s="382" t="s">
        <v>934</v>
      </c>
      <c r="B1022" s="373"/>
      <c r="C1022" s="373"/>
      <c r="D1022" s="373"/>
      <c r="E1022" s="373"/>
      <c r="F1022" s="373"/>
    </row>
    <row r="1023" spans="1:6" ht="15.75" customHeight="1" x14ac:dyDescent="0.25">
      <c r="A1023" s="382" t="s">
        <v>698</v>
      </c>
      <c r="B1023" s="383"/>
      <c r="C1023" s="353">
        <v>111306</v>
      </c>
      <c r="D1023" s="384">
        <v>0</v>
      </c>
      <c r="E1023" s="384"/>
      <c r="F1023" s="353">
        <v>111306</v>
      </c>
    </row>
    <row r="1024" spans="1:6" ht="15.75" customHeight="1" x14ac:dyDescent="0.25">
      <c r="A1024" s="372" t="s">
        <v>699</v>
      </c>
      <c r="B1024" s="373"/>
      <c r="C1024" s="354">
        <v>76577</v>
      </c>
      <c r="D1024" s="374">
        <v>0</v>
      </c>
      <c r="E1024" s="374"/>
      <c r="F1024" s="354">
        <v>76577</v>
      </c>
    </row>
    <row r="1025" spans="1:6" ht="15.75" customHeight="1" x14ac:dyDescent="0.25">
      <c r="A1025" s="372" t="s">
        <v>700</v>
      </c>
      <c r="B1025" s="373"/>
      <c r="C1025" s="354">
        <v>58868</v>
      </c>
      <c r="D1025" s="374">
        <v>0</v>
      </c>
      <c r="E1025" s="374"/>
      <c r="F1025" s="354">
        <v>58868</v>
      </c>
    </row>
    <row r="1026" spans="1:6" ht="15.75" customHeight="1" x14ac:dyDescent="0.25">
      <c r="A1026" s="372" t="s">
        <v>701</v>
      </c>
      <c r="B1026" s="373"/>
      <c r="C1026" s="354">
        <v>17709</v>
      </c>
      <c r="D1026" s="374">
        <v>0</v>
      </c>
      <c r="E1026" s="374"/>
      <c r="F1026" s="354">
        <v>17709</v>
      </c>
    </row>
    <row r="1027" spans="1:6" ht="15.75" customHeight="1" x14ac:dyDescent="0.25">
      <c r="A1027" s="372" t="s">
        <v>702</v>
      </c>
      <c r="B1027" s="373"/>
      <c r="C1027" s="354">
        <v>33629</v>
      </c>
      <c r="D1027" s="374">
        <v>0</v>
      </c>
      <c r="E1027" s="374"/>
      <c r="F1027" s="354">
        <v>33629</v>
      </c>
    </row>
    <row r="1028" spans="1:6" ht="15.75" customHeight="1" x14ac:dyDescent="0.25">
      <c r="A1028" s="372" t="s">
        <v>837</v>
      </c>
      <c r="B1028" s="373"/>
      <c r="C1028" s="354">
        <v>442</v>
      </c>
      <c r="D1028" s="374">
        <v>0</v>
      </c>
      <c r="E1028" s="374"/>
      <c r="F1028" s="354">
        <v>442</v>
      </c>
    </row>
    <row r="1029" spans="1:6" ht="15.75" customHeight="1" x14ac:dyDescent="0.25">
      <c r="A1029" s="372" t="s">
        <v>703</v>
      </c>
      <c r="B1029" s="373"/>
      <c r="C1029" s="354">
        <v>20668</v>
      </c>
      <c r="D1029" s="374">
        <v>0</v>
      </c>
      <c r="E1029" s="374"/>
      <c r="F1029" s="354">
        <v>20668</v>
      </c>
    </row>
    <row r="1030" spans="1:6" ht="31.5" customHeight="1" x14ac:dyDescent="0.25">
      <c r="A1030" s="372" t="s">
        <v>704</v>
      </c>
      <c r="B1030" s="373"/>
      <c r="C1030" s="354">
        <v>12519</v>
      </c>
      <c r="D1030" s="374">
        <v>0</v>
      </c>
      <c r="E1030" s="374"/>
      <c r="F1030" s="354">
        <v>12519</v>
      </c>
    </row>
    <row r="1031" spans="1:6" ht="15.75" customHeight="1" x14ac:dyDescent="0.25">
      <c r="A1031" s="372" t="s">
        <v>705</v>
      </c>
      <c r="B1031" s="373"/>
      <c r="C1031" s="354">
        <v>1100</v>
      </c>
      <c r="D1031" s="374">
        <v>0</v>
      </c>
      <c r="E1031" s="374"/>
      <c r="F1031" s="354">
        <v>1100</v>
      </c>
    </row>
    <row r="1032" spans="1:6" ht="15.75" customHeight="1" x14ac:dyDescent="0.25">
      <c r="A1032" s="372" t="s">
        <v>706</v>
      </c>
      <c r="B1032" s="373"/>
      <c r="C1032" s="354">
        <v>1100</v>
      </c>
      <c r="D1032" s="374">
        <v>0</v>
      </c>
      <c r="E1032" s="374"/>
      <c r="F1032" s="354">
        <v>1100</v>
      </c>
    </row>
    <row r="1033" spans="1:6" ht="14.25" customHeight="1" x14ac:dyDescent="0.25"/>
    <row r="1034" spans="1:6" ht="15.75" customHeight="1" x14ac:dyDescent="0.25">
      <c r="A1034" s="382" t="s">
        <v>935</v>
      </c>
      <c r="B1034" s="373"/>
      <c r="C1034" s="373"/>
      <c r="D1034" s="373"/>
      <c r="E1034" s="373"/>
      <c r="F1034" s="373"/>
    </row>
    <row r="1035" spans="1:6" ht="15.75" customHeight="1" x14ac:dyDescent="0.25">
      <c r="A1035" s="382" t="s">
        <v>698</v>
      </c>
      <c r="B1035" s="383"/>
      <c r="C1035" s="353">
        <v>10828</v>
      </c>
      <c r="D1035" s="384">
        <v>4683</v>
      </c>
      <c r="E1035" s="385"/>
      <c r="F1035" s="353">
        <v>15511</v>
      </c>
    </row>
    <row r="1036" spans="1:6" ht="15.75" customHeight="1" x14ac:dyDescent="0.25">
      <c r="A1036" s="372" t="s">
        <v>699</v>
      </c>
      <c r="B1036" s="373"/>
      <c r="C1036" s="354">
        <v>4944</v>
      </c>
      <c r="D1036" s="374">
        <v>1240</v>
      </c>
      <c r="E1036" s="375"/>
      <c r="F1036" s="354">
        <v>6184</v>
      </c>
    </row>
    <row r="1037" spans="1:6" ht="15.75" customHeight="1" x14ac:dyDescent="0.25">
      <c r="A1037" s="372" t="s">
        <v>700</v>
      </c>
      <c r="B1037" s="373"/>
      <c r="C1037" s="354">
        <v>3988</v>
      </c>
      <c r="D1037" s="374">
        <v>1000</v>
      </c>
      <c r="E1037" s="375"/>
      <c r="F1037" s="354">
        <v>4988</v>
      </c>
    </row>
    <row r="1038" spans="1:6" ht="15.75" customHeight="1" x14ac:dyDescent="0.25">
      <c r="A1038" s="372" t="s">
        <v>701</v>
      </c>
      <c r="B1038" s="373"/>
      <c r="C1038" s="354">
        <v>956</v>
      </c>
      <c r="D1038" s="374">
        <v>240</v>
      </c>
      <c r="E1038" s="375"/>
      <c r="F1038" s="354">
        <v>1196</v>
      </c>
    </row>
    <row r="1039" spans="1:6" ht="15.75" customHeight="1" x14ac:dyDescent="0.25">
      <c r="A1039" s="372" t="s">
        <v>702</v>
      </c>
      <c r="B1039" s="373"/>
      <c r="C1039" s="354">
        <v>5884</v>
      </c>
      <c r="D1039" s="374">
        <v>3443</v>
      </c>
      <c r="E1039" s="375"/>
      <c r="F1039" s="354">
        <v>9327</v>
      </c>
    </row>
    <row r="1040" spans="1:6" ht="15.75" customHeight="1" x14ac:dyDescent="0.25">
      <c r="A1040" s="372" t="s">
        <v>837</v>
      </c>
      <c r="B1040" s="373"/>
      <c r="C1040" s="354">
        <v>105</v>
      </c>
      <c r="D1040" s="374">
        <v>0</v>
      </c>
      <c r="E1040" s="374"/>
      <c r="F1040" s="354">
        <v>105</v>
      </c>
    </row>
    <row r="1041" spans="1:6" ht="15.75" customHeight="1" x14ac:dyDescent="0.25">
      <c r="A1041" s="372" t="s">
        <v>703</v>
      </c>
      <c r="B1041" s="373"/>
      <c r="C1041" s="354">
        <v>5779</v>
      </c>
      <c r="D1041" s="374">
        <v>3443</v>
      </c>
      <c r="E1041" s="375"/>
      <c r="F1041" s="354">
        <v>9222</v>
      </c>
    </row>
    <row r="1042" spans="1:6" ht="14.25" customHeight="1" x14ac:dyDescent="0.25"/>
    <row r="1043" spans="1:6" ht="15.75" customHeight="1" x14ac:dyDescent="0.25">
      <c r="A1043" s="382" t="s">
        <v>936</v>
      </c>
      <c r="B1043" s="373"/>
      <c r="C1043" s="373"/>
      <c r="D1043" s="373"/>
      <c r="E1043" s="373"/>
      <c r="F1043" s="373"/>
    </row>
    <row r="1044" spans="1:6" ht="15.75" customHeight="1" x14ac:dyDescent="0.25">
      <c r="A1044" s="382" t="s">
        <v>698</v>
      </c>
      <c r="B1044" s="383"/>
      <c r="C1044" s="353">
        <v>265470</v>
      </c>
      <c r="D1044" s="384">
        <v>0</v>
      </c>
      <c r="E1044" s="384"/>
      <c r="F1044" s="353">
        <v>265470</v>
      </c>
    </row>
    <row r="1045" spans="1:6" ht="15.75" customHeight="1" x14ac:dyDescent="0.25">
      <c r="A1045" s="372" t="s">
        <v>699</v>
      </c>
      <c r="B1045" s="373"/>
      <c r="C1045" s="354">
        <v>233946</v>
      </c>
      <c r="D1045" s="374">
        <v>0</v>
      </c>
      <c r="E1045" s="374"/>
      <c r="F1045" s="354">
        <v>233946</v>
      </c>
    </row>
    <row r="1046" spans="1:6" ht="15.75" customHeight="1" x14ac:dyDescent="0.25">
      <c r="A1046" s="372" t="s">
        <v>700</v>
      </c>
      <c r="B1046" s="373"/>
      <c r="C1046" s="354">
        <v>178352</v>
      </c>
      <c r="D1046" s="374">
        <v>0</v>
      </c>
      <c r="E1046" s="374"/>
      <c r="F1046" s="354">
        <v>178352</v>
      </c>
    </row>
    <row r="1047" spans="1:6" ht="15.75" customHeight="1" x14ac:dyDescent="0.25">
      <c r="A1047" s="372" t="s">
        <v>701</v>
      </c>
      <c r="B1047" s="373"/>
      <c r="C1047" s="354">
        <v>55594</v>
      </c>
      <c r="D1047" s="374">
        <v>0</v>
      </c>
      <c r="E1047" s="374"/>
      <c r="F1047" s="354">
        <v>55594</v>
      </c>
    </row>
    <row r="1048" spans="1:6" ht="15.75" customHeight="1" x14ac:dyDescent="0.25">
      <c r="A1048" s="372" t="s">
        <v>702</v>
      </c>
      <c r="B1048" s="373"/>
      <c r="C1048" s="354">
        <v>30074</v>
      </c>
      <c r="D1048" s="374">
        <v>0</v>
      </c>
      <c r="E1048" s="374"/>
      <c r="F1048" s="354">
        <v>30074</v>
      </c>
    </row>
    <row r="1049" spans="1:6" ht="15.75" customHeight="1" x14ac:dyDescent="0.25">
      <c r="A1049" s="372" t="s">
        <v>837</v>
      </c>
      <c r="B1049" s="373"/>
      <c r="C1049" s="354">
        <v>220</v>
      </c>
      <c r="D1049" s="374">
        <v>0</v>
      </c>
      <c r="E1049" s="374"/>
      <c r="F1049" s="354">
        <v>220</v>
      </c>
    </row>
    <row r="1050" spans="1:6" ht="15.75" customHeight="1" x14ac:dyDescent="0.25">
      <c r="A1050" s="372" t="s">
        <v>703</v>
      </c>
      <c r="B1050" s="373"/>
      <c r="C1050" s="354">
        <v>25320</v>
      </c>
      <c r="D1050" s="374">
        <v>0</v>
      </c>
      <c r="E1050" s="374"/>
      <c r="F1050" s="354">
        <v>25320</v>
      </c>
    </row>
    <row r="1051" spans="1:6" ht="31.5" customHeight="1" x14ac:dyDescent="0.25">
      <c r="A1051" s="372" t="s">
        <v>704</v>
      </c>
      <c r="B1051" s="373"/>
      <c r="C1051" s="354">
        <v>4534</v>
      </c>
      <c r="D1051" s="374">
        <v>0</v>
      </c>
      <c r="E1051" s="374"/>
      <c r="F1051" s="354">
        <v>4534</v>
      </c>
    </row>
    <row r="1052" spans="1:6" ht="15.75" customHeight="1" x14ac:dyDescent="0.25">
      <c r="A1052" s="372" t="s">
        <v>705</v>
      </c>
      <c r="B1052" s="373"/>
      <c r="C1052" s="354">
        <v>1450</v>
      </c>
      <c r="D1052" s="374">
        <v>0</v>
      </c>
      <c r="E1052" s="374"/>
      <c r="F1052" s="354">
        <v>1450</v>
      </c>
    </row>
    <row r="1053" spans="1:6" ht="15.75" customHeight="1" x14ac:dyDescent="0.25">
      <c r="A1053" s="372" t="s">
        <v>706</v>
      </c>
      <c r="B1053" s="373"/>
      <c r="C1053" s="354">
        <v>1450</v>
      </c>
      <c r="D1053" s="374">
        <v>0</v>
      </c>
      <c r="E1053" s="374"/>
      <c r="F1053" s="354">
        <v>1450</v>
      </c>
    </row>
    <row r="1054" spans="1:6" ht="14.25" customHeight="1" x14ac:dyDescent="0.25"/>
    <row r="1055" spans="1:6" ht="15.75" customHeight="1" x14ac:dyDescent="0.25">
      <c r="A1055" s="382" t="s">
        <v>937</v>
      </c>
      <c r="B1055" s="373"/>
      <c r="C1055" s="373"/>
      <c r="D1055" s="373"/>
      <c r="E1055" s="373"/>
      <c r="F1055" s="373"/>
    </row>
    <row r="1056" spans="1:6" ht="15.75" customHeight="1" x14ac:dyDescent="0.25">
      <c r="A1056" s="382" t="s">
        <v>698</v>
      </c>
      <c r="B1056" s="383"/>
      <c r="C1056" s="353">
        <v>178065</v>
      </c>
      <c r="D1056" s="384">
        <v>0</v>
      </c>
      <c r="E1056" s="384"/>
      <c r="F1056" s="353">
        <v>178065</v>
      </c>
    </row>
    <row r="1057" spans="1:6" ht="15.75" customHeight="1" x14ac:dyDescent="0.25">
      <c r="A1057" s="372" t="s">
        <v>881</v>
      </c>
      <c r="B1057" s="373"/>
      <c r="C1057" s="354">
        <v>178065</v>
      </c>
      <c r="D1057" s="374">
        <v>0</v>
      </c>
      <c r="E1057" s="374"/>
      <c r="F1057" s="354">
        <v>178065</v>
      </c>
    </row>
    <row r="1058" spans="1:6" ht="31.5" customHeight="1" x14ac:dyDescent="0.25">
      <c r="A1058" s="372" t="s">
        <v>890</v>
      </c>
      <c r="B1058" s="373"/>
      <c r="C1058" s="354">
        <v>178065</v>
      </c>
      <c r="D1058" s="374">
        <v>0</v>
      </c>
      <c r="E1058" s="374"/>
      <c r="F1058" s="354">
        <v>178065</v>
      </c>
    </row>
    <row r="1059" spans="1:6" ht="14.25" customHeight="1" x14ac:dyDescent="0.25"/>
    <row r="1060" spans="1:6" ht="15.75" customHeight="1" x14ac:dyDescent="0.25">
      <c r="A1060" s="382" t="s">
        <v>938</v>
      </c>
      <c r="B1060" s="373"/>
      <c r="C1060" s="373"/>
      <c r="D1060" s="373"/>
      <c r="E1060" s="373"/>
      <c r="F1060" s="373"/>
    </row>
    <row r="1061" spans="1:6" ht="15.75" customHeight="1" x14ac:dyDescent="0.25">
      <c r="A1061" s="382" t="s">
        <v>698</v>
      </c>
      <c r="B1061" s="383"/>
      <c r="C1061" s="353">
        <v>598626</v>
      </c>
      <c r="D1061" s="384">
        <v>-646</v>
      </c>
      <c r="E1061" s="385"/>
      <c r="F1061" s="353">
        <v>597980</v>
      </c>
    </row>
    <row r="1062" spans="1:6" ht="15.75" customHeight="1" x14ac:dyDescent="0.25">
      <c r="A1062" s="372" t="s">
        <v>699</v>
      </c>
      <c r="B1062" s="373"/>
      <c r="C1062" s="354">
        <v>3137</v>
      </c>
      <c r="D1062" s="374">
        <v>0</v>
      </c>
      <c r="E1062" s="374"/>
      <c r="F1062" s="354">
        <v>3137</v>
      </c>
    </row>
    <row r="1063" spans="1:6" ht="15.75" customHeight="1" x14ac:dyDescent="0.25">
      <c r="A1063" s="372" t="s">
        <v>700</v>
      </c>
      <c r="B1063" s="373"/>
      <c r="C1063" s="354">
        <v>2538</v>
      </c>
      <c r="D1063" s="374">
        <v>0</v>
      </c>
      <c r="E1063" s="374"/>
      <c r="F1063" s="354">
        <v>2538</v>
      </c>
    </row>
    <row r="1064" spans="1:6" ht="15.75" customHeight="1" x14ac:dyDescent="0.25">
      <c r="A1064" s="372" t="s">
        <v>701</v>
      </c>
      <c r="B1064" s="373"/>
      <c r="C1064" s="354">
        <v>599</v>
      </c>
      <c r="D1064" s="374">
        <v>0</v>
      </c>
      <c r="E1064" s="374"/>
      <c r="F1064" s="354">
        <v>599</v>
      </c>
    </row>
    <row r="1065" spans="1:6" ht="15.75" customHeight="1" x14ac:dyDescent="0.25">
      <c r="A1065" s="372" t="s">
        <v>881</v>
      </c>
      <c r="B1065" s="373"/>
      <c r="C1065" s="354">
        <v>595489</v>
      </c>
      <c r="D1065" s="374">
        <v>-646</v>
      </c>
      <c r="E1065" s="375"/>
      <c r="F1065" s="354">
        <v>594843</v>
      </c>
    </row>
    <row r="1066" spans="1:6" ht="15.75" customHeight="1" x14ac:dyDescent="0.25">
      <c r="A1066" s="372" t="s">
        <v>882</v>
      </c>
      <c r="B1066" s="373"/>
      <c r="C1066" s="354">
        <v>119927</v>
      </c>
      <c r="D1066" s="374">
        <v>0</v>
      </c>
      <c r="E1066" s="374"/>
      <c r="F1066" s="354">
        <v>119927</v>
      </c>
    </row>
    <row r="1067" spans="1:6" ht="15.75" customHeight="1" x14ac:dyDescent="0.25">
      <c r="A1067" s="372" t="s">
        <v>883</v>
      </c>
      <c r="B1067" s="373"/>
      <c r="C1067" s="354">
        <v>28000</v>
      </c>
      <c r="D1067" s="374">
        <v>0</v>
      </c>
      <c r="E1067" s="374"/>
      <c r="F1067" s="354">
        <v>28000</v>
      </c>
    </row>
    <row r="1068" spans="1:6" ht="31.5" customHeight="1" x14ac:dyDescent="0.25">
      <c r="A1068" s="372" t="s">
        <v>890</v>
      </c>
      <c r="B1068" s="373"/>
      <c r="C1068" s="354">
        <v>447562</v>
      </c>
      <c r="D1068" s="374">
        <v>-646</v>
      </c>
      <c r="E1068" s="375"/>
      <c r="F1068" s="354">
        <v>446916</v>
      </c>
    </row>
    <row r="1069" spans="1:6" ht="14.25" customHeight="1" x14ac:dyDescent="0.25"/>
    <row r="1070" spans="1:6" ht="15.75" customHeight="1" x14ac:dyDescent="0.25">
      <c r="A1070" s="382" t="s">
        <v>939</v>
      </c>
      <c r="B1070" s="373"/>
      <c r="C1070" s="373"/>
      <c r="D1070" s="373"/>
      <c r="E1070" s="373"/>
      <c r="F1070" s="373"/>
    </row>
    <row r="1071" spans="1:6" ht="15.75" customHeight="1" x14ac:dyDescent="0.25">
      <c r="A1071" s="382" t="s">
        <v>698</v>
      </c>
      <c r="B1071" s="383"/>
      <c r="C1071" s="353">
        <v>168978</v>
      </c>
      <c r="D1071" s="384">
        <v>0</v>
      </c>
      <c r="E1071" s="384"/>
      <c r="F1071" s="353">
        <v>168978</v>
      </c>
    </row>
    <row r="1072" spans="1:6" ht="15.75" customHeight="1" x14ac:dyDescent="0.25">
      <c r="A1072" s="372" t="s">
        <v>699</v>
      </c>
      <c r="B1072" s="373"/>
      <c r="C1072" s="354">
        <v>142842</v>
      </c>
      <c r="D1072" s="374">
        <v>0</v>
      </c>
      <c r="E1072" s="374"/>
      <c r="F1072" s="354">
        <v>142842</v>
      </c>
    </row>
    <row r="1073" spans="1:6" ht="15.75" customHeight="1" x14ac:dyDescent="0.25">
      <c r="A1073" s="372" t="s">
        <v>700</v>
      </c>
      <c r="B1073" s="373"/>
      <c r="C1073" s="354">
        <v>108878</v>
      </c>
      <c r="D1073" s="374">
        <v>0</v>
      </c>
      <c r="E1073" s="374"/>
      <c r="F1073" s="354">
        <v>108878</v>
      </c>
    </row>
    <row r="1074" spans="1:6" ht="15.75" customHeight="1" x14ac:dyDescent="0.25">
      <c r="A1074" s="372" t="s">
        <v>701</v>
      </c>
      <c r="B1074" s="373"/>
      <c r="C1074" s="354">
        <v>33964</v>
      </c>
      <c r="D1074" s="374">
        <v>0</v>
      </c>
      <c r="E1074" s="374"/>
      <c r="F1074" s="354">
        <v>33964</v>
      </c>
    </row>
    <row r="1075" spans="1:6" ht="15.75" customHeight="1" x14ac:dyDescent="0.25">
      <c r="A1075" s="372" t="s">
        <v>702</v>
      </c>
      <c r="B1075" s="373"/>
      <c r="C1075" s="354">
        <v>24505</v>
      </c>
      <c r="D1075" s="374">
        <v>0</v>
      </c>
      <c r="E1075" s="374"/>
      <c r="F1075" s="354">
        <v>24505</v>
      </c>
    </row>
    <row r="1076" spans="1:6" ht="15.75" customHeight="1" x14ac:dyDescent="0.25">
      <c r="A1076" s="372" t="s">
        <v>837</v>
      </c>
      <c r="B1076" s="373"/>
      <c r="C1076" s="354">
        <v>1423</v>
      </c>
      <c r="D1076" s="374">
        <v>0</v>
      </c>
      <c r="E1076" s="374"/>
      <c r="F1076" s="354">
        <v>1423</v>
      </c>
    </row>
    <row r="1077" spans="1:6" ht="15.75" customHeight="1" x14ac:dyDescent="0.25">
      <c r="A1077" s="372" t="s">
        <v>703</v>
      </c>
      <c r="B1077" s="373"/>
      <c r="C1077" s="354">
        <v>17298</v>
      </c>
      <c r="D1077" s="374">
        <v>0</v>
      </c>
      <c r="E1077" s="374"/>
      <c r="F1077" s="354">
        <v>17298</v>
      </c>
    </row>
    <row r="1078" spans="1:6" ht="31.5" customHeight="1" x14ac:dyDescent="0.25">
      <c r="A1078" s="372" t="s">
        <v>704</v>
      </c>
      <c r="B1078" s="373"/>
      <c r="C1078" s="354">
        <v>5784</v>
      </c>
      <c r="D1078" s="374">
        <v>0</v>
      </c>
      <c r="E1078" s="374"/>
      <c r="F1078" s="354">
        <v>5784</v>
      </c>
    </row>
    <row r="1079" spans="1:6" ht="15.75" customHeight="1" x14ac:dyDescent="0.25">
      <c r="A1079" s="372" t="s">
        <v>705</v>
      </c>
      <c r="B1079" s="373"/>
      <c r="C1079" s="354">
        <v>1631</v>
      </c>
      <c r="D1079" s="374">
        <v>0</v>
      </c>
      <c r="E1079" s="374"/>
      <c r="F1079" s="354">
        <v>1631</v>
      </c>
    </row>
    <row r="1080" spans="1:6" ht="15.75" customHeight="1" x14ac:dyDescent="0.25">
      <c r="A1080" s="372" t="s">
        <v>706</v>
      </c>
      <c r="B1080" s="373"/>
      <c r="C1080" s="354">
        <v>1631</v>
      </c>
      <c r="D1080" s="374">
        <v>0</v>
      </c>
      <c r="E1080" s="374"/>
      <c r="F1080" s="354">
        <v>1631</v>
      </c>
    </row>
    <row r="1081" spans="1:6" ht="14.25" customHeight="1" x14ac:dyDescent="0.25"/>
    <row r="1082" spans="1:6" ht="31.5" customHeight="1" x14ac:dyDescent="0.25">
      <c r="A1082" s="382" t="s">
        <v>940</v>
      </c>
      <c r="B1082" s="373"/>
      <c r="C1082" s="373"/>
      <c r="D1082" s="373"/>
      <c r="E1082" s="373"/>
      <c r="F1082" s="373"/>
    </row>
    <row r="1083" spans="1:6" ht="15.75" customHeight="1" x14ac:dyDescent="0.25">
      <c r="A1083" s="382" t="s">
        <v>698</v>
      </c>
      <c r="B1083" s="383"/>
      <c r="C1083" s="353">
        <v>22097</v>
      </c>
      <c r="D1083" s="384">
        <v>0</v>
      </c>
      <c r="E1083" s="384"/>
      <c r="F1083" s="353">
        <v>22097</v>
      </c>
    </row>
    <row r="1084" spans="1:6" ht="15.75" customHeight="1" x14ac:dyDescent="0.25">
      <c r="A1084" s="372" t="s">
        <v>699</v>
      </c>
      <c r="B1084" s="373"/>
      <c r="C1084" s="354">
        <v>2539</v>
      </c>
      <c r="D1084" s="374">
        <v>0</v>
      </c>
      <c r="E1084" s="374"/>
      <c r="F1084" s="354">
        <v>2539</v>
      </c>
    </row>
    <row r="1085" spans="1:6" ht="15.75" customHeight="1" x14ac:dyDescent="0.25">
      <c r="A1085" s="372" t="s">
        <v>700</v>
      </c>
      <c r="B1085" s="373"/>
      <c r="C1085" s="354">
        <v>2053</v>
      </c>
      <c r="D1085" s="374">
        <v>0</v>
      </c>
      <c r="E1085" s="374"/>
      <c r="F1085" s="354">
        <v>2053</v>
      </c>
    </row>
    <row r="1086" spans="1:6" ht="15.75" customHeight="1" x14ac:dyDescent="0.25">
      <c r="A1086" s="372" t="s">
        <v>701</v>
      </c>
      <c r="B1086" s="373"/>
      <c r="C1086" s="354">
        <v>486</v>
      </c>
      <c r="D1086" s="374">
        <v>0</v>
      </c>
      <c r="E1086" s="374"/>
      <c r="F1086" s="354">
        <v>486</v>
      </c>
    </row>
    <row r="1087" spans="1:6" ht="15.75" customHeight="1" x14ac:dyDescent="0.25">
      <c r="A1087" s="372" t="s">
        <v>702</v>
      </c>
      <c r="B1087" s="373"/>
      <c r="C1087" s="354">
        <v>19558</v>
      </c>
      <c r="D1087" s="374">
        <v>0</v>
      </c>
      <c r="E1087" s="374"/>
      <c r="F1087" s="354">
        <v>19558</v>
      </c>
    </row>
    <row r="1088" spans="1:6" ht="15.75" customHeight="1" x14ac:dyDescent="0.25">
      <c r="A1088" s="372" t="s">
        <v>703</v>
      </c>
      <c r="B1088" s="373"/>
      <c r="C1088" s="354">
        <v>19558</v>
      </c>
      <c r="D1088" s="374">
        <v>0</v>
      </c>
      <c r="E1088" s="374"/>
      <c r="F1088" s="354">
        <v>19558</v>
      </c>
    </row>
    <row r="1089" spans="1:6" ht="14.25" customHeight="1" x14ac:dyDescent="0.25"/>
    <row r="1090" spans="1:6" ht="15.75" customHeight="1" x14ac:dyDescent="0.25">
      <c r="A1090" s="382" t="s">
        <v>941</v>
      </c>
      <c r="B1090" s="373"/>
      <c r="C1090" s="373"/>
      <c r="D1090" s="373"/>
      <c r="E1090" s="373"/>
      <c r="F1090" s="373"/>
    </row>
    <row r="1091" spans="1:6" ht="15.75" customHeight="1" x14ac:dyDescent="0.25">
      <c r="A1091" s="382" t="s">
        <v>698</v>
      </c>
      <c r="B1091" s="383"/>
      <c r="C1091" s="353">
        <v>70186</v>
      </c>
      <c r="D1091" s="384">
        <v>0</v>
      </c>
      <c r="E1091" s="384"/>
      <c r="F1091" s="353">
        <v>70186</v>
      </c>
    </row>
    <row r="1092" spans="1:6" ht="15.75" customHeight="1" x14ac:dyDescent="0.25">
      <c r="A1092" s="372" t="s">
        <v>699</v>
      </c>
      <c r="B1092" s="373"/>
      <c r="C1092" s="354">
        <v>1449</v>
      </c>
      <c r="D1092" s="374">
        <v>0</v>
      </c>
      <c r="E1092" s="374"/>
      <c r="F1092" s="354">
        <v>1449</v>
      </c>
    </row>
    <row r="1093" spans="1:6" ht="15.75" customHeight="1" x14ac:dyDescent="0.25">
      <c r="A1093" s="372" t="s">
        <v>700</v>
      </c>
      <c r="B1093" s="373"/>
      <c r="C1093" s="354">
        <v>1173</v>
      </c>
      <c r="D1093" s="374">
        <v>-13</v>
      </c>
      <c r="E1093" s="375"/>
      <c r="F1093" s="354">
        <v>1160</v>
      </c>
    </row>
    <row r="1094" spans="1:6" ht="15.75" customHeight="1" x14ac:dyDescent="0.25">
      <c r="A1094" s="372" t="s">
        <v>701</v>
      </c>
      <c r="B1094" s="373"/>
      <c r="C1094" s="354">
        <v>276</v>
      </c>
      <c r="D1094" s="374">
        <v>13</v>
      </c>
      <c r="E1094" s="375"/>
      <c r="F1094" s="354">
        <v>289</v>
      </c>
    </row>
    <row r="1095" spans="1:6" ht="15.75" customHeight="1" x14ac:dyDescent="0.25">
      <c r="A1095" s="372" t="s">
        <v>702</v>
      </c>
      <c r="B1095" s="373"/>
      <c r="C1095" s="354">
        <v>20000</v>
      </c>
      <c r="D1095" s="374">
        <v>0</v>
      </c>
      <c r="E1095" s="374"/>
      <c r="F1095" s="354">
        <v>20000</v>
      </c>
    </row>
    <row r="1096" spans="1:6" ht="15.75" customHeight="1" x14ac:dyDescent="0.25">
      <c r="A1096" s="372" t="s">
        <v>703</v>
      </c>
      <c r="B1096" s="373"/>
      <c r="C1096" s="354">
        <v>18000</v>
      </c>
      <c r="D1096" s="374">
        <v>0</v>
      </c>
      <c r="E1096" s="374"/>
      <c r="F1096" s="354">
        <v>18000</v>
      </c>
    </row>
    <row r="1097" spans="1:6" ht="31.5" customHeight="1" x14ac:dyDescent="0.25">
      <c r="A1097" s="372" t="s">
        <v>704</v>
      </c>
      <c r="B1097" s="373"/>
      <c r="C1097" s="354">
        <v>2000</v>
      </c>
      <c r="D1097" s="374">
        <v>0</v>
      </c>
      <c r="E1097" s="374"/>
      <c r="F1097" s="354">
        <v>2000</v>
      </c>
    </row>
    <row r="1098" spans="1:6" ht="15.75" customHeight="1" x14ac:dyDescent="0.25">
      <c r="A1098" s="372" t="s">
        <v>881</v>
      </c>
      <c r="B1098" s="373"/>
      <c r="C1098" s="354">
        <v>48737</v>
      </c>
      <c r="D1098" s="374">
        <v>0</v>
      </c>
      <c r="E1098" s="374"/>
      <c r="F1098" s="354">
        <v>48737</v>
      </c>
    </row>
    <row r="1099" spans="1:6" ht="15.75" customHeight="1" x14ac:dyDescent="0.25">
      <c r="A1099" s="372" t="s">
        <v>882</v>
      </c>
      <c r="B1099" s="373"/>
      <c r="C1099" s="354">
        <v>48737</v>
      </c>
      <c r="D1099" s="374">
        <v>0</v>
      </c>
      <c r="E1099" s="374"/>
      <c r="F1099" s="354">
        <v>48737</v>
      </c>
    </row>
    <row r="1100" spans="1:6" ht="14.25" customHeight="1" x14ac:dyDescent="0.25"/>
    <row r="1101" spans="1:6" ht="15.75" customHeight="1" x14ac:dyDescent="0.25">
      <c r="A1101" s="382" t="s">
        <v>942</v>
      </c>
      <c r="B1101" s="373"/>
      <c r="C1101" s="373"/>
      <c r="D1101" s="373"/>
      <c r="E1101" s="373"/>
      <c r="F1101" s="373"/>
    </row>
    <row r="1102" spans="1:6" ht="15.75" customHeight="1" x14ac:dyDescent="0.25">
      <c r="A1102" s="382" t="s">
        <v>698</v>
      </c>
      <c r="B1102" s="383"/>
      <c r="C1102" s="353">
        <v>500000</v>
      </c>
      <c r="D1102" s="384">
        <v>0</v>
      </c>
      <c r="E1102" s="384"/>
      <c r="F1102" s="353">
        <v>500000</v>
      </c>
    </row>
    <row r="1103" spans="1:6" ht="15.75" customHeight="1" x14ac:dyDescent="0.25">
      <c r="A1103" s="372" t="s">
        <v>881</v>
      </c>
      <c r="B1103" s="373"/>
      <c r="C1103" s="354">
        <v>500000</v>
      </c>
      <c r="D1103" s="374">
        <v>0</v>
      </c>
      <c r="E1103" s="374"/>
      <c r="F1103" s="354">
        <v>500000</v>
      </c>
    </row>
    <row r="1104" spans="1:6" ht="15.75" customHeight="1" x14ac:dyDescent="0.25">
      <c r="A1104" s="372" t="s">
        <v>882</v>
      </c>
      <c r="B1104" s="373"/>
      <c r="C1104" s="354">
        <v>95000</v>
      </c>
      <c r="D1104" s="374">
        <v>0</v>
      </c>
      <c r="E1104" s="374"/>
      <c r="F1104" s="354">
        <v>95000</v>
      </c>
    </row>
    <row r="1105" spans="1:6" ht="15.75" customHeight="1" x14ac:dyDescent="0.25">
      <c r="A1105" s="372" t="s">
        <v>883</v>
      </c>
      <c r="B1105" s="373"/>
      <c r="C1105" s="354">
        <v>405000</v>
      </c>
      <c r="D1105" s="374">
        <v>0</v>
      </c>
      <c r="E1105" s="374"/>
      <c r="F1105" s="354">
        <v>405000</v>
      </c>
    </row>
    <row r="1106" spans="1:6" ht="14.25" customHeight="1" x14ac:dyDescent="0.25"/>
    <row r="1107" spans="1:6" ht="15.75" customHeight="1" x14ac:dyDescent="0.25">
      <c r="A1107" s="382" t="s">
        <v>943</v>
      </c>
      <c r="B1107" s="373"/>
      <c r="C1107" s="373"/>
      <c r="D1107" s="373"/>
      <c r="E1107" s="373"/>
      <c r="F1107" s="373"/>
    </row>
    <row r="1108" spans="1:6" ht="15.75" customHeight="1" x14ac:dyDescent="0.25">
      <c r="A1108" s="382" t="s">
        <v>698</v>
      </c>
      <c r="B1108" s="383"/>
      <c r="C1108" s="353">
        <v>9033</v>
      </c>
      <c r="D1108" s="384">
        <v>0</v>
      </c>
      <c r="E1108" s="384"/>
      <c r="F1108" s="353">
        <v>9033</v>
      </c>
    </row>
    <row r="1109" spans="1:6" ht="15.75" customHeight="1" x14ac:dyDescent="0.25">
      <c r="A1109" s="372" t="s">
        <v>702</v>
      </c>
      <c r="B1109" s="373"/>
      <c r="C1109" s="354">
        <v>1748</v>
      </c>
      <c r="D1109" s="374">
        <v>0</v>
      </c>
      <c r="E1109" s="374"/>
      <c r="F1109" s="354">
        <v>1748</v>
      </c>
    </row>
    <row r="1110" spans="1:6" ht="15.75" customHeight="1" x14ac:dyDescent="0.25">
      <c r="A1110" s="372" t="s">
        <v>703</v>
      </c>
      <c r="B1110" s="373"/>
      <c r="C1110" s="354">
        <v>1061</v>
      </c>
      <c r="D1110" s="374">
        <v>0</v>
      </c>
      <c r="E1110" s="374"/>
      <c r="F1110" s="354">
        <v>1061</v>
      </c>
    </row>
    <row r="1111" spans="1:6" ht="31.5" customHeight="1" x14ac:dyDescent="0.25">
      <c r="A1111" s="372" t="s">
        <v>704</v>
      </c>
      <c r="B1111" s="373"/>
      <c r="C1111" s="354">
        <v>687</v>
      </c>
      <c r="D1111" s="374">
        <v>0</v>
      </c>
      <c r="E1111" s="374"/>
      <c r="F1111" s="354">
        <v>687</v>
      </c>
    </row>
    <row r="1112" spans="1:6" ht="15.75" customHeight="1" x14ac:dyDescent="0.25">
      <c r="A1112" s="372" t="s">
        <v>881</v>
      </c>
      <c r="B1112" s="373"/>
      <c r="C1112" s="354">
        <v>7285</v>
      </c>
      <c r="D1112" s="374">
        <v>0</v>
      </c>
      <c r="E1112" s="374"/>
      <c r="F1112" s="354">
        <v>7285</v>
      </c>
    </row>
    <row r="1113" spans="1:6" ht="15.75" customHeight="1" x14ac:dyDescent="0.25">
      <c r="A1113" s="372" t="s">
        <v>883</v>
      </c>
      <c r="B1113" s="373"/>
      <c r="C1113" s="354">
        <v>7285</v>
      </c>
      <c r="D1113" s="374">
        <v>0</v>
      </c>
      <c r="E1113" s="374"/>
      <c r="F1113" s="354">
        <v>7285</v>
      </c>
    </row>
    <row r="1114" spans="1:6" ht="14.25" customHeight="1" x14ac:dyDescent="0.25"/>
    <row r="1115" spans="1:6" ht="31.5" customHeight="1" x14ac:dyDescent="0.25">
      <c r="A1115" s="382" t="s">
        <v>944</v>
      </c>
      <c r="B1115" s="373"/>
      <c r="C1115" s="373"/>
      <c r="D1115" s="373"/>
      <c r="E1115" s="373"/>
      <c r="F1115" s="373"/>
    </row>
    <row r="1116" spans="1:6" ht="15.75" customHeight="1" x14ac:dyDescent="0.25">
      <c r="A1116" s="382" t="s">
        <v>698</v>
      </c>
      <c r="B1116" s="383"/>
      <c r="C1116" s="353">
        <v>89031</v>
      </c>
      <c r="D1116" s="384">
        <v>0</v>
      </c>
      <c r="E1116" s="384"/>
      <c r="F1116" s="353">
        <v>89031</v>
      </c>
    </row>
    <row r="1117" spans="1:6" ht="15.75" customHeight="1" x14ac:dyDescent="0.25">
      <c r="A1117" s="372" t="s">
        <v>881</v>
      </c>
      <c r="B1117" s="373"/>
      <c r="C1117" s="354">
        <v>89031</v>
      </c>
      <c r="D1117" s="374">
        <v>0</v>
      </c>
      <c r="E1117" s="374"/>
      <c r="F1117" s="354">
        <v>89031</v>
      </c>
    </row>
    <row r="1118" spans="1:6" ht="15.75" customHeight="1" x14ac:dyDescent="0.25">
      <c r="A1118" s="372" t="s">
        <v>882</v>
      </c>
      <c r="B1118" s="373"/>
      <c r="C1118" s="354">
        <v>57500</v>
      </c>
      <c r="D1118" s="374">
        <v>0</v>
      </c>
      <c r="E1118" s="374"/>
      <c r="F1118" s="354">
        <v>57500</v>
      </c>
    </row>
    <row r="1119" spans="1:6" ht="31.5" customHeight="1" x14ac:dyDescent="0.25">
      <c r="A1119" s="372" t="s">
        <v>890</v>
      </c>
      <c r="B1119" s="373"/>
      <c r="C1119" s="354">
        <v>31531</v>
      </c>
      <c r="D1119" s="374">
        <v>0</v>
      </c>
      <c r="E1119" s="374"/>
      <c r="F1119" s="354">
        <v>31531</v>
      </c>
    </row>
    <row r="1120" spans="1:6" ht="14.25" customHeight="1" x14ac:dyDescent="0.25"/>
    <row r="1121" spans="1:6" ht="15.75" customHeight="1" x14ac:dyDescent="0.25">
      <c r="A1121" s="382" t="s">
        <v>945</v>
      </c>
      <c r="B1121" s="373"/>
      <c r="C1121" s="373"/>
      <c r="D1121" s="373"/>
      <c r="E1121" s="373"/>
      <c r="F1121" s="373"/>
    </row>
    <row r="1122" spans="1:6" ht="15.75" customHeight="1" x14ac:dyDescent="0.25">
      <c r="A1122" s="382" t="s">
        <v>698</v>
      </c>
      <c r="B1122" s="383"/>
      <c r="C1122" s="353">
        <v>84456</v>
      </c>
      <c r="D1122" s="384">
        <v>0</v>
      </c>
      <c r="E1122" s="384"/>
      <c r="F1122" s="353">
        <v>84456</v>
      </c>
    </row>
    <row r="1123" spans="1:6" ht="15.75" customHeight="1" x14ac:dyDescent="0.25">
      <c r="A1123" s="372" t="s">
        <v>699</v>
      </c>
      <c r="B1123" s="373"/>
      <c r="C1123" s="354">
        <v>41307</v>
      </c>
      <c r="D1123" s="374">
        <v>0</v>
      </c>
      <c r="E1123" s="374"/>
      <c r="F1123" s="354">
        <v>41307</v>
      </c>
    </row>
    <row r="1124" spans="1:6" ht="15.75" customHeight="1" x14ac:dyDescent="0.25">
      <c r="A1124" s="372" t="s">
        <v>700</v>
      </c>
      <c r="B1124" s="373"/>
      <c r="C1124" s="354">
        <v>31940</v>
      </c>
      <c r="D1124" s="374">
        <v>0</v>
      </c>
      <c r="E1124" s="374"/>
      <c r="F1124" s="354">
        <v>31940</v>
      </c>
    </row>
    <row r="1125" spans="1:6" ht="15.75" customHeight="1" x14ac:dyDescent="0.25">
      <c r="A1125" s="372" t="s">
        <v>701</v>
      </c>
      <c r="B1125" s="373"/>
      <c r="C1125" s="354">
        <v>9367</v>
      </c>
      <c r="D1125" s="374">
        <v>0</v>
      </c>
      <c r="E1125" s="374"/>
      <c r="F1125" s="354">
        <v>9367</v>
      </c>
    </row>
    <row r="1126" spans="1:6" ht="15.75" customHeight="1" x14ac:dyDescent="0.25">
      <c r="A1126" s="372" t="s">
        <v>702</v>
      </c>
      <c r="B1126" s="373"/>
      <c r="C1126" s="354">
        <v>42049</v>
      </c>
      <c r="D1126" s="374">
        <v>0</v>
      </c>
      <c r="E1126" s="374"/>
      <c r="F1126" s="354">
        <v>42049</v>
      </c>
    </row>
    <row r="1127" spans="1:6" ht="15.75" customHeight="1" x14ac:dyDescent="0.25">
      <c r="A1127" s="372" t="s">
        <v>837</v>
      </c>
      <c r="B1127" s="373"/>
      <c r="C1127" s="354">
        <v>193</v>
      </c>
      <c r="D1127" s="374">
        <v>0</v>
      </c>
      <c r="E1127" s="374"/>
      <c r="F1127" s="354">
        <v>193</v>
      </c>
    </row>
    <row r="1128" spans="1:6" ht="15.75" customHeight="1" x14ac:dyDescent="0.25">
      <c r="A1128" s="372" t="s">
        <v>703</v>
      </c>
      <c r="B1128" s="373"/>
      <c r="C1128" s="354">
        <v>19160</v>
      </c>
      <c r="D1128" s="374">
        <v>0</v>
      </c>
      <c r="E1128" s="374"/>
      <c r="F1128" s="354">
        <v>19160</v>
      </c>
    </row>
    <row r="1129" spans="1:6" ht="31.5" customHeight="1" x14ac:dyDescent="0.25">
      <c r="A1129" s="372" t="s">
        <v>704</v>
      </c>
      <c r="B1129" s="373"/>
      <c r="C1129" s="354">
        <v>22696</v>
      </c>
      <c r="D1129" s="374">
        <v>0</v>
      </c>
      <c r="E1129" s="374"/>
      <c r="F1129" s="354">
        <v>22696</v>
      </c>
    </row>
    <row r="1130" spans="1:6" ht="15.75" customHeight="1" x14ac:dyDescent="0.25">
      <c r="A1130" s="372" t="s">
        <v>705</v>
      </c>
      <c r="B1130" s="373"/>
      <c r="C1130" s="354">
        <v>1100</v>
      </c>
      <c r="D1130" s="374">
        <v>0</v>
      </c>
      <c r="E1130" s="374"/>
      <c r="F1130" s="354">
        <v>1100</v>
      </c>
    </row>
    <row r="1131" spans="1:6" ht="15.75" customHeight="1" x14ac:dyDescent="0.25">
      <c r="A1131" s="372" t="s">
        <v>706</v>
      </c>
      <c r="B1131" s="373"/>
      <c r="C1131" s="354">
        <v>1100</v>
      </c>
      <c r="D1131" s="374">
        <v>0</v>
      </c>
      <c r="E1131" s="374"/>
      <c r="F1131" s="354">
        <v>1100</v>
      </c>
    </row>
    <row r="1132" spans="1:6" ht="14.25" customHeight="1" x14ac:dyDescent="0.25"/>
    <row r="1133" spans="1:6" ht="15.75" customHeight="1" x14ac:dyDescent="0.25">
      <c r="A1133" s="382" t="s">
        <v>946</v>
      </c>
      <c r="B1133" s="373"/>
      <c r="C1133" s="373"/>
      <c r="D1133" s="373"/>
      <c r="E1133" s="373"/>
      <c r="F1133" s="373"/>
    </row>
    <row r="1134" spans="1:6" ht="15.75" customHeight="1" x14ac:dyDescent="0.25">
      <c r="A1134" s="382" t="s">
        <v>698</v>
      </c>
      <c r="B1134" s="383"/>
      <c r="C1134" s="353">
        <v>643569</v>
      </c>
      <c r="D1134" s="384">
        <v>24000</v>
      </c>
      <c r="E1134" s="385"/>
      <c r="F1134" s="353">
        <v>667569</v>
      </c>
    </row>
    <row r="1135" spans="1:6" ht="15.75" customHeight="1" x14ac:dyDescent="0.25">
      <c r="A1135" s="372" t="s">
        <v>699</v>
      </c>
      <c r="B1135" s="373"/>
      <c r="C1135" s="354">
        <v>444156</v>
      </c>
      <c r="D1135" s="374">
        <v>17343</v>
      </c>
      <c r="E1135" s="375"/>
      <c r="F1135" s="354">
        <v>461499</v>
      </c>
    </row>
    <row r="1136" spans="1:6" ht="15.75" customHeight="1" x14ac:dyDescent="0.25">
      <c r="A1136" s="372" t="s">
        <v>700</v>
      </c>
      <c r="B1136" s="373"/>
      <c r="C1136" s="354">
        <v>341354</v>
      </c>
      <c r="D1136" s="374">
        <v>6751</v>
      </c>
      <c r="E1136" s="375"/>
      <c r="F1136" s="354">
        <v>348105</v>
      </c>
    </row>
    <row r="1137" spans="1:6" ht="15.75" customHeight="1" x14ac:dyDescent="0.25">
      <c r="A1137" s="372" t="s">
        <v>701</v>
      </c>
      <c r="B1137" s="373"/>
      <c r="C1137" s="354">
        <v>102802</v>
      </c>
      <c r="D1137" s="374">
        <v>10592</v>
      </c>
      <c r="E1137" s="375"/>
      <c r="F1137" s="354">
        <v>113394</v>
      </c>
    </row>
    <row r="1138" spans="1:6" ht="15.75" customHeight="1" x14ac:dyDescent="0.25">
      <c r="A1138" s="372" t="s">
        <v>702</v>
      </c>
      <c r="B1138" s="373"/>
      <c r="C1138" s="354">
        <v>181909</v>
      </c>
      <c r="D1138" s="374">
        <v>5977</v>
      </c>
      <c r="E1138" s="375"/>
      <c r="F1138" s="354">
        <v>187886</v>
      </c>
    </row>
    <row r="1139" spans="1:6" ht="15.75" customHeight="1" x14ac:dyDescent="0.25">
      <c r="A1139" s="372" t="s">
        <v>837</v>
      </c>
      <c r="B1139" s="373"/>
      <c r="C1139" s="354">
        <v>1921</v>
      </c>
      <c r="D1139" s="374">
        <v>0</v>
      </c>
      <c r="E1139" s="374"/>
      <c r="F1139" s="354">
        <v>1921</v>
      </c>
    </row>
    <row r="1140" spans="1:6" ht="15.75" customHeight="1" x14ac:dyDescent="0.25">
      <c r="A1140" s="372" t="s">
        <v>703</v>
      </c>
      <c r="B1140" s="373"/>
      <c r="C1140" s="354">
        <v>69370</v>
      </c>
      <c r="D1140" s="374">
        <v>3020</v>
      </c>
      <c r="E1140" s="375"/>
      <c r="F1140" s="354">
        <v>72390</v>
      </c>
    </row>
    <row r="1141" spans="1:6" ht="31.5" customHeight="1" x14ac:dyDescent="0.25">
      <c r="A1141" s="372" t="s">
        <v>704</v>
      </c>
      <c r="B1141" s="373"/>
      <c r="C1141" s="354">
        <v>110618</v>
      </c>
      <c r="D1141" s="374">
        <v>2957</v>
      </c>
      <c r="E1141" s="375"/>
      <c r="F1141" s="354">
        <v>113575</v>
      </c>
    </row>
    <row r="1142" spans="1:6" ht="15.75" customHeight="1" x14ac:dyDescent="0.25">
      <c r="A1142" s="372" t="s">
        <v>705</v>
      </c>
      <c r="B1142" s="373"/>
      <c r="C1142" s="354">
        <v>14879</v>
      </c>
      <c r="D1142" s="374">
        <v>0</v>
      </c>
      <c r="E1142" s="374"/>
      <c r="F1142" s="354">
        <v>14879</v>
      </c>
    </row>
    <row r="1143" spans="1:6" ht="15.75" customHeight="1" x14ac:dyDescent="0.25">
      <c r="A1143" s="372" t="s">
        <v>706</v>
      </c>
      <c r="B1143" s="373"/>
      <c r="C1143" s="354">
        <v>14879</v>
      </c>
      <c r="D1143" s="374">
        <v>0</v>
      </c>
      <c r="E1143" s="374"/>
      <c r="F1143" s="354">
        <v>14879</v>
      </c>
    </row>
    <row r="1144" spans="1:6" ht="15.75" customHeight="1" x14ac:dyDescent="0.25">
      <c r="A1144" s="372" t="s">
        <v>881</v>
      </c>
      <c r="B1144" s="373"/>
      <c r="C1144" s="354">
        <v>2625</v>
      </c>
      <c r="D1144" s="374">
        <v>680</v>
      </c>
      <c r="E1144" s="375"/>
      <c r="F1144" s="354">
        <v>3305</v>
      </c>
    </row>
    <row r="1145" spans="1:6" ht="15.75" customHeight="1" x14ac:dyDescent="0.25">
      <c r="A1145" s="372" t="s">
        <v>882</v>
      </c>
      <c r="B1145" s="373"/>
      <c r="C1145" s="354">
        <v>2625</v>
      </c>
      <c r="D1145" s="374">
        <v>680</v>
      </c>
      <c r="E1145" s="375"/>
      <c r="F1145" s="354">
        <v>3305</v>
      </c>
    </row>
    <row r="1146" spans="1:6" ht="14.25" customHeight="1" x14ac:dyDescent="0.25"/>
    <row r="1147" spans="1:6" ht="15.75" customHeight="1" x14ac:dyDescent="0.25">
      <c r="A1147" s="382" t="s">
        <v>947</v>
      </c>
      <c r="B1147" s="373"/>
      <c r="C1147" s="373"/>
      <c r="D1147" s="373"/>
      <c r="E1147" s="373"/>
      <c r="F1147" s="373"/>
    </row>
    <row r="1148" spans="1:6" ht="15.75" customHeight="1" x14ac:dyDescent="0.25">
      <c r="A1148" s="382" t="s">
        <v>698</v>
      </c>
      <c r="B1148" s="383"/>
      <c r="C1148" s="353">
        <v>15200</v>
      </c>
      <c r="D1148" s="384">
        <v>0</v>
      </c>
      <c r="E1148" s="384"/>
      <c r="F1148" s="353">
        <v>15200</v>
      </c>
    </row>
    <row r="1149" spans="1:6" ht="15.75" customHeight="1" x14ac:dyDescent="0.25">
      <c r="A1149" s="372" t="s">
        <v>699</v>
      </c>
      <c r="B1149" s="373"/>
      <c r="C1149" s="354">
        <v>6772</v>
      </c>
      <c r="D1149" s="374">
        <v>0</v>
      </c>
      <c r="E1149" s="374"/>
      <c r="F1149" s="354">
        <v>6772</v>
      </c>
    </row>
    <row r="1150" spans="1:6" ht="15.75" customHeight="1" x14ac:dyDescent="0.25">
      <c r="A1150" s="372" t="s">
        <v>700</v>
      </c>
      <c r="B1150" s="373"/>
      <c r="C1150" s="354">
        <v>5177</v>
      </c>
      <c r="D1150" s="374">
        <v>0</v>
      </c>
      <c r="E1150" s="374"/>
      <c r="F1150" s="354">
        <v>5177</v>
      </c>
    </row>
    <row r="1151" spans="1:6" ht="15.75" customHeight="1" x14ac:dyDescent="0.25">
      <c r="A1151" s="372" t="s">
        <v>701</v>
      </c>
      <c r="B1151" s="373"/>
      <c r="C1151" s="354">
        <v>1595</v>
      </c>
      <c r="D1151" s="374">
        <v>0</v>
      </c>
      <c r="E1151" s="374"/>
      <c r="F1151" s="354">
        <v>1595</v>
      </c>
    </row>
    <row r="1152" spans="1:6" ht="15.75" customHeight="1" x14ac:dyDescent="0.25">
      <c r="A1152" s="372" t="s">
        <v>702</v>
      </c>
      <c r="B1152" s="373"/>
      <c r="C1152" s="354">
        <v>8078</v>
      </c>
      <c r="D1152" s="374">
        <v>0</v>
      </c>
      <c r="E1152" s="374"/>
      <c r="F1152" s="354">
        <v>8078</v>
      </c>
    </row>
    <row r="1153" spans="1:6" ht="15.75" customHeight="1" x14ac:dyDescent="0.25">
      <c r="A1153" s="372" t="s">
        <v>703</v>
      </c>
      <c r="B1153" s="373"/>
      <c r="C1153" s="354">
        <v>6545</v>
      </c>
      <c r="D1153" s="374">
        <v>0</v>
      </c>
      <c r="E1153" s="374"/>
      <c r="F1153" s="354">
        <v>6545</v>
      </c>
    </row>
    <row r="1154" spans="1:6" ht="31.5" customHeight="1" x14ac:dyDescent="0.25">
      <c r="A1154" s="372" t="s">
        <v>704</v>
      </c>
      <c r="B1154" s="373"/>
      <c r="C1154" s="354">
        <v>1533</v>
      </c>
      <c r="D1154" s="374">
        <v>0</v>
      </c>
      <c r="E1154" s="374"/>
      <c r="F1154" s="354">
        <v>1533</v>
      </c>
    </row>
    <row r="1155" spans="1:6" ht="15.75" customHeight="1" x14ac:dyDescent="0.25">
      <c r="A1155" s="372" t="s">
        <v>705</v>
      </c>
      <c r="B1155" s="373"/>
      <c r="C1155" s="354">
        <v>350</v>
      </c>
      <c r="D1155" s="374">
        <v>0</v>
      </c>
      <c r="E1155" s="374"/>
      <c r="F1155" s="354">
        <v>350</v>
      </c>
    </row>
    <row r="1156" spans="1:6" ht="15.75" customHeight="1" x14ac:dyDescent="0.25">
      <c r="A1156" s="372" t="s">
        <v>706</v>
      </c>
      <c r="B1156" s="373"/>
      <c r="C1156" s="354">
        <v>350</v>
      </c>
      <c r="D1156" s="374">
        <v>0</v>
      </c>
      <c r="E1156" s="374"/>
      <c r="F1156" s="354">
        <v>350</v>
      </c>
    </row>
    <row r="1157" spans="1:6" ht="14.25" customHeight="1" x14ac:dyDescent="0.25"/>
    <row r="1158" spans="1:6" ht="15.75" customHeight="1" x14ac:dyDescent="0.25">
      <c r="A1158" s="382" t="s">
        <v>948</v>
      </c>
      <c r="B1158" s="373"/>
      <c r="C1158" s="373"/>
      <c r="D1158" s="373"/>
      <c r="E1158" s="373"/>
      <c r="F1158" s="373"/>
    </row>
    <row r="1159" spans="1:6" ht="15.75" customHeight="1" x14ac:dyDescent="0.25">
      <c r="A1159" s="382" t="s">
        <v>698</v>
      </c>
      <c r="B1159" s="383"/>
      <c r="C1159" s="353">
        <v>87733</v>
      </c>
      <c r="D1159" s="384">
        <v>0</v>
      </c>
      <c r="E1159" s="384"/>
      <c r="F1159" s="353">
        <v>87733</v>
      </c>
    </row>
    <row r="1160" spans="1:6" ht="15.75" customHeight="1" x14ac:dyDescent="0.25">
      <c r="A1160" s="372" t="s">
        <v>699</v>
      </c>
      <c r="B1160" s="373"/>
      <c r="C1160" s="354">
        <v>63184</v>
      </c>
      <c r="D1160" s="374">
        <v>0</v>
      </c>
      <c r="E1160" s="374"/>
      <c r="F1160" s="354">
        <v>63184</v>
      </c>
    </row>
    <row r="1161" spans="1:6" ht="15.75" customHeight="1" x14ac:dyDescent="0.25">
      <c r="A1161" s="372" t="s">
        <v>700</v>
      </c>
      <c r="B1161" s="373"/>
      <c r="C1161" s="354">
        <v>48613</v>
      </c>
      <c r="D1161" s="374">
        <v>0</v>
      </c>
      <c r="E1161" s="374"/>
      <c r="F1161" s="354">
        <v>48613</v>
      </c>
    </row>
    <row r="1162" spans="1:6" ht="15.75" customHeight="1" x14ac:dyDescent="0.25">
      <c r="A1162" s="372" t="s">
        <v>701</v>
      </c>
      <c r="B1162" s="373"/>
      <c r="C1162" s="354">
        <v>14571</v>
      </c>
      <c r="D1162" s="374">
        <v>0</v>
      </c>
      <c r="E1162" s="374"/>
      <c r="F1162" s="354">
        <v>14571</v>
      </c>
    </row>
    <row r="1163" spans="1:6" ht="15.75" customHeight="1" x14ac:dyDescent="0.25">
      <c r="A1163" s="372" t="s">
        <v>702</v>
      </c>
      <c r="B1163" s="373"/>
      <c r="C1163" s="354">
        <v>24549</v>
      </c>
      <c r="D1163" s="374">
        <v>0</v>
      </c>
      <c r="E1163" s="374"/>
      <c r="F1163" s="354">
        <v>24549</v>
      </c>
    </row>
    <row r="1164" spans="1:6" ht="15.75" customHeight="1" x14ac:dyDescent="0.25">
      <c r="A1164" s="372" t="s">
        <v>837</v>
      </c>
      <c r="B1164" s="373"/>
      <c r="C1164" s="354">
        <v>228</v>
      </c>
      <c r="D1164" s="374">
        <v>0</v>
      </c>
      <c r="E1164" s="374"/>
      <c r="F1164" s="354">
        <v>228</v>
      </c>
    </row>
    <row r="1165" spans="1:6" ht="15.75" customHeight="1" x14ac:dyDescent="0.25">
      <c r="A1165" s="372" t="s">
        <v>703</v>
      </c>
      <c r="B1165" s="373"/>
      <c r="C1165" s="354">
        <v>7818</v>
      </c>
      <c r="D1165" s="374">
        <v>0</v>
      </c>
      <c r="E1165" s="374"/>
      <c r="F1165" s="354">
        <v>7818</v>
      </c>
    </row>
    <row r="1166" spans="1:6" ht="31.5" customHeight="1" x14ac:dyDescent="0.25">
      <c r="A1166" s="372" t="s">
        <v>704</v>
      </c>
      <c r="B1166" s="373"/>
      <c r="C1166" s="354">
        <v>16503</v>
      </c>
      <c r="D1166" s="374">
        <v>0</v>
      </c>
      <c r="E1166" s="374"/>
      <c r="F1166" s="354">
        <v>16503</v>
      </c>
    </row>
    <row r="1167" spans="1:6" ht="14.25" customHeight="1" x14ac:dyDescent="0.25"/>
    <row r="1168" spans="1:6" ht="15.75" customHeight="1" x14ac:dyDescent="0.25">
      <c r="A1168" s="382" t="s">
        <v>949</v>
      </c>
      <c r="B1168" s="373"/>
      <c r="C1168" s="373"/>
      <c r="D1168" s="373"/>
      <c r="E1168" s="373"/>
      <c r="F1168" s="373"/>
    </row>
    <row r="1169" spans="1:6" ht="15.75" customHeight="1" x14ac:dyDescent="0.25">
      <c r="A1169" s="382" t="s">
        <v>698</v>
      </c>
      <c r="B1169" s="383"/>
      <c r="C1169" s="353">
        <v>989431</v>
      </c>
      <c r="D1169" s="384">
        <v>0</v>
      </c>
      <c r="E1169" s="384"/>
      <c r="F1169" s="353">
        <v>989431</v>
      </c>
    </row>
    <row r="1170" spans="1:6" ht="15.75" customHeight="1" x14ac:dyDescent="0.25">
      <c r="A1170" s="372" t="s">
        <v>699</v>
      </c>
      <c r="B1170" s="373"/>
      <c r="C1170" s="354">
        <v>827989</v>
      </c>
      <c r="D1170" s="374">
        <v>0</v>
      </c>
      <c r="E1170" s="374"/>
      <c r="F1170" s="354">
        <v>827989</v>
      </c>
    </row>
    <row r="1171" spans="1:6" ht="15.75" customHeight="1" x14ac:dyDescent="0.25">
      <c r="A1171" s="372" t="s">
        <v>700</v>
      </c>
      <c r="B1171" s="373"/>
      <c r="C1171" s="354">
        <v>631661</v>
      </c>
      <c r="D1171" s="374">
        <v>0</v>
      </c>
      <c r="E1171" s="374"/>
      <c r="F1171" s="354">
        <v>631661</v>
      </c>
    </row>
    <row r="1172" spans="1:6" ht="15.75" customHeight="1" x14ac:dyDescent="0.25">
      <c r="A1172" s="372" t="s">
        <v>701</v>
      </c>
      <c r="B1172" s="373"/>
      <c r="C1172" s="354">
        <v>196328</v>
      </c>
      <c r="D1172" s="374">
        <v>0</v>
      </c>
      <c r="E1172" s="374"/>
      <c r="F1172" s="354">
        <v>196328</v>
      </c>
    </row>
    <row r="1173" spans="1:6" ht="15.75" customHeight="1" x14ac:dyDescent="0.25">
      <c r="A1173" s="372" t="s">
        <v>702</v>
      </c>
      <c r="B1173" s="373"/>
      <c r="C1173" s="354">
        <v>154182</v>
      </c>
      <c r="D1173" s="374">
        <v>0</v>
      </c>
      <c r="E1173" s="374"/>
      <c r="F1173" s="354">
        <v>154182</v>
      </c>
    </row>
    <row r="1174" spans="1:6" ht="15.75" customHeight="1" x14ac:dyDescent="0.25">
      <c r="A1174" s="372" t="s">
        <v>837</v>
      </c>
      <c r="B1174" s="373"/>
      <c r="C1174" s="354">
        <v>8873</v>
      </c>
      <c r="D1174" s="374">
        <v>0</v>
      </c>
      <c r="E1174" s="374"/>
      <c r="F1174" s="354">
        <v>8873</v>
      </c>
    </row>
    <row r="1175" spans="1:6" ht="15.75" customHeight="1" x14ac:dyDescent="0.25">
      <c r="A1175" s="372" t="s">
        <v>703</v>
      </c>
      <c r="B1175" s="373"/>
      <c r="C1175" s="354">
        <v>117232</v>
      </c>
      <c r="D1175" s="374">
        <v>0</v>
      </c>
      <c r="E1175" s="374"/>
      <c r="F1175" s="354">
        <v>117232</v>
      </c>
    </row>
    <row r="1176" spans="1:6" ht="31.5" customHeight="1" x14ac:dyDescent="0.25">
      <c r="A1176" s="372" t="s">
        <v>704</v>
      </c>
      <c r="B1176" s="373"/>
      <c r="C1176" s="354">
        <v>28077</v>
      </c>
      <c r="D1176" s="374">
        <v>0</v>
      </c>
      <c r="E1176" s="374"/>
      <c r="F1176" s="354">
        <v>28077</v>
      </c>
    </row>
    <row r="1177" spans="1:6" ht="15.75" customHeight="1" x14ac:dyDescent="0.25">
      <c r="A1177" s="372" t="s">
        <v>705</v>
      </c>
      <c r="B1177" s="373"/>
      <c r="C1177" s="354">
        <v>7260</v>
      </c>
      <c r="D1177" s="374">
        <v>0</v>
      </c>
      <c r="E1177" s="374"/>
      <c r="F1177" s="354">
        <v>7260</v>
      </c>
    </row>
    <row r="1178" spans="1:6" ht="15.75" customHeight="1" x14ac:dyDescent="0.25">
      <c r="A1178" s="372" t="s">
        <v>706</v>
      </c>
      <c r="B1178" s="373"/>
      <c r="C1178" s="354">
        <v>7260</v>
      </c>
      <c r="D1178" s="374">
        <v>0</v>
      </c>
      <c r="E1178" s="374"/>
      <c r="F1178" s="354">
        <v>7260</v>
      </c>
    </row>
    <row r="1179" spans="1:6" ht="14.25" customHeight="1" x14ac:dyDescent="0.25"/>
    <row r="1180" spans="1:6" ht="15.75" customHeight="1" x14ac:dyDescent="0.25">
      <c r="A1180" s="382" t="s">
        <v>950</v>
      </c>
      <c r="B1180" s="373"/>
      <c r="C1180" s="373"/>
      <c r="D1180" s="373"/>
      <c r="E1180" s="373"/>
      <c r="F1180" s="373"/>
    </row>
    <row r="1181" spans="1:6" ht="15.75" customHeight="1" x14ac:dyDescent="0.25">
      <c r="A1181" s="382" t="s">
        <v>698</v>
      </c>
      <c r="B1181" s="383"/>
      <c r="C1181" s="353">
        <v>9200</v>
      </c>
      <c r="D1181" s="384">
        <v>0</v>
      </c>
      <c r="E1181" s="384"/>
      <c r="F1181" s="353">
        <v>9200</v>
      </c>
    </row>
    <row r="1182" spans="1:6" ht="15.75" customHeight="1" x14ac:dyDescent="0.25">
      <c r="A1182" s="372" t="s">
        <v>881</v>
      </c>
      <c r="B1182" s="373"/>
      <c r="C1182" s="354">
        <v>9200</v>
      </c>
      <c r="D1182" s="374">
        <v>0</v>
      </c>
      <c r="E1182" s="374"/>
      <c r="F1182" s="354">
        <v>9200</v>
      </c>
    </row>
    <row r="1183" spans="1:6" ht="15.75" customHeight="1" x14ac:dyDescent="0.25">
      <c r="A1183" s="372" t="s">
        <v>882</v>
      </c>
      <c r="B1183" s="373"/>
      <c r="C1183" s="354">
        <v>4200</v>
      </c>
      <c r="D1183" s="374">
        <v>0</v>
      </c>
      <c r="E1183" s="374"/>
      <c r="F1183" s="354">
        <v>4200</v>
      </c>
    </row>
    <row r="1184" spans="1:6" ht="15.75" customHeight="1" x14ac:dyDescent="0.25">
      <c r="A1184" s="372" t="s">
        <v>883</v>
      </c>
      <c r="B1184" s="373"/>
      <c r="C1184" s="354">
        <v>5000</v>
      </c>
      <c r="D1184" s="374">
        <v>0</v>
      </c>
      <c r="E1184" s="374"/>
      <c r="F1184" s="354">
        <v>5000</v>
      </c>
    </row>
    <row r="1185" spans="1:6" ht="14.25" customHeight="1" x14ac:dyDescent="0.25"/>
    <row r="1186" spans="1:6" ht="15.75" customHeight="1" x14ac:dyDescent="0.25">
      <c r="A1186" s="382" t="s">
        <v>951</v>
      </c>
      <c r="B1186" s="373"/>
      <c r="C1186" s="373"/>
      <c r="D1186" s="373"/>
      <c r="E1186" s="373"/>
      <c r="F1186" s="373"/>
    </row>
    <row r="1187" spans="1:6" ht="15.75" customHeight="1" x14ac:dyDescent="0.25">
      <c r="A1187" s="382" t="s">
        <v>698</v>
      </c>
      <c r="B1187" s="383"/>
      <c r="C1187" s="353">
        <v>245000</v>
      </c>
      <c r="D1187" s="384">
        <v>0</v>
      </c>
      <c r="E1187" s="384"/>
      <c r="F1187" s="353">
        <v>245000</v>
      </c>
    </row>
    <row r="1188" spans="1:6" ht="15.75" customHeight="1" x14ac:dyDescent="0.25">
      <c r="A1188" s="372" t="s">
        <v>881</v>
      </c>
      <c r="B1188" s="373"/>
      <c r="C1188" s="354">
        <v>245000</v>
      </c>
      <c r="D1188" s="374">
        <v>0</v>
      </c>
      <c r="E1188" s="374"/>
      <c r="F1188" s="354">
        <v>245000</v>
      </c>
    </row>
    <row r="1189" spans="1:6" ht="15.75" customHeight="1" x14ac:dyDescent="0.25">
      <c r="A1189" s="372" t="s">
        <v>882</v>
      </c>
      <c r="B1189" s="373"/>
      <c r="C1189" s="354">
        <v>245000</v>
      </c>
      <c r="D1189" s="374">
        <v>0</v>
      </c>
      <c r="E1189" s="374"/>
      <c r="F1189" s="354">
        <v>245000</v>
      </c>
    </row>
    <row r="1190" spans="1:6" ht="14.25" customHeight="1" x14ac:dyDescent="0.25"/>
    <row r="1191" spans="1:6" ht="15.75" customHeight="1" x14ac:dyDescent="0.25">
      <c r="A1191" s="382" t="s">
        <v>952</v>
      </c>
      <c r="B1191" s="373"/>
      <c r="C1191" s="373"/>
      <c r="D1191" s="373"/>
      <c r="E1191" s="373"/>
      <c r="F1191" s="373"/>
    </row>
    <row r="1192" spans="1:6" ht="15.75" customHeight="1" x14ac:dyDescent="0.25">
      <c r="A1192" s="372" t="s">
        <v>953</v>
      </c>
      <c r="B1192" s="373"/>
      <c r="C1192" s="354">
        <v>4063462</v>
      </c>
      <c r="D1192" s="374">
        <v>0</v>
      </c>
      <c r="E1192" s="374"/>
      <c r="F1192" s="354">
        <v>4063462</v>
      </c>
    </row>
    <row r="1193" spans="1:6" ht="14.25" customHeight="1" x14ac:dyDescent="0.25"/>
    <row r="1194" spans="1:6" ht="15.75" customHeight="1" x14ac:dyDescent="0.25">
      <c r="A1194" s="382" t="s">
        <v>149</v>
      </c>
      <c r="B1194" s="373"/>
      <c r="C1194" s="373"/>
      <c r="D1194" s="373"/>
      <c r="E1194" s="373"/>
      <c r="F1194" s="373"/>
    </row>
    <row r="1195" spans="1:6" ht="15.75" customHeight="1" x14ac:dyDescent="0.25">
      <c r="A1195" s="372" t="s">
        <v>698</v>
      </c>
      <c r="B1195" s="373"/>
      <c r="C1195" s="354">
        <v>2810869</v>
      </c>
      <c r="D1195" s="374">
        <v>-666826</v>
      </c>
      <c r="E1195" s="375"/>
      <c r="F1195" s="354">
        <v>2144043</v>
      </c>
    </row>
    <row r="1196" spans="1:6" ht="15.75" customHeight="1" x14ac:dyDescent="0.25">
      <c r="A1196" s="372" t="s">
        <v>955</v>
      </c>
      <c r="B1196" s="373"/>
      <c r="C1196" s="354">
        <v>2810869</v>
      </c>
      <c r="D1196" s="374">
        <v>-666826</v>
      </c>
      <c r="E1196" s="375"/>
      <c r="F1196" s="354">
        <v>2144043</v>
      </c>
    </row>
    <row r="1197" spans="1:6" ht="14.25" customHeight="1" x14ac:dyDescent="0.25"/>
    <row r="1198" spans="1:6" ht="15.75" customHeight="1" x14ac:dyDescent="0.25">
      <c r="A1198" s="386" t="s">
        <v>956</v>
      </c>
      <c r="B1198" s="387"/>
      <c r="C1198" s="387"/>
      <c r="D1198" s="387"/>
      <c r="E1198" s="387"/>
      <c r="F1198" s="387"/>
    </row>
    <row r="1199" spans="1:6" ht="15.75" customHeight="1" x14ac:dyDescent="0.25">
      <c r="A1199" s="388" t="s">
        <v>955</v>
      </c>
      <c r="B1199" s="387"/>
      <c r="C1199" s="355">
        <v>40000</v>
      </c>
      <c r="D1199" s="389">
        <v>0</v>
      </c>
      <c r="E1199" s="390"/>
      <c r="F1199" s="355">
        <v>40000</v>
      </c>
    </row>
    <row r="1200" spans="1:6" ht="14.25" customHeight="1" x14ac:dyDescent="0.25"/>
    <row r="1201" spans="1:6" ht="15.75" customHeight="1" x14ac:dyDescent="0.25">
      <c r="A1201" s="386" t="s">
        <v>957</v>
      </c>
      <c r="B1201" s="387"/>
      <c r="C1201" s="387"/>
      <c r="D1201" s="387"/>
      <c r="E1201" s="387"/>
      <c r="F1201" s="387"/>
    </row>
    <row r="1202" spans="1:6" ht="15.75" customHeight="1" x14ac:dyDescent="0.25">
      <c r="A1202" s="388" t="s">
        <v>955</v>
      </c>
      <c r="B1202" s="387"/>
      <c r="C1202" s="356">
        <v>2165586</v>
      </c>
      <c r="D1202" s="391">
        <v>-666826</v>
      </c>
      <c r="E1202" s="392"/>
      <c r="F1202" s="358">
        <v>1496459</v>
      </c>
    </row>
    <row r="1203" spans="1:6" ht="14.25" customHeight="1" x14ac:dyDescent="0.25"/>
    <row r="1204" spans="1:6" ht="15.75" customHeight="1" x14ac:dyDescent="0.25">
      <c r="A1204" s="386" t="s">
        <v>958</v>
      </c>
      <c r="B1204" s="387"/>
      <c r="C1204" s="387"/>
      <c r="D1204" s="387"/>
      <c r="E1204" s="387"/>
      <c r="F1204" s="387"/>
    </row>
    <row r="1205" spans="1:6" ht="15.75" customHeight="1" x14ac:dyDescent="0.25">
      <c r="A1205" s="388" t="s">
        <v>955</v>
      </c>
      <c r="B1205" s="387"/>
      <c r="C1205" s="355">
        <v>517943</v>
      </c>
      <c r="D1205" s="389">
        <v>2301</v>
      </c>
      <c r="E1205" s="390"/>
      <c r="F1205" s="355">
        <v>520244</v>
      </c>
    </row>
    <row r="1206" spans="1:6" ht="14.25" customHeight="1" x14ac:dyDescent="0.25"/>
    <row r="1207" spans="1:6" ht="15.75" customHeight="1" x14ac:dyDescent="0.25">
      <c r="A1207" s="386" t="s">
        <v>959</v>
      </c>
      <c r="B1207" s="387"/>
      <c r="C1207" s="387"/>
      <c r="D1207" s="387"/>
      <c r="E1207" s="387"/>
      <c r="F1207" s="387"/>
    </row>
    <row r="1208" spans="1:6" ht="15.75" customHeight="1" x14ac:dyDescent="0.25">
      <c r="A1208" s="388" t="s">
        <v>955</v>
      </c>
      <c r="B1208" s="387"/>
      <c r="C1208" s="355">
        <v>37340</v>
      </c>
      <c r="D1208" s="389">
        <v>0</v>
      </c>
      <c r="E1208" s="390"/>
      <c r="F1208" s="355">
        <v>37340</v>
      </c>
    </row>
    <row r="1209" spans="1:6" ht="14.25" customHeight="1" x14ac:dyDescent="0.25">
      <c r="A1209" s="357"/>
      <c r="B1209" s="357"/>
      <c r="C1209" s="357"/>
      <c r="D1209" s="357"/>
      <c r="E1209" s="357"/>
      <c r="F1209" s="357"/>
    </row>
    <row r="1210" spans="1:6" ht="15.75" customHeight="1" x14ac:dyDescent="0.25">
      <c r="A1210" s="386" t="s">
        <v>960</v>
      </c>
      <c r="B1210" s="387"/>
      <c r="C1210" s="387"/>
      <c r="D1210" s="387"/>
      <c r="E1210" s="387"/>
      <c r="F1210" s="387"/>
    </row>
    <row r="1211" spans="1:6" ht="15.75" customHeight="1" x14ac:dyDescent="0.25">
      <c r="A1211" s="388" t="s">
        <v>955</v>
      </c>
      <c r="B1211" s="387"/>
      <c r="C1211" s="355">
        <v>50000</v>
      </c>
      <c r="D1211" s="389">
        <v>0</v>
      </c>
      <c r="E1211" s="390"/>
      <c r="F1211" s="355">
        <v>50000</v>
      </c>
    </row>
    <row r="1212" spans="1:6" ht="14.25" customHeight="1" x14ac:dyDescent="0.25"/>
    <row r="1213" spans="1:6" ht="15.75" customHeight="1" x14ac:dyDescent="0.25">
      <c r="A1213" s="382" t="s">
        <v>724</v>
      </c>
      <c r="B1213" s="373"/>
      <c r="C1213" s="373"/>
      <c r="D1213" s="373"/>
      <c r="E1213" s="373"/>
      <c r="F1213" s="373"/>
    </row>
    <row r="1214" spans="1:6" ht="15.75" customHeight="1" x14ac:dyDescent="0.25">
      <c r="A1214" s="382" t="s">
        <v>698</v>
      </c>
      <c r="B1214" s="383"/>
      <c r="C1214" s="353">
        <v>68659722</v>
      </c>
      <c r="D1214" s="384">
        <v>4072742</v>
      </c>
      <c r="E1214" s="385"/>
      <c r="F1214" s="353">
        <v>72732464</v>
      </c>
    </row>
    <row r="1215" spans="1:6" ht="15.75" customHeight="1" x14ac:dyDescent="0.25">
      <c r="A1215" s="382" t="s">
        <v>699</v>
      </c>
      <c r="B1215" s="383"/>
      <c r="C1215" s="353">
        <v>27485992</v>
      </c>
      <c r="D1215" s="384">
        <v>3628381</v>
      </c>
      <c r="E1215" s="385"/>
      <c r="F1215" s="353">
        <v>31114373</v>
      </c>
    </row>
    <row r="1216" spans="1:6" ht="15.75" customHeight="1" x14ac:dyDescent="0.25">
      <c r="A1216" s="372" t="s">
        <v>700</v>
      </c>
      <c r="B1216" s="373"/>
      <c r="C1216" s="354">
        <v>21404061</v>
      </c>
      <c r="D1216" s="374">
        <v>2893627</v>
      </c>
      <c r="E1216" s="375"/>
      <c r="F1216" s="354">
        <v>24297688</v>
      </c>
    </row>
    <row r="1217" spans="1:6" ht="15.75" customHeight="1" x14ac:dyDescent="0.25">
      <c r="A1217" s="372" t="s">
        <v>701</v>
      </c>
      <c r="B1217" s="373"/>
      <c r="C1217" s="354">
        <v>6081931</v>
      </c>
      <c r="D1217" s="374">
        <v>734754</v>
      </c>
      <c r="E1217" s="375"/>
      <c r="F1217" s="354">
        <v>6816685</v>
      </c>
    </row>
    <row r="1218" spans="1:6" ht="15.75" customHeight="1" x14ac:dyDescent="0.25">
      <c r="A1218" s="382" t="s">
        <v>702</v>
      </c>
      <c r="B1218" s="383"/>
      <c r="C1218" s="353">
        <v>15479165</v>
      </c>
      <c r="D1218" s="384">
        <v>760262</v>
      </c>
      <c r="E1218" s="385"/>
      <c r="F1218" s="353">
        <v>16239427</v>
      </c>
    </row>
    <row r="1219" spans="1:6" ht="15.75" customHeight="1" x14ac:dyDescent="0.25">
      <c r="A1219" s="372" t="s">
        <v>837</v>
      </c>
      <c r="B1219" s="373"/>
      <c r="C1219" s="354">
        <v>258675</v>
      </c>
      <c r="D1219" s="374">
        <v>38430</v>
      </c>
      <c r="E1219" s="375"/>
      <c r="F1219" s="354">
        <v>297105</v>
      </c>
    </row>
    <row r="1220" spans="1:6" ht="15.75" customHeight="1" x14ac:dyDescent="0.25">
      <c r="A1220" s="372" t="s">
        <v>703</v>
      </c>
      <c r="B1220" s="373"/>
      <c r="C1220" s="354">
        <v>11529198</v>
      </c>
      <c r="D1220" s="374">
        <v>217474</v>
      </c>
      <c r="E1220" s="375"/>
      <c r="F1220" s="354">
        <v>11746672</v>
      </c>
    </row>
    <row r="1221" spans="1:6" ht="15.75" customHeight="1" x14ac:dyDescent="0.25">
      <c r="A1221" s="372" t="s">
        <v>838</v>
      </c>
      <c r="B1221" s="373"/>
      <c r="C1221" s="354">
        <v>97506</v>
      </c>
      <c r="D1221" s="374">
        <v>2494</v>
      </c>
      <c r="E1221" s="375"/>
      <c r="F1221" s="354">
        <v>100000</v>
      </c>
    </row>
    <row r="1222" spans="1:6" ht="31.5" customHeight="1" x14ac:dyDescent="0.25">
      <c r="A1222" s="372" t="s">
        <v>704</v>
      </c>
      <c r="B1222" s="373"/>
      <c r="C1222" s="354">
        <v>3462762</v>
      </c>
      <c r="D1222" s="374">
        <v>504030</v>
      </c>
      <c r="E1222" s="375"/>
      <c r="F1222" s="354">
        <v>3966792</v>
      </c>
    </row>
    <row r="1223" spans="1:6" ht="15.75" customHeight="1" x14ac:dyDescent="0.25">
      <c r="A1223" s="372" t="s">
        <v>889</v>
      </c>
      <c r="B1223" s="373"/>
      <c r="C1223" s="354">
        <v>18905</v>
      </c>
      <c r="D1223" s="374">
        <v>-832</v>
      </c>
      <c r="E1223" s="375"/>
      <c r="F1223" s="354">
        <v>18073</v>
      </c>
    </row>
    <row r="1224" spans="1:6" ht="15.75" customHeight="1" x14ac:dyDescent="0.25">
      <c r="A1224" s="372" t="s">
        <v>839</v>
      </c>
      <c r="B1224" s="373"/>
      <c r="C1224" s="354">
        <v>209625</v>
      </c>
      <c r="D1224" s="374">
        <v>1160</v>
      </c>
      <c r="E1224" s="375"/>
      <c r="F1224" s="354">
        <v>210785</v>
      </c>
    </row>
    <row r="1225" spans="1:6" ht="15.75" customHeight="1" x14ac:dyDescent="0.25">
      <c r="A1225" s="382" t="s">
        <v>710</v>
      </c>
      <c r="B1225" s="383"/>
      <c r="C1225" s="353">
        <v>4573531</v>
      </c>
      <c r="D1225" s="384">
        <v>282039</v>
      </c>
      <c r="E1225" s="385"/>
      <c r="F1225" s="353">
        <v>4855570</v>
      </c>
    </row>
    <row r="1226" spans="1:6" ht="31.5" customHeight="1" x14ac:dyDescent="0.25">
      <c r="A1226" s="372" t="s">
        <v>711</v>
      </c>
      <c r="B1226" s="373"/>
      <c r="C1226" s="354">
        <v>3224877</v>
      </c>
      <c r="D1226" s="374">
        <v>154700</v>
      </c>
      <c r="E1226" s="375"/>
      <c r="F1226" s="354">
        <v>3379577</v>
      </c>
    </row>
    <row r="1227" spans="1:6" ht="31.5" customHeight="1" x14ac:dyDescent="0.25">
      <c r="A1227" s="372" t="s">
        <v>712</v>
      </c>
      <c r="B1227" s="373"/>
      <c r="C1227" s="354">
        <v>1348654</v>
      </c>
      <c r="D1227" s="374">
        <v>127339</v>
      </c>
      <c r="E1227" s="375"/>
      <c r="F1227" s="354">
        <v>1475993</v>
      </c>
    </row>
    <row r="1228" spans="1:6" ht="15.75" customHeight="1" x14ac:dyDescent="0.25">
      <c r="A1228" s="382" t="s">
        <v>840</v>
      </c>
      <c r="B1228" s="383"/>
      <c r="C1228" s="353">
        <v>50000</v>
      </c>
      <c r="D1228" s="384">
        <v>0</v>
      </c>
      <c r="E1228" s="384"/>
      <c r="F1228" s="353">
        <v>50000</v>
      </c>
    </row>
    <row r="1229" spans="1:6" ht="15.75" customHeight="1" x14ac:dyDescent="0.25">
      <c r="A1229" s="372" t="s">
        <v>841</v>
      </c>
      <c r="B1229" s="373"/>
      <c r="C1229" s="354">
        <v>50000</v>
      </c>
      <c r="D1229" s="374">
        <v>0</v>
      </c>
      <c r="E1229" s="374"/>
      <c r="F1229" s="354">
        <v>50000</v>
      </c>
    </row>
    <row r="1230" spans="1:6" ht="15.75" customHeight="1" x14ac:dyDescent="0.25">
      <c r="A1230" s="382" t="s">
        <v>705</v>
      </c>
      <c r="B1230" s="383"/>
      <c r="C1230" s="353">
        <v>10450950</v>
      </c>
      <c r="D1230" s="384">
        <v>257833</v>
      </c>
      <c r="E1230" s="385"/>
      <c r="F1230" s="353">
        <v>10708783</v>
      </c>
    </row>
    <row r="1231" spans="1:6" ht="15.75" customHeight="1" x14ac:dyDescent="0.25">
      <c r="A1231" s="372" t="s">
        <v>842</v>
      </c>
      <c r="B1231" s="373"/>
      <c r="C1231" s="354">
        <v>247309</v>
      </c>
      <c r="D1231" s="374">
        <v>52580</v>
      </c>
      <c r="E1231" s="375"/>
      <c r="F1231" s="354">
        <v>299889</v>
      </c>
    </row>
    <row r="1232" spans="1:6" ht="15.75" customHeight="1" x14ac:dyDescent="0.25">
      <c r="A1232" s="372" t="s">
        <v>706</v>
      </c>
      <c r="B1232" s="373"/>
      <c r="C1232" s="354">
        <v>10203641</v>
      </c>
      <c r="D1232" s="374">
        <v>205253</v>
      </c>
      <c r="E1232" s="375"/>
      <c r="F1232" s="354">
        <v>10408894</v>
      </c>
    </row>
    <row r="1233" spans="1:6" ht="15.75" customHeight="1" x14ac:dyDescent="0.25">
      <c r="A1233" s="382" t="s">
        <v>881</v>
      </c>
      <c r="B1233" s="383"/>
      <c r="C1233" s="353">
        <v>2215871</v>
      </c>
      <c r="D1233" s="384">
        <v>-13454</v>
      </c>
      <c r="E1233" s="385"/>
      <c r="F1233" s="353">
        <v>2202417</v>
      </c>
    </row>
    <row r="1234" spans="1:6" ht="15.75" customHeight="1" x14ac:dyDescent="0.25">
      <c r="A1234" s="372" t="s">
        <v>882</v>
      </c>
      <c r="B1234" s="373"/>
      <c r="C1234" s="354">
        <v>1021397</v>
      </c>
      <c r="D1234" s="374">
        <v>-13008</v>
      </c>
      <c r="E1234" s="375"/>
      <c r="F1234" s="354">
        <v>1008389</v>
      </c>
    </row>
    <row r="1235" spans="1:6" ht="15.75" customHeight="1" x14ac:dyDescent="0.25">
      <c r="A1235" s="372" t="s">
        <v>883</v>
      </c>
      <c r="B1235" s="373"/>
      <c r="C1235" s="354">
        <v>477185</v>
      </c>
      <c r="D1235" s="374">
        <v>0</v>
      </c>
      <c r="E1235" s="374"/>
      <c r="F1235" s="354">
        <v>477185</v>
      </c>
    </row>
    <row r="1236" spans="1:6" ht="31.5" customHeight="1" x14ac:dyDescent="0.25">
      <c r="A1236" s="372" t="s">
        <v>890</v>
      </c>
      <c r="B1236" s="373"/>
      <c r="C1236" s="354">
        <v>717289</v>
      </c>
      <c r="D1236" s="374">
        <v>-446</v>
      </c>
      <c r="E1236" s="375"/>
      <c r="F1236" s="354">
        <v>716843</v>
      </c>
    </row>
    <row r="1237" spans="1:6" ht="31.5" customHeight="1" x14ac:dyDescent="0.25">
      <c r="A1237" s="382" t="s">
        <v>843</v>
      </c>
      <c r="B1237" s="383"/>
      <c r="C1237" s="353">
        <v>1229882</v>
      </c>
      <c r="D1237" s="384">
        <v>0</v>
      </c>
      <c r="E1237" s="384"/>
      <c r="F1237" s="353">
        <v>1229882</v>
      </c>
    </row>
    <row r="1238" spans="1:6" ht="15.75" customHeight="1" x14ac:dyDescent="0.25">
      <c r="A1238" s="372" t="s">
        <v>844</v>
      </c>
      <c r="B1238" s="373"/>
      <c r="C1238" s="354">
        <v>1008684</v>
      </c>
      <c r="D1238" s="374">
        <v>0</v>
      </c>
      <c r="E1238" s="374"/>
      <c r="F1238" s="354">
        <v>1008684</v>
      </c>
    </row>
    <row r="1239" spans="1:6" ht="15.75" customHeight="1" x14ac:dyDescent="0.25">
      <c r="A1239" s="372" t="s">
        <v>845</v>
      </c>
      <c r="B1239" s="373"/>
      <c r="C1239" s="354">
        <v>221198</v>
      </c>
      <c r="D1239" s="374">
        <v>0</v>
      </c>
      <c r="E1239" s="374"/>
      <c r="F1239" s="354">
        <v>221198</v>
      </c>
    </row>
    <row r="1240" spans="1:6" ht="15.75" customHeight="1" x14ac:dyDescent="0.25">
      <c r="A1240" s="382" t="s">
        <v>953</v>
      </c>
      <c r="B1240" s="383"/>
      <c r="C1240" s="353">
        <v>4063462</v>
      </c>
      <c r="D1240" s="384">
        <v>0</v>
      </c>
      <c r="E1240" s="384"/>
      <c r="F1240" s="353">
        <v>4063462</v>
      </c>
    </row>
    <row r="1241" spans="1:6" ht="15.75" customHeight="1" x14ac:dyDescent="0.25">
      <c r="A1241" s="382" t="s">
        <v>955</v>
      </c>
      <c r="B1241" s="383"/>
      <c r="C1241" s="353">
        <v>2810869</v>
      </c>
      <c r="D1241" s="384">
        <v>-666826</v>
      </c>
      <c r="E1241" s="385"/>
      <c r="F1241" s="353">
        <v>2144043</v>
      </c>
    </row>
    <row r="1242" spans="1:6" ht="15.75" customHeight="1" x14ac:dyDescent="0.25">
      <c r="A1242" s="382" t="s">
        <v>954</v>
      </c>
      <c r="B1242" s="383"/>
      <c r="C1242" s="353">
        <v>300000</v>
      </c>
      <c r="D1242" s="384">
        <v>-175493</v>
      </c>
      <c r="E1242" s="385"/>
      <c r="F1242" s="353">
        <v>124507</v>
      </c>
    </row>
    <row r="1243" spans="1:6" ht="15.75" customHeight="1" x14ac:dyDescent="0.25">
      <c r="E1243" s="393"/>
      <c r="F1243" s="375"/>
    </row>
    <row r="1247" spans="1:6" ht="18.75" x14ac:dyDescent="0.3">
      <c r="B1247" s="289" t="s">
        <v>126</v>
      </c>
      <c r="C1247" s="289"/>
      <c r="D1247" s="289" t="s">
        <v>127</v>
      </c>
      <c r="E1247" s="290"/>
    </row>
  </sheetData>
  <mergeCells count="2101">
    <mergeCell ref="A1242:B1242"/>
    <mergeCell ref="D1242:E1242"/>
    <mergeCell ref="E1243:F1243"/>
    <mergeCell ref="A1239:B1239"/>
    <mergeCell ref="D1239:E1239"/>
    <mergeCell ref="A1240:B1240"/>
    <mergeCell ref="D1240:E1240"/>
    <mergeCell ref="A1241:B1241"/>
    <mergeCell ref="D1241:E1241"/>
    <mergeCell ref="A1236:B1236"/>
    <mergeCell ref="D1236:E1236"/>
    <mergeCell ref="A1237:B1237"/>
    <mergeCell ref="D1237:E1237"/>
    <mergeCell ref="A1238:B1238"/>
    <mergeCell ref="D1238:E1238"/>
    <mergeCell ref="A1233:B1233"/>
    <mergeCell ref="D1233:E1233"/>
    <mergeCell ref="A1234:B1234"/>
    <mergeCell ref="D1234:E1234"/>
    <mergeCell ref="A1235:B1235"/>
    <mergeCell ref="D1235:E1235"/>
    <mergeCell ref="A1230:B1230"/>
    <mergeCell ref="D1230:E1230"/>
    <mergeCell ref="A1231:B1231"/>
    <mergeCell ref="D1231:E1231"/>
    <mergeCell ref="A1232:B1232"/>
    <mergeCell ref="D1232:E1232"/>
    <mergeCell ref="A1227:B1227"/>
    <mergeCell ref="D1227:E1227"/>
    <mergeCell ref="A1228:B1228"/>
    <mergeCell ref="D1228:E1228"/>
    <mergeCell ref="A1229:B1229"/>
    <mergeCell ref="D1229:E1229"/>
    <mergeCell ref="A1224:B1224"/>
    <mergeCell ref="D1224:E1224"/>
    <mergeCell ref="A1225:B1225"/>
    <mergeCell ref="D1225:E1225"/>
    <mergeCell ref="A1226:B1226"/>
    <mergeCell ref="D1226:E1226"/>
    <mergeCell ref="A1221:B1221"/>
    <mergeCell ref="D1221:E1221"/>
    <mergeCell ref="A1222:B1222"/>
    <mergeCell ref="D1222:E1222"/>
    <mergeCell ref="A1223:B1223"/>
    <mergeCell ref="D1223:E1223"/>
    <mergeCell ref="A1218:B1218"/>
    <mergeCell ref="D1218:E1218"/>
    <mergeCell ref="A1219:B1219"/>
    <mergeCell ref="D1219:E1219"/>
    <mergeCell ref="A1220:B1220"/>
    <mergeCell ref="D1220:E1220"/>
    <mergeCell ref="A1215:B1215"/>
    <mergeCell ref="D1215:E1215"/>
    <mergeCell ref="A1216:B1216"/>
    <mergeCell ref="D1216:E1216"/>
    <mergeCell ref="A1217:B1217"/>
    <mergeCell ref="D1217:E1217"/>
    <mergeCell ref="A1211:B1211"/>
    <mergeCell ref="D1211:E1211"/>
    <mergeCell ref="A1213:F1213"/>
    <mergeCell ref="A1214:B1214"/>
    <mergeCell ref="D1214:E1214"/>
    <mergeCell ref="A1207:F1207"/>
    <mergeCell ref="A1208:B1208"/>
    <mergeCell ref="D1208:E1208"/>
    <mergeCell ref="A1210:F1210"/>
    <mergeCell ref="A1202:B1202"/>
    <mergeCell ref="D1202:E1202"/>
    <mergeCell ref="A1204:F1204"/>
    <mergeCell ref="A1205:B1205"/>
    <mergeCell ref="D1205:E1205"/>
    <mergeCell ref="A1199:B1199"/>
    <mergeCell ref="D1199:E1199"/>
    <mergeCell ref="A1201:F1201"/>
    <mergeCell ref="A1194:F1194"/>
    <mergeCell ref="A1195:B1195"/>
    <mergeCell ref="D1195:E1195"/>
    <mergeCell ref="A1196:B1196"/>
    <mergeCell ref="D1196:E1196"/>
    <mergeCell ref="A1198:F1198"/>
    <mergeCell ref="A1191:F1191"/>
    <mergeCell ref="A1192:B1192"/>
    <mergeCell ref="D1192:E1192"/>
    <mergeCell ref="A1186:F1186"/>
    <mergeCell ref="A1187:B1187"/>
    <mergeCell ref="D1187:E1187"/>
    <mergeCell ref="A1188:B1188"/>
    <mergeCell ref="D1188:E1188"/>
    <mergeCell ref="A1189:B1189"/>
    <mergeCell ref="D1189:E1189"/>
    <mergeCell ref="A1182:B1182"/>
    <mergeCell ref="D1182:E1182"/>
    <mergeCell ref="A1183:B1183"/>
    <mergeCell ref="D1183:E1183"/>
    <mergeCell ref="A1184:B1184"/>
    <mergeCell ref="D1184:E1184"/>
    <mergeCell ref="A1177:B1177"/>
    <mergeCell ref="D1177:E1177"/>
    <mergeCell ref="A1178:B1178"/>
    <mergeCell ref="D1178:E1178"/>
    <mergeCell ref="A1180:F1180"/>
    <mergeCell ref="A1181:B1181"/>
    <mergeCell ref="D1181:E1181"/>
    <mergeCell ref="A1174:B1174"/>
    <mergeCell ref="D1174:E1174"/>
    <mergeCell ref="A1175:B1175"/>
    <mergeCell ref="D1175:E1175"/>
    <mergeCell ref="A1176:B1176"/>
    <mergeCell ref="D1176:E1176"/>
    <mergeCell ref="A1171:B1171"/>
    <mergeCell ref="D1171:E1171"/>
    <mergeCell ref="A1172:B1172"/>
    <mergeCell ref="D1172:E1172"/>
    <mergeCell ref="A1173:B1173"/>
    <mergeCell ref="D1173:E1173"/>
    <mergeCell ref="A1166:B1166"/>
    <mergeCell ref="D1166:E1166"/>
    <mergeCell ref="A1168:F1168"/>
    <mergeCell ref="A1169:B1169"/>
    <mergeCell ref="D1169:E1169"/>
    <mergeCell ref="A1170:B1170"/>
    <mergeCell ref="D1170:E1170"/>
    <mergeCell ref="A1163:B1163"/>
    <mergeCell ref="D1163:E1163"/>
    <mergeCell ref="A1164:B1164"/>
    <mergeCell ref="D1164:E1164"/>
    <mergeCell ref="A1165:B1165"/>
    <mergeCell ref="D1165:E1165"/>
    <mergeCell ref="A1160:B1160"/>
    <mergeCell ref="D1160:E1160"/>
    <mergeCell ref="A1161:B1161"/>
    <mergeCell ref="D1161:E1161"/>
    <mergeCell ref="A1162:B1162"/>
    <mergeCell ref="D1162:E1162"/>
    <mergeCell ref="A1155:B1155"/>
    <mergeCell ref="D1155:E1155"/>
    <mergeCell ref="A1156:B1156"/>
    <mergeCell ref="D1156:E1156"/>
    <mergeCell ref="A1158:F1158"/>
    <mergeCell ref="A1159:B1159"/>
    <mergeCell ref="D1159:E1159"/>
    <mergeCell ref="A1152:B1152"/>
    <mergeCell ref="D1152:E1152"/>
    <mergeCell ref="A1153:B1153"/>
    <mergeCell ref="D1153:E1153"/>
    <mergeCell ref="A1154:B1154"/>
    <mergeCell ref="D1154:E1154"/>
    <mergeCell ref="A1149:B1149"/>
    <mergeCell ref="D1149:E1149"/>
    <mergeCell ref="A1150:B1150"/>
    <mergeCell ref="D1150:E1150"/>
    <mergeCell ref="A1151:B1151"/>
    <mergeCell ref="D1151:E1151"/>
    <mergeCell ref="A1144:B1144"/>
    <mergeCell ref="D1144:E1144"/>
    <mergeCell ref="A1145:B1145"/>
    <mergeCell ref="D1145:E1145"/>
    <mergeCell ref="A1147:F1147"/>
    <mergeCell ref="A1148:B1148"/>
    <mergeCell ref="D1148:E1148"/>
    <mergeCell ref="A1141:B1141"/>
    <mergeCell ref="D1141:E1141"/>
    <mergeCell ref="A1142:B1142"/>
    <mergeCell ref="D1142:E1142"/>
    <mergeCell ref="A1143:B1143"/>
    <mergeCell ref="D1143:E1143"/>
    <mergeCell ref="A1138:B1138"/>
    <mergeCell ref="D1138:E1138"/>
    <mergeCell ref="A1139:B1139"/>
    <mergeCell ref="D1139:E1139"/>
    <mergeCell ref="A1140:B1140"/>
    <mergeCell ref="D1140:E1140"/>
    <mergeCell ref="A1135:B1135"/>
    <mergeCell ref="D1135:E1135"/>
    <mergeCell ref="A1136:B1136"/>
    <mergeCell ref="D1136:E1136"/>
    <mergeCell ref="A1137:B1137"/>
    <mergeCell ref="D1137:E1137"/>
    <mergeCell ref="A1130:B1130"/>
    <mergeCell ref="D1130:E1130"/>
    <mergeCell ref="A1131:B1131"/>
    <mergeCell ref="D1131:E1131"/>
    <mergeCell ref="A1133:F1133"/>
    <mergeCell ref="A1134:B1134"/>
    <mergeCell ref="D1134:E1134"/>
    <mergeCell ref="A1127:B1127"/>
    <mergeCell ref="D1127:E1127"/>
    <mergeCell ref="A1128:B1128"/>
    <mergeCell ref="D1128:E1128"/>
    <mergeCell ref="A1129:B1129"/>
    <mergeCell ref="D1129:E1129"/>
    <mergeCell ref="A1124:B1124"/>
    <mergeCell ref="D1124:E1124"/>
    <mergeCell ref="A1125:B1125"/>
    <mergeCell ref="D1125:E1125"/>
    <mergeCell ref="A1126:B1126"/>
    <mergeCell ref="D1126:E1126"/>
    <mergeCell ref="A1119:B1119"/>
    <mergeCell ref="D1119:E1119"/>
    <mergeCell ref="A1121:F1121"/>
    <mergeCell ref="A1122:B1122"/>
    <mergeCell ref="D1122:E1122"/>
    <mergeCell ref="A1123:B1123"/>
    <mergeCell ref="D1123:E1123"/>
    <mergeCell ref="A1115:F1115"/>
    <mergeCell ref="A1116:B1116"/>
    <mergeCell ref="D1116:E1116"/>
    <mergeCell ref="A1117:B1117"/>
    <mergeCell ref="D1117:E1117"/>
    <mergeCell ref="A1118:B1118"/>
    <mergeCell ref="D1118:E1118"/>
    <mergeCell ref="A1111:B1111"/>
    <mergeCell ref="D1111:E1111"/>
    <mergeCell ref="A1112:B1112"/>
    <mergeCell ref="D1112:E1112"/>
    <mergeCell ref="A1113:B1113"/>
    <mergeCell ref="D1113:E1113"/>
    <mergeCell ref="A1107:F1107"/>
    <mergeCell ref="A1108:B1108"/>
    <mergeCell ref="D1108:E1108"/>
    <mergeCell ref="A1109:B1109"/>
    <mergeCell ref="D1109:E1109"/>
    <mergeCell ref="A1110:B1110"/>
    <mergeCell ref="D1110:E1110"/>
    <mergeCell ref="A1103:B1103"/>
    <mergeCell ref="D1103:E1103"/>
    <mergeCell ref="A1104:B1104"/>
    <mergeCell ref="D1104:E1104"/>
    <mergeCell ref="A1105:B1105"/>
    <mergeCell ref="D1105:E1105"/>
    <mergeCell ref="A1098:B1098"/>
    <mergeCell ref="D1098:E1098"/>
    <mergeCell ref="A1099:B1099"/>
    <mergeCell ref="D1099:E1099"/>
    <mergeCell ref="A1101:F1101"/>
    <mergeCell ref="A1102:B1102"/>
    <mergeCell ref="D1102:E1102"/>
    <mergeCell ref="A1095:B1095"/>
    <mergeCell ref="D1095:E1095"/>
    <mergeCell ref="A1096:B1096"/>
    <mergeCell ref="D1096:E1096"/>
    <mergeCell ref="A1097:B1097"/>
    <mergeCell ref="D1097:E1097"/>
    <mergeCell ref="A1092:B1092"/>
    <mergeCell ref="D1092:E1092"/>
    <mergeCell ref="A1093:B1093"/>
    <mergeCell ref="D1093:E1093"/>
    <mergeCell ref="A1094:B1094"/>
    <mergeCell ref="D1094:E1094"/>
    <mergeCell ref="A1087:B1087"/>
    <mergeCell ref="D1087:E1087"/>
    <mergeCell ref="A1088:B1088"/>
    <mergeCell ref="D1088:E1088"/>
    <mergeCell ref="A1090:F1090"/>
    <mergeCell ref="A1091:B1091"/>
    <mergeCell ref="D1091:E1091"/>
    <mergeCell ref="A1084:B1084"/>
    <mergeCell ref="D1084:E1084"/>
    <mergeCell ref="A1085:B1085"/>
    <mergeCell ref="D1085:E1085"/>
    <mergeCell ref="A1086:B1086"/>
    <mergeCell ref="D1086:E1086"/>
    <mergeCell ref="A1079:B1079"/>
    <mergeCell ref="D1079:E1079"/>
    <mergeCell ref="A1080:B1080"/>
    <mergeCell ref="D1080:E1080"/>
    <mergeCell ref="A1082:F1082"/>
    <mergeCell ref="A1083:B1083"/>
    <mergeCell ref="D1083:E1083"/>
    <mergeCell ref="A1076:B1076"/>
    <mergeCell ref="D1076:E1076"/>
    <mergeCell ref="A1077:B1077"/>
    <mergeCell ref="D1077:E1077"/>
    <mergeCell ref="A1078:B1078"/>
    <mergeCell ref="D1078:E1078"/>
    <mergeCell ref="A1073:B1073"/>
    <mergeCell ref="D1073:E1073"/>
    <mergeCell ref="A1074:B1074"/>
    <mergeCell ref="D1074:E1074"/>
    <mergeCell ref="A1075:B1075"/>
    <mergeCell ref="D1075:E1075"/>
    <mergeCell ref="A1068:B1068"/>
    <mergeCell ref="D1068:E1068"/>
    <mergeCell ref="A1070:F1070"/>
    <mergeCell ref="A1071:B1071"/>
    <mergeCell ref="D1071:E1071"/>
    <mergeCell ref="A1072:B1072"/>
    <mergeCell ref="D1072:E1072"/>
    <mergeCell ref="A1065:B1065"/>
    <mergeCell ref="D1065:E1065"/>
    <mergeCell ref="A1066:B1066"/>
    <mergeCell ref="D1066:E1066"/>
    <mergeCell ref="A1067:B1067"/>
    <mergeCell ref="D1067:E1067"/>
    <mergeCell ref="A1062:B1062"/>
    <mergeCell ref="D1062:E1062"/>
    <mergeCell ref="A1063:B1063"/>
    <mergeCell ref="D1063:E1063"/>
    <mergeCell ref="A1064:B1064"/>
    <mergeCell ref="D1064:E1064"/>
    <mergeCell ref="A1057:B1057"/>
    <mergeCell ref="D1057:E1057"/>
    <mergeCell ref="A1058:B1058"/>
    <mergeCell ref="D1058:E1058"/>
    <mergeCell ref="A1060:F1060"/>
    <mergeCell ref="A1061:B1061"/>
    <mergeCell ref="D1061:E1061"/>
    <mergeCell ref="A1052:B1052"/>
    <mergeCell ref="D1052:E1052"/>
    <mergeCell ref="A1053:B1053"/>
    <mergeCell ref="D1053:E1053"/>
    <mergeCell ref="A1055:F1055"/>
    <mergeCell ref="A1056:B1056"/>
    <mergeCell ref="D1056:E1056"/>
    <mergeCell ref="A1049:B1049"/>
    <mergeCell ref="D1049:E1049"/>
    <mergeCell ref="A1050:B1050"/>
    <mergeCell ref="D1050:E1050"/>
    <mergeCell ref="A1051:B1051"/>
    <mergeCell ref="D1051:E1051"/>
    <mergeCell ref="A1046:B1046"/>
    <mergeCell ref="D1046:E1046"/>
    <mergeCell ref="A1047:B1047"/>
    <mergeCell ref="D1047:E1047"/>
    <mergeCell ref="A1048:B1048"/>
    <mergeCell ref="D1048:E1048"/>
    <mergeCell ref="A1041:B1041"/>
    <mergeCell ref="D1041:E1041"/>
    <mergeCell ref="A1043:F1043"/>
    <mergeCell ref="A1044:B1044"/>
    <mergeCell ref="D1044:E1044"/>
    <mergeCell ref="A1045:B1045"/>
    <mergeCell ref="D1045:E1045"/>
    <mergeCell ref="A1038:B1038"/>
    <mergeCell ref="D1038:E1038"/>
    <mergeCell ref="A1039:B1039"/>
    <mergeCell ref="D1039:E1039"/>
    <mergeCell ref="A1040:B1040"/>
    <mergeCell ref="D1040:E1040"/>
    <mergeCell ref="A1034:F1034"/>
    <mergeCell ref="A1035:B1035"/>
    <mergeCell ref="D1035:E1035"/>
    <mergeCell ref="A1036:B1036"/>
    <mergeCell ref="D1036:E1036"/>
    <mergeCell ref="A1037:B1037"/>
    <mergeCell ref="D1037:E1037"/>
    <mergeCell ref="A1030:B1030"/>
    <mergeCell ref="D1030:E1030"/>
    <mergeCell ref="A1031:B1031"/>
    <mergeCell ref="D1031:E1031"/>
    <mergeCell ref="A1032:B1032"/>
    <mergeCell ref="D1032:E1032"/>
    <mergeCell ref="A1027:B1027"/>
    <mergeCell ref="D1027:E1027"/>
    <mergeCell ref="A1028:B1028"/>
    <mergeCell ref="D1028:E1028"/>
    <mergeCell ref="A1029:B1029"/>
    <mergeCell ref="D1029:E1029"/>
    <mergeCell ref="A1024:B1024"/>
    <mergeCell ref="D1024:E1024"/>
    <mergeCell ref="A1025:B1025"/>
    <mergeCell ref="D1025:E1025"/>
    <mergeCell ref="A1026:B1026"/>
    <mergeCell ref="D1026:E1026"/>
    <mergeCell ref="A1019:B1019"/>
    <mergeCell ref="D1019:E1019"/>
    <mergeCell ref="A1020:B1020"/>
    <mergeCell ref="D1020:E1020"/>
    <mergeCell ref="A1022:F1022"/>
    <mergeCell ref="A1023:B1023"/>
    <mergeCell ref="D1023:E1023"/>
    <mergeCell ref="A1016:B1016"/>
    <mergeCell ref="D1016:E1016"/>
    <mergeCell ref="A1017:B1017"/>
    <mergeCell ref="D1017:E1017"/>
    <mergeCell ref="A1018:B1018"/>
    <mergeCell ref="D1018:E1018"/>
    <mergeCell ref="A1013:B1013"/>
    <mergeCell ref="D1013:E1013"/>
    <mergeCell ref="A1014:B1014"/>
    <mergeCell ref="D1014:E1014"/>
    <mergeCell ref="A1015:B1015"/>
    <mergeCell ref="D1015:E1015"/>
    <mergeCell ref="A1008:B1008"/>
    <mergeCell ref="D1008:E1008"/>
    <mergeCell ref="A1010:F1010"/>
    <mergeCell ref="A1011:B1011"/>
    <mergeCell ref="D1011:E1011"/>
    <mergeCell ref="A1012:B1012"/>
    <mergeCell ref="D1012:E1012"/>
    <mergeCell ref="A1005:B1005"/>
    <mergeCell ref="D1005:E1005"/>
    <mergeCell ref="A1006:B1006"/>
    <mergeCell ref="D1006:E1006"/>
    <mergeCell ref="A1007:B1007"/>
    <mergeCell ref="D1007:E1007"/>
    <mergeCell ref="A1002:B1002"/>
    <mergeCell ref="D1002:E1002"/>
    <mergeCell ref="A1003:B1003"/>
    <mergeCell ref="D1003:E1003"/>
    <mergeCell ref="A1004:B1004"/>
    <mergeCell ref="D1004:E1004"/>
    <mergeCell ref="A997:B997"/>
    <mergeCell ref="D997:E997"/>
    <mergeCell ref="A998:B998"/>
    <mergeCell ref="D998:E998"/>
    <mergeCell ref="A1000:F1000"/>
    <mergeCell ref="A1001:B1001"/>
    <mergeCell ref="D1001:E1001"/>
    <mergeCell ref="A994:B994"/>
    <mergeCell ref="D994:E994"/>
    <mergeCell ref="A995:B995"/>
    <mergeCell ref="D995:E995"/>
    <mergeCell ref="A996:B996"/>
    <mergeCell ref="D996:E996"/>
    <mergeCell ref="A989:B989"/>
    <mergeCell ref="D989:E989"/>
    <mergeCell ref="A991:F991"/>
    <mergeCell ref="A992:B992"/>
    <mergeCell ref="D992:E992"/>
    <mergeCell ref="A993:B993"/>
    <mergeCell ref="D993:E993"/>
    <mergeCell ref="A986:B986"/>
    <mergeCell ref="D986:E986"/>
    <mergeCell ref="A987:B987"/>
    <mergeCell ref="D987:E987"/>
    <mergeCell ref="A988:B988"/>
    <mergeCell ref="D988:E988"/>
    <mergeCell ref="A983:B983"/>
    <mergeCell ref="D983:E983"/>
    <mergeCell ref="A984:B984"/>
    <mergeCell ref="D984:E984"/>
    <mergeCell ref="A985:B985"/>
    <mergeCell ref="D985:E985"/>
    <mergeCell ref="A980:B980"/>
    <mergeCell ref="D980:E980"/>
    <mergeCell ref="A981:B981"/>
    <mergeCell ref="D981:E981"/>
    <mergeCell ref="A982:B982"/>
    <mergeCell ref="D982:E982"/>
    <mergeCell ref="A977:B977"/>
    <mergeCell ref="D977:E977"/>
    <mergeCell ref="A978:B978"/>
    <mergeCell ref="D978:E978"/>
    <mergeCell ref="A979:B979"/>
    <mergeCell ref="D979:E979"/>
    <mergeCell ref="A972:B972"/>
    <mergeCell ref="D972:E972"/>
    <mergeCell ref="A973:B973"/>
    <mergeCell ref="D973:E973"/>
    <mergeCell ref="A975:F975"/>
    <mergeCell ref="A976:B976"/>
    <mergeCell ref="D976:E976"/>
    <mergeCell ref="A969:B969"/>
    <mergeCell ref="D969:E969"/>
    <mergeCell ref="A970:B970"/>
    <mergeCell ref="D970:E970"/>
    <mergeCell ref="A971:B971"/>
    <mergeCell ref="D971:E971"/>
    <mergeCell ref="A966:B966"/>
    <mergeCell ref="D966:E966"/>
    <mergeCell ref="A967:B967"/>
    <mergeCell ref="D967:E967"/>
    <mergeCell ref="A968:B968"/>
    <mergeCell ref="D968:E968"/>
    <mergeCell ref="A963:B963"/>
    <mergeCell ref="D963:E963"/>
    <mergeCell ref="A964:B964"/>
    <mergeCell ref="D964:E964"/>
    <mergeCell ref="A965:B965"/>
    <mergeCell ref="D965:E965"/>
    <mergeCell ref="A959:F959"/>
    <mergeCell ref="A960:B960"/>
    <mergeCell ref="D960:E960"/>
    <mergeCell ref="A961:B961"/>
    <mergeCell ref="D961:E961"/>
    <mergeCell ref="A962:B962"/>
    <mergeCell ref="D962:E962"/>
    <mergeCell ref="A955:B955"/>
    <mergeCell ref="D955:E955"/>
    <mergeCell ref="A956:B956"/>
    <mergeCell ref="D956:E956"/>
    <mergeCell ref="A957:B957"/>
    <mergeCell ref="D957:E957"/>
    <mergeCell ref="A952:B952"/>
    <mergeCell ref="D952:E952"/>
    <mergeCell ref="A953:B953"/>
    <mergeCell ref="D953:E953"/>
    <mergeCell ref="A954:B954"/>
    <mergeCell ref="D954:E954"/>
    <mergeCell ref="A947:B947"/>
    <mergeCell ref="D947:E947"/>
    <mergeCell ref="A948:B948"/>
    <mergeCell ref="D948:E948"/>
    <mergeCell ref="A950:F950"/>
    <mergeCell ref="A951:B951"/>
    <mergeCell ref="D951:E951"/>
    <mergeCell ref="A944:B944"/>
    <mergeCell ref="D944:E944"/>
    <mergeCell ref="A945:B945"/>
    <mergeCell ref="D945:E945"/>
    <mergeCell ref="A946:B946"/>
    <mergeCell ref="D946:E946"/>
    <mergeCell ref="A941:B941"/>
    <mergeCell ref="D941:E941"/>
    <mergeCell ref="A942:B942"/>
    <mergeCell ref="D942:E942"/>
    <mergeCell ref="A943:B943"/>
    <mergeCell ref="D943:E943"/>
    <mergeCell ref="A938:B938"/>
    <mergeCell ref="D938:E938"/>
    <mergeCell ref="A939:B939"/>
    <mergeCell ref="D939:E939"/>
    <mergeCell ref="A940:B940"/>
    <mergeCell ref="D940:E940"/>
    <mergeCell ref="A935:B935"/>
    <mergeCell ref="D935:E935"/>
    <mergeCell ref="A936:B936"/>
    <mergeCell ref="D936:E936"/>
    <mergeCell ref="A937:B937"/>
    <mergeCell ref="D937:E937"/>
    <mergeCell ref="A930:B930"/>
    <mergeCell ref="D930:E930"/>
    <mergeCell ref="A931:B931"/>
    <mergeCell ref="D931:E931"/>
    <mergeCell ref="A933:F933"/>
    <mergeCell ref="A934:B934"/>
    <mergeCell ref="D934:E934"/>
    <mergeCell ref="A927:B927"/>
    <mergeCell ref="D927:E927"/>
    <mergeCell ref="A928:B928"/>
    <mergeCell ref="D928:E928"/>
    <mergeCell ref="A929:B929"/>
    <mergeCell ref="D929:E929"/>
    <mergeCell ref="A924:B924"/>
    <mergeCell ref="D924:E924"/>
    <mergeCell ref="A925:B925"/>
    <mergeCell ref="D925:E925"/>
    <mergeCell ref="A926:B926"/>
    <mergeCell ref="D926:E926"/>
    <mergeCell ref="A921:B921"/>
    <mergeCell ref="D921:E921"/>
    <mergeCell ref="A922:B922"/>
    <mergeCell ref="D922:E922"/>
    <mergeCell ref="A923:B923"/>
    <mergeCell ref="D923:E923"/>
    <mergeCell ref="A916:B916"/>
    <mergeCell ref="D916:E916"/>
    <mergeCell ref="A917:B917"/>
    <mergeCell ref="D917:E917"/>
    <mergeCell ref="A919:F919"/>
    <mergeCell ref="A920:B920"/>
    <mergeCell ref="D920:E920"/>
    <mergeCell ref="A911:B911"/>
    <mergeCell ref="D911:E911"/>
    <mergeCell ref="A912:B912"/>
    <mergeCell ref="D912:E912"/>
    <mergeCell ref="A914:F914"/>
    <mergeCell ref="A915:B915"/>
    <mergeCell ref="D915:E915"/>
    <mergeCell ref="A906:B906"/>
    <mergeCell ref="D906:E906"/>
    <mergeCell ref="A907:B907"/>
    <mergeCell ref="D907:E907"/>
    <mergeCell ref="A909:F909"/>
    <mergeCell ref="A910:B910"/>
    <mergeCell ref="D910:E910"/>
    <mergeCell ref="A903:B903"/>
    <mergeCell ref="D903:E903"/>
    <mergeCell ref="A904:B904"/>
    <mergeCell ref="D904:E904"/>
    <mergeCell ref="A905:B905"/>
    <mergeCell ref="D905:E905"/>
    <mergeCell ref="A898:B898"/>
    <mergeCell ref="D898:E898"/>
    <mergeCell ref="A900:F900"/>
    <mergeCell ref="A901:B901"/>
    <mergeCell ref="D901:E901"/>
    <mergeCell ref="A902:B902"/>
    <mergeCell ref="D902:E902"/>
    <mergeCell ref="A895:B895"/>
    <mergeCell ref="D895:E895"/>
    <mergeCell ref="A896:B896"/>
    <mergeCell ref="D896:E896"/>
    <mergeCell ref="A897:B897"/>
    <mergeCell ref="D897:E897"/>
    <mergeCell ref="A892:B892"/>
    <mergeCell ref="D892:E892"/>
    <mergeCell ref="A893:B893"/>
    <mergeCell ref="D893:E893"/>
    <mergeCell ref="A894:B894"/>
    <mergeCell ref="D894:E894"/>
    <mergeCell ref="A887:B887"/>
    <mergeCell ref="D887:E887"/>
    <mergeCell ref="A889:F889"/>
    <mergeCell ref="A890:B890"/>
    <mergeCell ref="D890:E890"/>
    <mergeCell ref="A891:B891"/>
    <mergeCell ref="D891:E891"/>
    <mergeCell ref="A884:B884"/>
    <mergeCell ref="D884:E884"/>
    <mergeCell ref="A885:B885"/>
    <mergeCell ref="D885:E885"/>
    <mergeCell ref="A886:B886"/>
    <mergeCell ref="D886:E886"/>
    <mergeCell ref="A881:B881"/>
    <mergeCell ref="D881:E881"/>
    <mergeCell ref="A882:B882"/>
    <mergeCell ref="D882:E882"/>
    <mergeCell ref="A883:B883"/>
    <mergeCell ref="D883:E883"/>
    <mergeCell ref="A876:B876"/>
    <mergeCell ref="D876:E876"/>
    <mergeCell ref="A878:F878"/>
    <mergeCell ref="A879:B879"/>
    <mergeCell ref="D879:E879"/>
    <mergeCell ref="A880:B880"/>
    <mergeCell ref="D880:E880"/>
    <mergeCell ref="A873:B873"/>
    <mergeCell ref="D873:E873"/>
    <mergeCell ref="A874:B874"/>
    <mergeCell ref="D874:E874"/>
    <mergeCell ref="A875:B875"/>
    <mergeCell ref="D875:E875"/>
    <mergeCell ref="A870:B870"/>
    <mergeCell ref="D870:E870"/>
    <mergeCell ref="A871:B871"/>
    <mergeCell ref="D871:E871"/>
    <mergeCell ref="A872:B872"/>
    <mergeCell ref="D872:E872"/>
    <mergeCell ref="A865:B865"/>
    <mergeCell ref="D865:E865"/>
    <mergeCell ref="A867:F867"/>
    <mergeCell ref="A868:B868"/>
    <mergeCell ref="D868:E868"/>
    <mergeCell ref="A869:B869"/>
    <mergeCell ref="D869:E869"/>
    <mergeCell ref="A862:B862"/>
    <mergeCell ref="D862:E862"/>
    <mergeCell ref="A863:B863"/>
    <mergeCell ref="D863:E863"/>
    <mergeCell ref="A864:B864"/>
    <mergeCell ref="D864:E864"/>
    <mergeCell ref="A859:B859"/>
    <mergeCell ref="D859:E859"/>
    <mergeCell ref="A860:B860"/>
    <mergeCell ref="D860:E860"/>
    <mergeCell ref="A861:B861"/>
    <mergeCell ref="D861:E861"/>
    <mergeCell ref="A854:B854"/>
    <mergeCell ref="D854:E854"/>
    <mergeCell ref="A856:F856"/>
    <mergeCell ref="A857:B857"/>
    <mergeCell ref="D857:E857"/>
    <mergeCell ref="A858:B858"/>
    <mergeCell ref="D858:E858"/>
    <mergeCell ref="A849:B849"/>
    <mergeCell ref="D849:E849"/>
    <mergeCell ref="A851:F851"/>
    <mergeCell ref="A852:B852"/>
    <mergeCell ref="D852:E852"/>
    <mergeCell ref="A853:B853"/>
    <mergeCell ref="D853:E853"/>
    <mergeCell ref="A846:B846"/>
    <mergeCell ref="D846:E846"/>
    <mergeCell ref="A847:B847"/>
    <mergeCell ref="D847:E847"/>
    <mergeCell ref="A848:B848"/>
    <mergeCell ref="D848:E848"/>
    <mergeCell ref="A843:B843"/>
    <mergeCell ref="D843:E843"/>
    <mergeCell ref="A844:B844"/>
    <mergeCell ref="D844:E844"/>
    <mergeCell ref="A845:B845"/>
    <mergeCell ref="D845:E845"/>
    <mergeCell ref="A840:B840"/>
    <mergeCell ref="D840:E840"/>
    <mergeCell ref="A841:B841"/>
    <mergeCell ref="D841:E841"/>
    <mergeCell ref="A842:B842"/>
    <mergeCell ref="D842:E842"/>
    <mergeCell ref="A835:B835"/>
    <mergeCell ref="D835:E835"/>
    <mergeCell ref="A836:B836"/>
    <mergeCell ref="D836:E836"/>
    <mergeCell ref="A838:F838"/>
    <mergeCell ref="A839:B839"/>
    <mergeCell ref="D839:E839"/>
    <mergeCell ref="A832:B832"/>
    <mergeCell ref="D832:E832"/>
    <mergeCell ref="A833:B833"/>
    <mergeCell ref="D833:E833"/>
    <mergeCell ref="A834:B834"/>
    <mergeCell ref="D834:E834"/>
    <mergeCell ref="A828:F828"/>
    <mergeCell ref="A829:B829"/>
    <mergeCell ref="D829:E829"/>
    <mergeCell ref="A830:B830"/>
    <mergeCell ref="D830:E830"/>
    <mergeCell ref="A831:B831"/>
    <mergeCell ref="D831:E831"/>
    <mergeCell ref="A824:B824"/>
    <mergeCell ref="D824:E824"/>
    <mergeCell ref="A825:B825"/>
    <mergeCell ref="D825:E825"/>
    <mergeCell ref="A826:B826"/>
    <mergeCell ref="D826:E826"/>
    <mergeCell ref="A821:B821"/>
    <mergeCell ref="D821:E821"/>
    <mergeCell ref="A822:B822"/>
    <mergeCell ref="D822:E822"/>
    <mergeCell ref="A823:B823"/>
    <mergeCell ref="D823:E823"/>
    <mergeCell ref="A818:B818"/>
    <mergeCell ref="D818:E818"/>
    <mergeCell ref="A819:B819"/>
    <mergeCell ref="D819:E819"/>
    <mergeCell ref="A820:B820"/>
    <mergeCell ref="D820:E820"/>
    <mergeCell ref="A814:F814"/>
    <mergeCell ref="A815:B815"/>
    <mergeCell ref="D815:E815"/>
    <mergeCell ref="A816:B816"/>
    <mergeCell ref="D816:E816"/>
    <mergeCell ref="A817:B817"/>
    <mergeCell ref="D817:E817"/>
    <mergeCell ref="A810:B810"/>
    <mergeCell ref="D810:E810"/>
    <mergeCell ref="A811:B811"/>
    <mergeCell ref="D811:E811"/>
    <mergeCell ref="A812:B812"/>
    <mergeCell ref="D812:E812"/>
    <mergeCell ref="A807:B807"/>
    <mergeCell ref="D807:E807"/>
    <mergeCell ref="A808:B808"/>
    <mergeCell ref="D808:E808"/>
    <mergeCell ref="A809:B809"/>
    <mergeCell ref="D809:E809"/>
    <mergeCell ref="A804:B804"/>
    <mergeCell ref="D804:E804"/>
    <mergeCell ref="A805:B805"/>
    <mergeCell ref="D805:E805"/>
    <mergeCell ref="A806:B806"/>
    <mergeCell ref="D806:E806"/>
    <mergeCell ref="A801:B801"/>
    <mergeCell ref="D801:E801"/>
    <mergeCell ref="A802:B802"/>
    <mergeCell ref="D802:E802"/>
    <mergeCell ref="A803:B803"/>
    <mergeCell ref="D803:E803"/>
    <mergeCell ref="A796:B796"/>
    <mergeCell ref="D796:E796"/>
    <mergeCell ref="A797:B797"/>
    <mergeCell ref="D797:E797"/>
    <mergeCell ref="A799:F799"/>
    <mergeCell ref="A800:B800"/>
    <mergeCell ref="D800:E800"/>
    <mergeCell ref="A793:B793"/>
    <mergeCell ref="D793:E793"/>
    <mergeCell ref="A794:B794"/>
    <mergeCell ref="D794:E794"/>
    <mergeCell ref="A795:B795"/>
    <mergeCell ref="D795:E795"/>
    <mergeCell ref="A790:B790"/>
    <mergeCell ref="D790:E790"/>
    <mergeCell ref="A791:B791"/>
    <mergeCell ref="D791:E791"/>
    <mergeCell ref="A792:B792"/>
    <mergeCell ref="D792:E792"/>
    <mergeCell ref="A787:B787"/>
    <mergeCell ref="D787:E787"/>
    <mergeCell ref="A788:B788"/>
    <mergeCell ref="D788:E788"/>
    <mergeCell ref="A789:B789"/>
    <mergeCell ref="D789:E789"/>
    <mergeCell ref="A782:B782"/>
    <mergeCell ref="D782:E782"/>
    <mergeCell ref="A784:F784"/>
    <mergeCell ref="A785:B785"/>
    <mergeCell ref="D785:E785"/>
    <mergeCell ref="A786:B786"/>
    <mergeCell ref="D786:E786"/>
    <mergeCell ref="A779:B779"/>
    <mergeCell ref="D779:E779"/>
    <mergeCell ref="A780:B780"/>
    <mergeCell ref="D780:E780"/>
    <mergeCell ref="A781:B781"/>
    <mergeCell ref="D781:E781"/>
    <mergeCell ref="A776:B776"/>
    <mergeCell ref="D776:E776"/>
    <mergeCell ref="A777:B777"/>
    <mergeCell ref="D777:E777"/>
    <mergeCell ref="A778:B778"/>
    <mergeCell ref="D778:E778"/>
    <mergeCell ref="A772:F772"/>
    <mergeCell ref="A773:B773"/>
    <mergeCell ref="D773:E773"/>
    <mergeCell ref="A774:B774"/>
    <mergeCell ref="D774:E774"/>
    <mergeCell ref="A775:B775"/>
    <mergeCell ref="D775:E775"/>
    <mergeCell ref="A768:B768"/>
    <mergeCell ref="D768:E768"/>
    <mergeCell ref="A769:B769"/>
    <mergeCell ref="D769:E769"/>
    <mergeCell ref="A770:B770"/>
    <mergeCell ref="D770:E770"/>
    <mergeCell ref="A765:B765"/>
    <mergeCell ref="D765:E765"/>
    <mergeCell ref="A766:B766"/>
    <mergeCell ref="D766:E766"/>
    <mergeCell ref="A767:B767"/>
    <mergeCell ref="D767:E767"/>
    <mergeCell ref="A762:B762"/>
    <mergeCell ref="D762:E762"/>
    <mergeCell ref="A763:B763"/>
    <mergeCell ref="D763:E763"/>
    <mergeCell ref="A764:B764"/>
    <mergeCell ref="D764:E764"/>
    <mergeCell ref="A759:B759"/>
    <mergeCell ref="D759:E759"/>
    <mergeCell ref="A760:B760"/>
    <mergeCell ref="D760:E760"/>
    <mergeCell ref="A761:B761"/>
    <mergeCell ref="D761:E761"/>
    <mergeCell ref="A755:F755"/>
    <mergeCell ref="A756:B756"/>
    <mergeCell ref="D756:E756"/>
    <mergeCell ref="A757:B757"/>
    <mergeCell ref="D757:E757"/>
    <mergeCell ref="A758:B758"/>
    <mergeCell ref="D758:E758"/>
    <mergeCell ref="A751:B751"/>
    <mergeCell ref="D751:E751"/>
    <mergeCell ref="A752:B752"/>
    <mergeCell ref="D752:E752"/>
    <mergeCell ref="A753:B753"/>
    <mergeCell ref="D753:E753"/>
    <mergeCell ref="A748:B748"/>
    <mergeCell ref="D748:E748"/>
    <mergeCell ref="A749:B749"/>
    <mergeCell ref="D749:E749"/>
    <mergeCell ref="A750:B750"/>
    <mergeCell ref="D750:E750"/>
    <mergeCell ref="A745:B745"/>
    <mergeCell ref="D745:E745"/>
    <mergeCell ref="A746:B746"/>
    <mergeCell ref="D746:E746"/>
    <mergeCell ref="A747:B747"/>
    <mergeCell ref="D747:E747"/>
    <mergeCell ref="A740:B740"/>
    <mergeCell ref="D740:E740"/>
    <mergeCell ref="A741:B741"/>
    <mergeCell ref="D741:E741"/>
    <mergeCell ref="A743:F743"/>
    <mergeCell ref="A744:B744"/>
    <mergeCell ref="D744:E744"/>
    <mergeCell ref="A737:B737"/>
    <mergeCell ref="D737:E737"/>
    <mergeCell ref="A738:B738"/>
    <mergeCell ref="D738:E738"/>
    <mergeCell ref="A739:B739"/>
    <mergeCell ref="D739:E739"/>
    <mergeCell ref="A734:B734"/>
    <mergeCell ref="D734:E734"/>
    <mergeCell ref="A735:B735"/>
    <mergeCell ref="D735:E735"/>
    <mergeCell ref="A736:B736"/>
    <mergeCell ref="D736:E736"/>
    <mergeCell ref="A731:B731"/>
    <mergeCell ref="D731:E731"/>
    <mergeCell ref="A732:B732"/>
    <mergeCell ref="D732:E732"/>
    <mergeCell ref="A733:B733"/>
    <mergeCell ref="D733:E733"/>
    <mergeCell ref="A726:B726"/>
    <mergeCell ref="D726:E726"/>
    <mergeCell ref="A728:F728"/>
    <mergeCell ref="A729:B729"/>
    <mergeCell ref="D729:E729"/>
    <mergeCell ref="A730:B730"/>
    <mergeCell ref="D730:E730"/>
    <mergeCell ref="A723:B723"/>
    <mergeCell ref="D723:E723"/>
    <mergeCell ref="A724:B724"/>
    <mergeCell ref="D724:E724"/>
    <mergeCell ref="A725:B725"/>
    <mergeCell ref="D725:E725"/>
    <mergeCell ref="A720:B720"/>
    <mergeCell ref="D720:E720"/>
    <mergeCell ref="A721:B721"/>
    <mergeCell ref="D721:E721"/>
    <mergeCell ref="A722:B722"/>
    <mergeCell ref="D722:E722"/>
    <mergeCell ref="A717:B717"/>
    <mergeCell ref="D717:E717"/>
    <mergeCell ref="A718:B718"/>
    <mergeCell ref="D718:E718"/>
    <mergeCell ref="A719:B719"/>
    <mergeCell ref="D719:E719"/>
    <mergeCell ref="A714:B714"/>
    <mergeCell ref="D714:E714"/>
    <mergeCell ref="A715:B715"/>
    <mergeCell ref="D715:E715"/>
    <mergeCell ref="A716:B716"/>
    <mergeCell ref="D716:E716"/>
    <mergeCell ref="A709:B709"/>
    <mergeCell ref="D709:E709"/>
    <mergeCell ref="A711:F711"/>
    <mergeCell ref="A712:B712"/>
    <mergeCell ref="D712:E712"/>
    <mergeCell ref="A713:B713"/>
    <mergeCell ref="D713:E713"/>
    <mergeCell ref="A704:B704"/>
    <mergeCell ref="D704:E704"/>
    <mergeCell ref="A706:F706"/>
    <mergeCell ref="A707:B707"/>
    <mergeCell ref="D707:E707"/>
    <mergeCell ref="A708:B708"/>
    <mergeCell ref="D708:E708"/>
    <mergeCell ref="A701:B701"/>
    <mergeCell ref="D701:E701"/>
    <mergeCell ref="A702:B702"/>
    <mergeCell ref="D702:E702"/>
    <mergeCell ref="A703:B703"/>
    <mergeCell ref="D703:E703"/>
    <mergeCell ref="A698:B698"/>
    <mergeCell ref="D698:E698"/>
    <mergeCell ref="A699:B699"/>
    <mergeCell ref="D699:E699"/>
    <mergeCell ref="A700:B700"/>
    <mergeCell ref="D700:E700"/>
    <mergeCell ref="A695:B695"/>
    <mergeCell ref="D695:E695"/>
    <mergeCell ref="A696:B696"/>
    <mergeCell ref="D696:E696"/>
    <mergeCell ref="A697:B697"/>
    <mergeCell ref="D697:E697"/>
    <mergeCell ref="A692:B692"/>
    <mergeCell ref="D692:E692"/>
    <mergeCell ref="A693:B693"/>
    <mergeCell ref="D693:E693"/>
    <mergeCell ref="A694:B694"/>
    <mergeCell ref="D694:E694"/>
    <mergeCell ref="A687:B687"/>
    <mergeCell ref="D687:E687"/>
    <mergeCell ref="A689:F689"/>
    <mergeCell ref="A690:B690"/>
    <mergeCell ref="D690:E690"/>
    <mergeCell ref="A691:B691"/>
    <mergeCell ref="D691:E691"/>
    <mergeCell ref="A684:B684"/>
    <mergeCell ref="D684:E684"/>
    <mergeCell ref="A685:B685"/>
    <mergeCell ref="D685:E685"/>
    <mergeCell ref="A686:B686"/>
    <mergeCell ref="D686:E686"/>
    <mergeCell ref="A681:B681"/>
    <mergeCell ref="D681:E681"/>
    <mergeCell ref="A682:B682"/>
    <mergeCell ref="D682:E682"/>
    <mergeCell ref="A683:B683"/>
    <mergeCell ref="D683:E683"/>
    <mergeCell ref="A678:B678"/>
    <mergeCell ref="D678:E678"/>
    <mergeCell ref="A679:B679"/>
    <mergeCell ref="D679:E679"/>
    <mergeCell ref="A680:B680"/>
    <mergeCell ref="D680:E680"/>
    <mergeCell ref="A675:B675"/>
    <mergeCell ref="D675:E675"/>
    <mergeCell ref="A676:B676"/>
    <mergeCell ref="D676:E676"/>
    <mergeCell ref="A677:B677"/>
    <mergeCell ref="D677:E677"/>
    <mergeCell ref="A672:B672"/>
    <mergeCell ref="D672:E672"/>
    <mergeCell ref="A673:B673"/>
    <mergeCell ref="D673:E673"/>
    <mergeCell ref="A674:B674"/>
    <mergeCell ref="D674:E674"/>
    <mergeCell ref="A667:B667"/>
    <mergeCell ref="D667:E667"/>
    <mergeCell ref="A668:B668"/>
    <mergeCell ref="D668:E668"/>
    <mergeCell ref="A670:F670"/>
    <mergeCell ref="A671:B671"/>
    <mergeCell ref="D671:E671"/>
    <mergeCell ref="A664:B664"/>
    <mergeCell ref="D664:E664"/>
    <mergeCell ref="A665:B665"/>
    <mergeCell ref="D665:E665"/>
    <mergeCell ref="A666:B666"/>
    <mergeCell ref="D666:E666"/>
    <mergeCell ref="A661:B661"/>
    <mergeCell ref="D661:E661"/>
    <mergeCell ref="A662:B662"/>
    <mergeCell ref="D662:E662"/>
    <mergeCell ref="A663:B663"/>
    <mergeCell ref="D663:E663"/>
    <mergeCell ref="A658:B658"/>
    <mergeCell ref="D658:E658"/>
    <mergeCell ref="A659:B659"/>
    <mergeCell ref="D659:E659"/>
    <mergeCell ref="A660:B660"/>
    <mergeCell ref="D660:E660"/>
    <mergeCell ref="A655:B655"/>
    <mergeCell ref="D655:E655"/>
    <mergeCell ref="A656:B656"/>
    <mergeCell ref="D656:E656"/>
    <mergeCell ref="A657:B657"/>
    <mergeCell ref="D657:E657"/>
    <mergeCell ref="A652:B652"/>
    <mergeCell ref="D652:E652"/>
    <mergeCell ref="A653:B653"/>
    <mergeCell ref="D653:E653"/>
    <mergeCell ref="A654:B654"/>
    <mergeCell ref="D654:E654"/>
    <mergeCell ref="A647:B647"/>
    <mergeCell ref="D647:E647"/>
    <mergeCell ref="A649:F649"/>
    <mergeCell ref="A650:B650"/>
    <mergeCell ref="D650:E650"/>
    <mergeCell ref="A651:B651"/>
    <mergeCell ref="D651:E651"/>
    <mergeCell ref="A644:B644"/>
    <mergeCell ref="D644:E644"/>
    <mergeCell ref="A645:B645"/>
    <mergeCell ref="D645:E645"/>
    <mergeCell ref="A646:B646"/>
    <mergeCell ref="D646:E646"/>
    <mergeCell ref="A639:B639"/>
    <mergeCell ref="D639:E639"/>
    <mergeCell ref="A641:F641"/>
    <mergeCell ref="A642:B642"/>
    <mergeCell ref="D642:E642"/>
    <mergeCell ref="A643:B643"/>
    <mergeCell ref="D643:E643"/>
    <mergeCell ref="A634:B634"/>
    <mergeCell ref="D634:E634"/>
    <mergeCell ref="A636:F636"/>
    <mergeCell ref="A637:B637"/>
    <mergeCell ref="D637:E637"/>
    <mergeCell ref="A638:B638"/>
    <mergeCell ref="D638:E638"/>
    <mergeCell ref="A631:B631"/>
    <mergeCell ref="D631:E631"/>
    <mergeCell ref="A632:B632"/>
    <mergeCell ref="D632:E632"/>
    <mergeCell ref="A633:B633"/>
    <mergeCell ref="D633:E633"/>
    <mergeCell ref="A628:B628"/>
    <mergeCell ref="D628:E628"/>
    <mergeCell ref="A629:B629"/>
    <mergeCell ref="D629:E629"/>
    <mergeCell ref="A630:B630"/>
    <mergeCell ref="D630:E630"/>
    <mergeCell ref="A623:B623"/>
    <mergeCell ref="D623:E623"/>
    <mergeCell ref="A625:F625"/>
    <mergeCell ref="A626:B626"/>
    <mergeCell ref="D626:E626"/>
    <mergeCell ref="A627:B627"/>
    <mergeCell ref="D627:E627"/>
    <mergeCell ref="A618:B618"/>
    <mergeCell ref="D618:E618"/>
    <mergeCell ref="A620:F620"/>
    <mergeCell ref="A621:B621"/>
    <mergeCell ref="D621:E621"/>
    <mergeCell ref="A622:B622"/>
    <mergeCell ref="D622:E622"/>
    <mergeCell ref="A615:B615"/>
    <mergeCell ref="D615:E615"/>
    <mergeCell ref="A616:B616"/>
    <mergeCell ref="D616:E616"/>
    <mergeCell ref="A617:B617"/>
    <mergeCell ref="D617:E617"/>
    <mergeCell ref="A612:B612"/>
    <mergeCell ref="D612:E612"/>
    <mergeCell ref="A613:B613"/>
    <mergeCell ref="D613:E613"/>
    <mergeCell ref="A614:B614"/>
    <mergeCell ref="D614:E614"/>
    <mergeCell ref="A609:B609"/>
    <mergeCell ref="D609:E609"/>
    <mergeCell ref="A610:B610"/>
    <mergeCell ref="D610:E610"/>
    <mergeCell ref="A611:B611"/>
    <mergeCell ref="D611:E611"/>
    <mergeCell ref="A604:B604"/>
    <mergeCell ref="D604:E604"/>
    <mergeCell ref="A605:B605"/>
    <mergeCell ref="D605:E605"/>
    <mergeCell ref="A607:F607"/>
    <mergeCell ref="A608:B608"/>
    <mergeCell ref="D608:E608"/>
    <mergeCell ref="A601:B601"/>
    <mergeCell ref="D601:E601"/>
    <mergeCell ref="A602:B602"/>
    <mergeCell ref="D602:E602"/>
    <mergeCell ref="A603:B603"/>
    <mergeCell ref="D603:E603"/>
    <mergeCell ref="A598:B598"/>
    <mergeCell ref="D598:E598"/>
    <mergeCell ref="A599:B599"/>
    <mergeCell ref="D599:E599"/>
    <mergeCell ref="A600:B600"/>
    <mergeCell ref="D600:E600"/>
    <mergeCell ref="A595:B595"/>
    <mergeCell ref="D595:E595"/>
    <mergeCell ref="A596:B596"/>
    <mergeCell ref="D596:E596"/>
    <mergeCell ref="A597:B597"/>
    <mergeCell ref="D597:E597"/>
    <mergeCell ref="A590:B590"/>
    <mergeCell ref="D590:E590"/>
    <mergeCell ref="A591:B591"/>
    <mergeCell ref="D591:E591"/>
    <mergeCell ref="A593:F593"/>
    <mergeCell ref="A594:B594"/>
    <mergeCell ref="D594:E594"/>
    <mergeCell ref="A587:B587"/>
    <mergeCell ref="D587:E587"/>
    <mergeCell ref="A588:B588"/>
    <mergeCell ref="D588:E588"/>
    <mergeCell ref="A589:B589"/>
    <mergeCell ref="D589:E589"/>
    <mergeCell ref="A584:B584"/>
    <mergeCell ref="D584:E584"/>
    <mergeCell ref="A585:B585"/>
    <mergeCell ref="D585:E585"/>
    <mergeCell ref="A586:B586"/>
    <mergeCell ref="D586:E586"/>
    <mergeCell ref="A581:B581"/>
    <mergeCell ref="D581:E581"/>
    <mergeCell ref="A582:B582"/>
    <mergeCell ref="D582:E582"/>
    <mergeCell ref="A583:B583"/>
    <mergeCell ref="D583:E583"/>
    <mergeCell ref="A577:F577"/>
    <mergeCell ref="A578:B578"/>
    <mergeCell ref="D578:E578"/>
    <mergeCell ref="A579:B579"/>
    <mergeCell ref="D579:E579"/>
    <mergeCell ref="A580:B580"/>
    <mergeCell ref="D580:E580"/>
    <mergeCell ref="A573:B573"/>
    <mergeCell ref="D573:E573"/>
    <mergeCell ref="A574:B574"/>
    <mergeCell ref="D574:E574"/>
    <mergeCell ref="A575:B575"/>
    <mergeCell ref="D575:E575"/>
    <mergeCell ref="A570:B570"/>
    <mergeCell ref="D570:E570"/>
    <mergeCell ref="A571:B571"/>
    <mergeCell ref="D571:E571"/>
    <mergeCell ref="A572:B572"/>
    <mergeCell ref="D572:E572"/>
    <mergeCell ref="A565:B565"/>
    <mergeCell ref="D565:E565"/>
    <mergeCell ref="A566:B566"/>
    <mergeCell ref="D566:E566"/>
    <mergeCell ref="A568:F568"/>
    <mergeCell ref="A569:B569"/>
    <mergeCell ref="D569:E569"/>
    <mergeCell ref="A562:B562"/>
    <mergeCell ref="D562:E562"/>
    <mergeCell ref="A563:B563"/>
    <mergeCell ref="D563:E563"/>
    <mergeCell ref="A564:B564"/>
    <mergeCell ref="D564:E564"/>
    <mergeCell ref="A557:B557"/>
    <mergeCell ref="D557:E557"/>
    <mergeCell ref="A559:F559"/>
    <mergeCell ref="A560:B560"/>
    <mergeCell ref="D560:E560"/>
    <mergeCell ref="A561:B561"/>
    <mergeCell ref="D561:E561"/>
    <mergeCell ref="A554:B554"/>
    <mergeCell ref="D554:E554"/>
    <mergeCell ref="A555:B555"/>
    <mergeCell ref="D555:E555"/>
    <mergeCell ref="A556:B556"/>
    <mergeCell ref="D556:E556"/>
    <mergeCell ref="A549:B549"/>
    <mergeCell ref="D549:E549"/>
    <mergeCell ref="A551:F551"/>
    <mergeCell ref="A552:B552"/>
    <mergeCell ref="D552:E552"/>
    <mergeCell ref="A553:B553"/>
    <mergeCell ref="D553:E553"/>
    <mergeCell ref="A546:B546"/>
    <mergeCell ref="D546:E546"/>
    <mergeCell ref="A547:B547"/>
    <mergeCell ref="D547:E547"/>
    <mergeCell ref="A548:B548"/>
    <mergeCell ref="D548:E548"/>
    <mergeCell ref="A543:B543"/>
    <mergeCell ref="D543:E543"/>
    <mergeCell ref="A544:B544"/>
    <mergeCell ref="D544:E544"/>
    <mergeCell ref="A545:B545"/>
    <mergeCell ref="D545:E545"/>
    <mergeCell ref="A540:B540"/>
    <mergeCell ref="D540:E540"/>
    <mergeCell ref="A541:B541"/>
    <mergeCell ref="D541:E541"/>
    <mergeCell ref="A542:B542"/>
    <mergeCell ref="D542:E542"/>
    <mergeCell ref="A535:B535"/>
    <mergeCell ref="D535:E535"/>
    <mergeCell ref="A536:B536"/>
    <mergeCell ref="D536:E536"/>
    <mergeCell ref="A538:F538"/>
    <mergeCell ref="A539:B539"/>
    <mergeCell ref="D539:E539"/>
    <mergeCell ref="A532:B532"/>
    <mergeCell ref="D532:E532"/>
    <mergeCell ref="A533:B533"/>
    <mergeCell ref="D533:E533"/>
    <mergeCell ref="A534:B534"/>
    <mergeCell ref="D534:E534"/>
    <mergeCell ref="A529:B529"/>
    <mergeCell ref="D529:E529"/>
    <mergeCell ref="A530:B530"/>
    <mergeCell ref="D530:E530"/>
    <mergeCell ref="A531:B531"/>
    <mergeCell ref="D531:E531"/>
    <mergeCell ref="A526:B526"/>
    <mergeCell ref="D526:E526"/>
    <mergeCell ref="A527:B527"/>
    <mergeCell ref="D527:E527"/>
    <mergeCell ref="A528:B528"/>
    <mergeCell ref="D528:E528"/>
    <mergeCell ref="A521:B521"/>
    <mergeCell ref="D521:E521"/>
    <mergeCell ref="A522:B522"/>
    <mergeCell ref="D522:E522"/>
    <mergeCell ref="A524:F524"/>
    <mergeCell ref="A525:B525"/>
    <mergeCell ref="D525:E525"/>
    <mergeCell ref="A518:B518"/>
    <mergeCell ref="D518:E518"/>
    <mergeCell ref="A519:B519"/>
    <mergeCell ref="D519:E519"/>
    <mergeCell ref="A520:B520"/>
    <mergeCell ref="D520:E520"/>
    <mergeCell ref="A515:B515"/>
    <mergeCell ref="D515:E515"/>
    <mergeCell ref="A516:B516"/>
    <mergeCell ref="D516:E516"/>
    <mergeCell ref="A517:B517"/>
    <mergeCell ref="D517:E517"/>
    <mergeCell ref="A512:B512"/>
    <mergeCell ref="D512:E512"/>
    <mergeCell ref="A513:B513"/>
    <mergeCell ref="D513:E513"/>
    <mergeCell ref="A514:B514"/>
    <mergeCell ref="D514:E514"/>
    <mergeCell ref="A507:B507"/>
    <mergeCell ref="D507:E507"/>
    <mergeCell ref="A508:B508"/>
    <mergeCell ref="D508:E508"/>
    <mergeCell ref="A510:F510"/>
    <mergeCell ref="A511:B511"/>
    <mergeCell ref="D511:E511"/>
    <mergeCell ref="A504:B504"/>
    <mergeCell ref="D504:E504"/>
    <mergeCell ref="A505:B505"/>
    <mergeCell ref="D505:E505"/>
    <mergeCell ref="A506:B506"/>
    <mergeCell ref="D506:E506"/>
    <mergeCell ref="A499:B499"/>
    <mergeCell ref="D499:E499"/>
    <mergeCell ref="A500:B500"/>
    <mergeCell ref="D500:E500"/>
    <mergeCell ref="A502:F502"/>
    <mergeCell ref="A503:B503"/>
    <mergeCell ref="D503:E503"/>
    <mergeCell ref="A494:B494"/>
    <mergeCell ref="D494:E494"/>
    <mergeCell ref="A496:F496"/>
    <mergeCell ref="A497:B497"/>
    <mergeCell ref="D497:E497"/>
    <mergeCell ref="A498:B498"/>
    <mergeCell ref="D498:E498"/>
    <mergeCell ref="A491:B491"/>
    <mergeCell ref="D491:E491"/>
    <mergeCell ref="A492:B492"/>
    <mergeCell ref="D492:E492"/>
    <mergeCell ref="A493:B493"/>
    <mergeCell ref="D493:E493"/>
    <mergeCell ref="A488:B488"/>
    <mergeCell ref="D488:E488"/>
    <mergeCell ref="A489:B489"/>
    <mergeCell ref="D489:E489"/>
    <mergeCell ref="A490:B490"/>
    <mergeCell ref="D490:E490"/>
    <mergeCell ref="A485:B485"/>
    <mergeCell ref="D485:E485"/>
    <mergeCell ref="A486:B486"/>
    <mergeCell ref="D486:E486"/>
    <mergeCell ref="A487:B487"/>
    <mergeCell ref="D487:E487"/>
    <mergeCell ref="A480:B480"/>
    <mergeCell ref="D480:E480"/>
    <mergeCell ref="A482:F482"/>
    <mergeCell ref="A483:B483"/>
    <mergeCell ref="D483:E483"/>
    <mergeCell ref="A484:B484"/>
    <mergeCell ref="D484:E484"/>
    <mergeCell ref="A475:B475"/>
    <mergeCell ref="D475:E475"/>
    <mergeCell ref="A477:F477"/>
    <mergeCell ref="A478:B478"/>
    <mergeCell ref="D478:E478"/>
    <mergeCell ref="A479:B479"/>
    <mergeCell ref="D479:E479"/>
    <mergeCell ref="A472:B472"/>
    <mergeCell ref="D472:E472"/>
    <mergeCell ref="A473:B473"/>
    <mergeCell ref="D473:E473"/>
    <mergeCell ref="A474:B474"/>
    <mergeCell ref="D474:E474"/>
    <mergeCell ref="A469:B469"/>
    <mergeCell ref="D469:E469"/>
    <mergeCell ref="A470:B470"/>
    <mergeCell ref="D470:E470"/>
    <mergeCell ref="A471:B471"/>
    <mergeCell ref="D471:E471"/>
    <mergeCell ref="A466:B466"/>
    <mergeCell ref="D466:E466"/>
    <mergeCell ref="A467:B467"/>
    <mergeCell ref="D467:E467"/>
    <mergeCell ref="A468:B468"/>
    <mergeCell ref="D468:E468"/>
    <mergeCell ref="A461:B461"/>
    <mergeCell ref="D461:E461"/>
    <mergeCell ref="A463:F463"/>
    <mergeCell ref="A464:B464"/>
    <mergeCell ref="D464:E464"/>
    <mergeCell ref="A465:B465"/>
    <mergeCell ref="D465:E465"/>
    <mergeCell ref="A458:B458"/>
    <mergeCell ref="D458:E458"/>
    <mergeCell ref="A459:B459"/>
    <mergeCell ref="D459:E459"/>
    <mergeCell ref="A460:B460"/>
    <mergeCell ref="D460:E460"/>
    <mergeCell ref="A455:B455"/>
    <mergeCell ref="D455:E455"/>
    <mergeCell ref="A456:B456"/>
    <mergeCell ref="D456:E456"/>
    <mergeCell ref="A457:B457"/>
    <mergeCell ref="D457:E457"/>
    <mergeCell ref="A452:B452"/>
    <mergeCell ref="D452:E452"/>
    <mergeCell ref="A453:B453"/>
    <mergeCell ref="D453:E453"/>
    <mergeCell ref="A454:B454"/>
    <mergeCell ref="D454:E454"/>
    <mergeCell ref="A447:B447"/>
    <mergeCell ref="D447:E447"/>
    <mergeCell ref="A448:B448"/>
    <mergeCell ref="D448:E448"/>
    <mergeCell ref="A450:F450"/>
    <mergeCell ref="A451:B451"/>
    <mergeCell ref="D451:E451"/>
    <mergeCell ref="A444:B444"/>
    <mergeCell ref="D444:E444"/>
    <mergeCell ref="A445:B445"/>
    <mergeCell ref="D445:E445"/>
    <mergeCell ref="A446:B446"/>
    <mergeCell ref="D446:E446"/>
    <mergeCell ref="A441:B441"/>
    <mergeCell ref="D441:E441"/>
    <mergeCell ref="A442:B442"/>
    <mergeCell ref="D442:E442"/>
    <mergeCell ref="A443:B443"/>
    <mergeCell ref="D443:E443"/>
    <mergeCell ref="A438:B438"/>
    <mergeCell ref="D438:E438"/>
    <mergeCell ref="A439:B439"/>
    <mergeCell ref="D439:E439"/>
    <mergeCell ref="A440:B440"/>
    <mergeCell ref="D440:E440"/>
    <mergeCell ref="A435:B435"/>
    <mergeCell ref="D435:E435"/>
    <mergeCell ref="A436:B436"/>
    <mergeCell ref="D436:E436"/>
    <mergeCell ref="A437:B437"/>
    <mergeCell ref="D437:E437"/>
    <mergeCell ref="A432:B432"/>
    <mergeCell ref="D432:E432"/>
    <mergeCell ref="A433:B433"/>
    <mergeCell ref="D433:E433"/>
    <mergeCell ref="A434:B434"/>
    <mergeCell ref="D434:E434"/>
    <mergeCell ref="A428:F428"/>
    <mergeCell ref="A429:B429"/>
    <mergeCell ref="D429:E429"/>
    <mergeCell ref="A430:B430"/>
    <mergeCell ref="D430:E430"/>
    <mergeCell ref="A431:B431"/>
    <mergeCell ref="D431:E431"/>
    <mergeCell ref="A424:B424"/>
    <mergeCell ref="D424:E424"/>
    <mergeCell ref="A425:B425"/>
    <mergeCell ref="D425:E425"/>
    <mergeCell ref="A426:B426"/>
    <mergeCell ref="D426:E426"/>
    <mergeCell ref="A421:B421"/>
    <mergeCell ref="D421:E421"/>
    <mergeCell ref="A422:B422"/>
    <mergeCell ref="D422:E422"/>
    <mergeCell ref="A423:B423"/>
    <mergeCell ref="D423:E423"/>
    <mergeCell ref="A416:B416"/>
    <mergeCell ref="D416:E416"/>
    <mergeCell ref="A417:B417"/>
    <mergeCell ref="D417:E417"/>
    <mergeCell ref="A419:F419"/>
    <mergeCell ref="A420:B420"/>
    <mergeCell ref="D420:E420"/>
    <mergeCell ref="A411:B411"/>
    <mergeCell ref="D411:E411"/>
    <mergeCell ref="A413:F413"/>
    <mergeCell ref="A414:B414"/>
    <mergeCell ref="D414:E414"/>
    <mergeCell ref="A415:B415"/>
    <mergeCell ref="D415:E415"/>
    <mergeCell ref="A407:F407"/>
    <mergeCell ref="A408:B408"/>
    <mergeCell ref="D408:E408"/>
    <mergeCell ref="A409:B409"/>
    <mergeCell ref="D409:E409"/>
    <mergeCell ref="A410:B410"/>
    <mergeCell ref="D410:E410"/>
    <mergeCell ref="A402:F402"/>
    <mergeCell ref="A403:B403"/>
    <mergeCell ref="D403:E403"/>
    <mergeCell ref="A404:B404"/>
    <mergeCell ref="D404:E404"/>
    <mergeCell ref="A405:B405"/>
    <mergeCell ref="D405:E405"/>
    <mergeCell ref="A397:F397"/>
    <mergeCell ref="A398:B398"/>
    <mergeCell ref="D398:E398"/>
    <mergeCell ref="A399:B399"/>
    <mergeCell ref="D399:E399"/>
    <mergeCell ref="A400:B400"/>
    <mergeCell ref="D400:E400"/>
    <mergeCell ref="A393:B393"/>
    <mergeCell ref="D393:E393"/>
    <mergeCell ref="A394:B394"/>
    <mergeCell ref="D394:E394"/>
    <mergeCell ref="A395:B395"/>
    <mergeCell ref="D395:E395"/>
    <mergeCell ref="A390:B390"/>
    <mergeCell ref="D390:E390"/>
    <mergeCell ref="A391:B391"/>
    <mergeCell ref="D391:E391"/>
    <mergeCell ref="A392:B392"/>
    <mergeCell ref="D392:E392"/>
    <mergeCell ref="A387:B387"/>
    <mergeCell ref="D387:E387"/>
    <mergeCell ref="A388:B388"/>
    <mergeCell ref="D388:E388"/>
    <mergeCell ref="A389:B389"/>
    <mergeCell ref="D389:E389"/>
    <mergeCell ref="A382:B382"/>
    <mergeCell ref="D382:E382"/>
    <mergeCell ref="A383:B383"/>
    <mergeCell ref="D383:E383"/>
    <mergeCell ref="A385:F385"/>
    <mergeCell ref="A386:B386"/>
    <mergeCell ref="D386:E386"/>
    <mergeCell ref="A377:B377"/>
    <mergeCell ref="D377:E377"/>
    <mergeCell ref="A378:B378"/>
    <mergeCell ref="D378:E378"/>
    <mergeCell ref="A380:F380"/>
    <mergeCell ref="A381:B381"/>
    <mergeCell ref="D381:E381"/>
    <mergeCell ref="A374:B374"/>
    <mergeCell ref="D374:E374"/>
    <mergeCell ref="A375:B375"/>
    <mergeCell ref="D375:E375"/>
    <mergeCell ref="A376:B376"/>
    <mergeCell ref="D376:E376"/>
    <mergeCell ref="A370:F370"/>
    <mergeCell ref="A371:B371"/>
    <mergeCell ref="D371:E371"/>
    <mergeCell ref="A372:B372"/>
    <mergeCell ref="D372:E372"/>
    <mergeCell ref="A373:B373"/>
    <mergeCell ref="D373:E373"/>
    <mergeCell ref="A366:B366"/>
    <mergeCell ref="D366:E366"/>
    <mergeCell ref="A367:B367"/>
    <mergeCell ref="D367:E367"/>
    <mergeCell ref="A368:B368"/>
    <mergeCell ref="D368:E368"/>
    <mergeCell ref="A361:B361"/>
    <mergeCell ref="D361:E361"/>
    <mergeCell ref="A363:F363"/>
    <mergeCell ref="A364:B364"/>
    <mergeCell ref="D364:E364"/>
    <mergeCell ref="A365:B365"/>
    <mergeCell ref="D365:E365"/>
    <mergeCell ref="A356:B356"/>
    <mergeCell ref="D356:E356"/>
    <mergeCell ref="A358:F358"/>
    <mergeCell ref="A359:B359"/>
    <mergeCell ref="D359:E359"/>
    <mergeCell ref="A360:B360"/>
    <mergeCell ref="D360:E360"/>
    <mergeCell ref="A353:B353"/>
    <mergeCell ref="D353:E353"/>
    <mergeCell ref="A354:B354"/>
    <mergeCell ref="D354:E354"/>
    <mergeCell ref="A355:B355"/>
    <mergeCell ref="D355:E355"/>
    <mergeCell ref="A350:B350"/>
    <mergeCell ref="D350:E350"/>
    <mergeCell ref="A351:B351"/>
    <mergeCell ref="D351:E351"/>
    <mergeCell ref="A352:B352"/>
    <mergeCell ref="D352:E352"/>
    <mergeCell ref="A345:B345"/>
    <mergeCell ref="D345:E345"/>
    <mergeCell ref="A346:B346"/>
    <mergeCell ref="D346:E346"/>
    <mergeCell ref="A348:F348"/>
    <mergeCell ref="A349:B349"/>
    <mergeCell ref="D349:E349"/>
    <mergeCell ref="A342:B342"/>
    <mergeCell ref="D342:E342"/>
    <mergeCell ref="A343:B343"/>
    <mergeCell ref="D343:E343"/>
    <mergeCell ref="A344:B344"/>
    <mergeCell ref="D344:E344"/>
    <mergeCell ref="A339:B339"/>
    <mergeCell ref="D339:E339"/>
    <mergeCell ref="A340:B340"/>
    <mergeCell ref="D340:E340"/>
    <mergeCell ref="A341:B341"/>
    <mergeCell ref="D341:E341"/>
    <mergeCell ref="A336:B336"/>
    <mergeCell ref="D336:E336"/>
    <mergeCell ref="A337:B337"/>
    <mergeCell ref="D337:E337"/>
    <mergeCell ref="A338:B338"/>
    <mergeCell ref="D338:E338"/>
    <mergeCell ref="A331:B331"/>
    <mergeCell ref="D331:E331"/>
    <mergeCell ref="A332:B332"/>
    <mergeCell ref="D332:E332"/>
    <mergeCell ref="A334:F334"/>
    <mergeCell ref="A335:B335"/>
    <mergeCell ref="D335:E335"/>
    <mergeCell ref="A327:F327"/>
    <mergeCell ref="A328:B328"/>
    <mergeCell ref="D328:E328"/>
    <mergeCell ref="A329:B329"/>
    <mergeCell ref="D329:E329"/>
    <mergeCell ref="A330:B330"/>
    <mergeCell ref="D330:E330"/>
    <mergeCell ref="A323:B323"/>
    <mergeCell ref="D323:E323"/>
    <mergeCell ref="A324:B324"/>
    <mergeCell ref="D324:E324"/>
    <mergeCell ref="A325:B325"/>
    <mergeCell ref="D325:E325"/>
    <mergeCell ref="A318:B318"/>
    <mergeCell ref="D318:E318"/>
    <mergeCell ref="A320:F320"/>
    <mergeCell ref="A321:B321"/>
    <mergeCell ref="D321:E321"/>
    <mergeCell ref="A322:B322"/>
    <mergeCell ref="D322:E322"/>
    <mergeCell ref="A315:B315"/>
    <mergeCell ref="D315:E315"/>
    <mergeCell ref="A316:B316"/>
    <mergeCell ref="D316:E316"/>
    <mergeCell ref="A317:B317"/>
    <mergeCell ref="D317:E317"/>
    <mergeCell ref="A312:B312"/>
    <mergeCell ref="D312:E312"/>
    <mergeCell ref="A313:B313"/>
    <mergeCell ref="D313:E313"/>
    <mergeCell ref="A314:B314"/>
    <mergeCell ref="D314:E314"/>
    <mergeCell ref="A309:B309"/>
    <mergeCell ref="D309:E309"/>
    <mergeCell ref="A310:B310"/>
    <mergeCell ref="D310:E310"/>
    <mergeCell ref="A311:B311"/>
    <mergeCell ref="D311:E311"/>
    <mergeCell ref="A306:B306"/>
    <mergeCell ref="D306:E306"/>
    <mergeCell ref="A307:B307"/>
    <mergeCell ref="D307:E307"/>
    <mergeCell ref="A308:B308"/>
    <mergeCell ref="D308:E308"/>
    <mergeCell ref="A301:B301"/>
    <mergeCell ref="D301:E301"/>
    <mergeCell ref="A302:B302"/>
    <mergeCell ref="D302:E302"/>
    <mergeCell ref="A304:F304"/>
    <mergeCell ref="A305:B305"/>
    <mergeCell ref="D305:E305"/>
    <mergeCell ref="A298:B298"/>
    <mergeCell ref="D298:E298"/>
    <mergeCell ref="A299:B299"/>
    <mergeCell ref="D299:E299"/>
    <mergeCell ref="A300:B300"/>
    <mergeCell ref="D300:E300"/>
    <mergeCell ref="A293:B293"/>
    <mergeCell ref="D293:E293"/>
    <mergeCell ref="A294:B294"/>
    <mergeCell ref="D294:E294"/>
    <mergeCell ref="A296:F296"/>
    <mergeCell ref="A297:B297"/>
    <mergeCell ref="D297:E297"/>
    <mergeCell ref="A290:B290"/>
    <mergeCell ref="D290:E290"/>
    <mergeCell ref="A291:B291"/>
    <mergeCell ref="D291:E291"/>
    <mergeCell ref="A292:B292"/>
    <mergeCell ref="D292:E292"/>
    <mergeCell ref="A285:B285"/>
    <mergeCell ref="D285:E285"/>
    <mergeCell ref="A286:B286"/>
    <mergeCell ref="D286:E286"/>
    <mergeCell ref="A288:F288"/>
    <mergeCell ref="A289:B289"/>
    <mergeCell ref="D289:E289"/>
    <mergeCell ref="A282:B282"/>
    <mergeCell ref="D282:E282"/>
    <mergeCell ref="A283:B283"/>
    <mergeCell ref="D283:E283"/>
    <mergeCell ref="A284:B284"/>
    <mergeCell ref="D284:E284"/>
    <mergeCell ref="A277:B277"/>
    <mergeCell ref="D277:E277"/>
    <mergeCell ref="A278:B278"/>
    <mergeCell ref="D278:E278"/>
    <mergeCell ref="A280:F280"/>
    <mergeCell ref="A281:B281"/>
    <mergeCell ref="D281:E281"/>
    <mergeCell ref="A272:B272"/>
    <mergeCell ref="D272:E272"/>
    <mergeCell ref="A273:B273"/>
    <mergeCell ref="D273:E273"/>
    <mergeCell ref="A275:F275"/>
    <mergeCell ref="A276:B276"/>
    <mergeCell ref="D276:E276"/>
    <mergeCell ref="A267:B267"/>
    <mergeCell ref="D267:E267"/>
    <mergeCell ref="A269:F269"/>
    <mergeCell ref="A270:B270"/>
    <mergeCell ref="D270:E270"/>
    <mergeCell ref="A271:B271"/>
    <mergeCell ref="D271:E271"/>
    <mergeCell ref="A264:B264"/>
    <mergeCell ref="D264:E264"/>
    <mergeCell ref="A265:B265"/>
    <mergeCell ref="D265:E265"/>
    <mergeCell ref="A266:B266"/>
    <mergeCell ref="D266:E266"/>
    <mergeCell ref="A261:B261"/>
    <mergeCell ref="D261:E261"/>
    <mergeCell ref="A262:B262"/>
    <mergeCell ref="D262:E262"/>
    <mergeCell ref="A263:B263"/>
    <mergeCell ref="D263:E263"/>
    <mergeCell ref="A256:B256"/>
    <mergeCell ref="D256:E256"/>
    <mergeCell ref="A258:F258"/>
    <mergeCell ref="A259:B259"/>
    <mergeCell ref="D259:E259"/>
    <mergeCell ref="A260:B260"/>
    <mergeCell ref="D260:E260"/>
    <mergeCell ref="A251:B251"/>
    <mergeCell ref="D251:E251"/>
    <mergeCell ref="A253:F253"/>
    <mergeCell ref="A254:B254"/>
    <mergeCell ref="D254:E254"/>
    <mergeCell ref="A255:B255"/>
    <mergeCell ref="D255:E255"/>
    <mergeCell ref="A246:B246"/>
    <mergeCell ref="D246:E246"/>
    <mergeCell ref="A248:F248"/>
    <mergeCell ref="A249:B249"/>
    <mergeCell ref="D249:E249"/>
    <mergeCell ref="A250:B250"/>
    <mergeCell ref="D250:E250"/>
    <mergeCell ref="A243:B243"/>
    <mergeCell ref="D243:E243"/>
    <mergeCell ref="A244:B244"/>
    <mergeCell ref="D244:E244"/>
    <mergeCell ref="A245:B245"/>
    <mergeCell ref="D245:E245"/>
    <mergeCell ref="A238:B238"/>
    <mergeCell ref="D238:E238"/>
    <mergeCell ref="A240:F240"/>
    <mergeCell ref="A241:B241"/>
    <mergeCell ref="D241:E241"/>
    <mergeCell ref="A242:B242"/>
    <mergeCell ref="D242:E242"/>
    <mergeCell ref="A233:B233"/>
    <mergeCell ref="D233:E233"/>
    <mergeCell ref="A235:F235"/>
    <mergeCell ref="A236:B236"/>
    <mergeCell ref="D236:E236"/>
    <mergeCell ref="A237:B237"/>
    <mergeCell ref="D237:E237"/>
    <mergeCell ref="A230:B230"/>
    <mergeCell ref="D230:E230"/>
    <mergeCell ref="A231:B231"/>
    <mergeCell ref="D231:E231"/>
    <mergeCell ref="A232:B232"/>
    <mergeCell ref="D232:E232"/>
    <mergeCell ref="A225:B225"/>
    <mergeCell ref="D225:E225"/>
    <mergeCell ref="A227:F227"/>
    <mergeCell ref="A228:B228"/>
    <mergeCell ref="D228:E228"/>
    <mergeCell ref="A229:B229"/>
    <mergeCell ref="D229:E229"/>
    <mergeCell ref="A222:B222"/>
    <mergeCell ref="D222:E222"/>
    <mergeCell ref="A223:B223"/>
    <mergeCell ref="D223:E223"/>
    <mergeCell ref="A224:B224"/>
    <mergeCell ref="D224:E224"/>
    <mergeCell ref="A219:B219"/>
    <mergeCell ref="D219:E219"/>
    <mergeCell ref="A220:B220"/>
    <mergeCell ref="D220:E220"/>
    <mergeCell ref="A221:B221"/>
    <mergeCell ref="D221:E221"/>
    <mergeCell ref="A216:B216"/>
    <mergeCell ref="D216:E216"/>
    <mergeCell ref="A217:B217"/>
    <mergeCell ref="D217:E217"/>
    <mergeCell ref="A218:B218"/>
    <mergeCell ref="D218:E218"/>
    <mergeCell ref="A211:B211"/>
    <mergeCell ref="D211:E211"/>
    <mergeCell ref="A213:F213"/>
    <mergeCell ref="A214:B214"/>
    <mergeCell ref="D214:E214"/>
    <mergeCell ref="A215:B215"/>
    <mergeCell ref="D215:E215"/>
    <mergeCell ref="A206:B206"/>
    <mergeCell ref="D206:E206"/>
    <mergeCell ref="A208:F208"/>
    <mergeCell ref="A209:B209"/>
    <mergeCell ref="D209:E209"/>
    <mergeCell ref="A210:B210"/>
    <mergeCell ref="D210:E210"/>
    <mergeCell ref="A201:B201"/>
    <mergeCell ref="D201:E201"/>
    <mergeCell ref="A203:F203"/>
    <mergeCell ref="A204:B204"/>
    <mergeCell ref="D204:E204"/>
    <mergeCell ref="A205:B205"/>
    <mergeCell ref="D205:E205"/>
    <mergeCell ref="A196:B196"/>
    <mergeCell ref="D196:E196"/>
    <mergeCell ref="A198:F198"/>
    <mergeCell ref="A199:B199"/>
    <mergeCell ref="D199:E199"/>
    <mergeCell ref="A200:B200"/>
    <mergeCell ref="D200:E200"/>
    <mergeCell ref="A193:B193"/>
    <mergeCell ref="D193:E193"/>
    <mergeCell ref="A194:B194"/>
    <mergeCell ref="D194:E194"/>
    <mergeCell ref="A195:B195"/>
    <mergeCell ref="D195:E195"/>
    <mergeCell ref="A188:B188"/>
    <mergeCell ref="D188:E188"/>
    <mergeCell ref="A190:F190"/>
    <mergeCell ref="A191:B191"/>
    <mergeCell ref="D191:E191"/>
    <mergeCell ref="A192:B192"/>
    <mergeCell ref="D192:E192"/>
    <mergeCell ref="A185:B185"/>
    <mergeCell ref="D185:E185"/>
    <mergeCell ref="A186:B186"/>
    <mergeCell ref="D186:E186"/>
    <mergeCell ref="A187:B187"/>
    <mergeCell ref="D187:E187"/>
    <mergeCell ref="A182:B182"/>
    <mergeCell ref="D182:E182"/>
    <mergeCell ref="A183:B183"/>
    <mergeCell ref="D183:E183"/>
    <mergeCell ref="A184:B184"/>
    <mergeCell ref="D184:E184"/>
    <mergeCell ref="A179:B179"/>
    <mergeCell ref="D179:E179"/>
    <mergeCell ref="A180:B180"/>
    <mergeCell ref="D180:E180"/>
    <mergeCell ref="A181:B181"/>
    <mergeCell ref="D181:E181"/>
    <mergeCell ref="A176:B176"/>
    <mergeCell ref="D176:E176"/>
    <mergeCell ref="A177:B177"/>
    <mergeCell ref="D177:E177"/>
    <mergeCell ref="A178:B178"/>
    <mergeCell ref="D178:E178"/>
    <mergeCell ref="A173:B173"/>
    <mergeCell ref="D173:E173"/>
    <mergeCell ref="A174:B174"/>
    <mergeCell ref="D174:E174"/>
    <mergeCell ref="A175:B175"/>
    <mergeCell ref="D175:E175"/>
    <mergeCell ref="A168:B168"/>
    <mergeCell ref="D168:E168"/>
    <mergeCell ref="A169:B169"/>
    <mergeCell ref="D169:E169"/>
    <mergeCell ref="A171:F171"/>
    <mergeCell ref="A172:B172"/>
    <mergeCell ref="D172:E172"/>
    <mergeCell ref="A165:B165"/>
    <mergeCell ref="D165:E165"/>
    <mergeCell ref="A166:B166"/>
    <mergeCell ref="D166:E166"/>
    <mergeCell ref="A167:B167"/>
    <mergeCell ref="D167:E167"/>
    <mergeCell ref="A162:B162"/>
    <mergeCell ref="D162:E162"/>
    <mergeCell ref="A163:B163"/>
    <mergeCell ref="D163:E163"/>
    <mergeCell ref="A164:B164"/>
    <mergeCell ref="D164:E164"/>
    <mergeCell ref="A158:F158"/>
    <mergeCell ref="A159:B159"/>
    <mergeCell ref="D159:E159"/>
    <mergeCell ref="A160:B160"/>
    <mergeCell ref="D160:E160"/>
    <mergeCell ref="A161:B161"/>
    <mergeCell ref="D161:E161"/>
    <mergeCell ref="A154:B154"/>
    <mergeCell ref="D154:E154"/>
    <mergeCell ref="A155:B155"/>
    <mergeCell ref="D155:E155"/>
    <mergeCell ref="A156:B156"/>
    <mergeCell ref="D156:E156"/>
    <mergeCell ref="A151:B151"/>
    <mergeCell ref="D151:E151"/>
    <mergeCell ref="A152:B152"/>
    <mergeCell ref="D152:E152"/>
    <mergeCell ref="A153:B153"/>
    <mergeCell ref="D153:E153"/>
    <mergeCell ref="A148:B148"/>
    <mergeCell ref="D148:E148"/>
    <mergeCell ref="A149:B149"/>
    <mergeCell ref="D149:E149"/>
    <mergeCell ref="A150:B150"/>
    <mergeCell ref="D150:E150"/>
    <mergeCell ref="A143:B143"/>
    <mergeCell ref="D143:E143"/>
    <mergeCell ref="A145:F145"/>
    <mergeCell ref="A146:B146"/>
    <mergeCell ref="D146:E146"/>
    <mergeCell ref="A147:B147"/>
    <mergeCell ref="D147:E147"/>
    <mergeCell ref="A140:B140"/>
    <mergeCell ref="D140:E140"/>
    <mergeCell ref="A141:B141"/>
    <mergeCell ref="D141:E141"/>
    <mergeCell ref="A142:B142"/>
    <mergeCell ref="D142:E142"/>
    <mergeCell ref="A137:B137"/>
    <mergeCell ref="D137:E137"/>
    <mergeCell ref="A138:B138"/>
    <mergeCell ref="D138:E138"/>
    <mergeCell ref="A139:B139"/>
    <mergeCell ref="D139:E139"/>
    <mergeCell ref="A134:B134"/>
    <mergeCell ref="D134:E134"/>
    <mergeCell ref="A135:B135"/>
    <mergeCell ref="D135:E135"/>
    <mergeCell ref="A136:B136"/>
    <mergeCell ref="D136:E136"/>
    <mergeCell ref="A129:B129"/>
    <mergeCell ref="D129:E129"/>
    <mergeCell ref="A131:F131"/>
    <mergeCell ref="A132:B132"/>
    <mergeCell ref="D132:E132"/>
    <mergeCell ref="A133:B133"/>
    <mergeCell ref="D133:E133"/>
    <mergeCell ref="A125:F125"/>
    <mergeCell ref="A126:B126"/>
    <mergeCell ref="D126:E126"/>
    <mergeCell ref="A127:B127"/>
    <mergeCell ref="D127:E127"/>
    <mergeCell ref="A128:B128"/>
    <mergeCell ref="D128:E128"/>
    <mergeCell ref="A120:F120"/>
    <mergeCell ref="A121:B121"/>
    <mergeCell ref="D121:E121"/>
    <mergeCell ref="A122:B122"/>
    <mergeCell ref="D122:E122"/>
    <mergeCell ref="A123:B123"/>
    <mergeCell ref="D123:E123"/>
    <mergeCell ref="A116:B116"/>
    <mergeCell ref="D116:E116"/>
    <mergeCell ref="A117:B117"/>
    <mergeCell ref="D117:E117"/>
    <mergeCell ref="A118:B118"/>
    <mergeCell ref="D118:E118"/>
    <mergeCell ref="A111:B111"/>
    <mergeCell ref="D111:E111"/>
    <mergeCell ref="A113:F113"/>
    <mergeCell ref="A114:B114"/>
    <mergeCell ref="D114:E114"/>
    <mergeCell ref="A115:B115"/>
    <mergeCell ref="D115:E115"/>
    <mergeCell ref="A108:B108"/>
    <mergeCell ref="D108:E108"/>
    <mergeCell ref="A109:B109"/>
    <mergeCell ref="D109:E109"/>
    <mergeCell ref="A110:B110"/>
    <mergeCell ref="D110:E110"/>
    <mergeCell ref="A103:B103"/>
    <mergeCell ref="D103:E103"/>
    <mergeCell ref="A104:B104"/>
    <mergeCell ref="D104:E104"/>
    <mergeCell ref="A106:F106"/>
    <mergeCell ref="A107:B107"/>
    <mergeCell ref="D107:E107"/>
    <mergeCell ref="A98:B98"/>
    <mergeCell ref="D98:E98"/>
    <mergeCell ref="A99:B99"/>
    <mergeCell ref="D99:E99"/>
    <mergeCell ref="A101:F101"/>
    <mergeCell ref="A102:B102"/>
    <mergeCell ref="D102:E102"/>
    <mergeCell ref="A95:B95"/>
    <mergeCell ref="D95:E95"/>
    <mergeCell ref="A96:B96"/>
    <mergeCell ref="D96:E96"/>
    <mergeCell ref="A97:B97"/>
    <mergeCell ref="D97:E97"/>
    <mergeCell ref="A90:B90"/>
    <mergeCell ref="D90:E90"/>
    <mergeCell ref="A91:B91"/>
    <mergeCell ref="D91:E91"/>
    <mergeCell ref="A93:F93"/>
    <mergeCell ref="A94:B94"/>
    <mergeCell ref="D94:E94"/>
    <mergeCell ref="A87:B87"/>
    <mergeCell ref="D87:E87"/>
    <mergeCell ref="A88:B88"/>
    <mergeCell ref="D88:E88"/>
    <mergeCell ref="A89:B89"/>
    <mergeCell ref="D89:E89"/>
    <mergeCell ref="A82:B82"/>
    <mergeCell ref="D82:E82"/>
    <mergeCell ref="A84:F84"/>
    <mergeCell ref="A85:B85"/>
    <mergeCell ref="D85:E85"/>
    <mergeCell ref="A86:B86"/>
    <mergeCell ref="D86:E86"/>
    <mergeCell ref="A77:B77"/>
    <mergeCell ref="D77:E77"/>
    <mergeCell ref="A79:F79"/>
    <mergeCell ref="A80:B80"/>
    <mergeCell ref="D80:E80"/>
    <mergeCell ref="A81:B81"/>
    <mergeCell ref="D81:E81"/>
    <mergeCell ref="A74:B74"/>
    <mergeCell ref="D74:E74"/>
    <mergeCell ref="A75:B75"/>
    <mergeCell ref="D75:E75"/>
    <mergeCell ref="A76:B76"/>
    <mergeCell ref="D76:E76"/>
    <mergeCell ref="A71:B71"/>
    <mergeCell ref="D71:E71"/>
    <mergeCell ref="A72:B72"/>
    <mergeCell ref="D72:E72"/>
    <mergeCell ref="A73:B73"/>
    <mergeCell ref="D73:E73"/>
    <mergeCell ref="A66:B66"/>
    <mergeCell ref="D66:E66"/>
    <mergeCell ref="A68:F68"/>
    <mergeCell ref="A69:B69"/>
    <mergeCell ref="D69:E69"/>
    <mergeCell ref="A70:B70"/>
    <mergeCell ref="D70:E70"/>
    <mergeCell ref="A61:B61"/>
    <mergeCell ref="D61:E61"/>
    <mergeCell ref="A63:F63"/>
    <mergeCell ref="A64:B64"/>
    <mergeCell ref="D64:E64"/>
    <mergeCell ref="A65:B65"/>
    <mergeCell ref="D65:E65"/>
    <mergeCell ref="A58:B58"/>
    <mergeCell ref="D58:E58"/>
    <mergeCell ref="A59:B59"/>
    <mergeCell ref="D59:E59"/>
    <mergeCell ref="A60:B60"/>
    <mergeCell ref="D60:E60"/>
    <mergeCell ref="A55:B55"/>
    <mergeCell ref="D55:E55"/>
    <mergeCell ref="A56:B56"/>
    <mergeCell ref="D56:E56"/>
    <mergeCell ref="A57:B57"/>
    <mergeCell ref="D57:E57"/>
    <mergeCell ref="A50:B50"/>
    <mergeCell ref="D50:E50"/>
    <mergeCell ref="A52:F52"/>
    <mergeCell ref="A53:B53"/>
    <mergeCell ref="D53:E53"/>
    <mergeCell ref="A54:B54"/>
    <mergeCell ref="D54:E54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A39:B39"/>
    <mergeCell ref="D39:E39"/>
    <mergeCell ref="A41:F41"/>
    <mergeCell ref="A42:B42"/>
    <mergeCell ref="D42:E42"/>
    <mergeCell ref="A43:B43"/>
    <mergeCell ref="D43:E43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30:B30"/>
    <mergeCell ref="D30:E30"/>
    <mergeCell ref="A31:B31"/>
    <mergeCell ref="D31:E31"/>
    <mergeCell ref="A32:B32"/>
    <mergeCell ref="D32:E32"/>
    <mergeCell ref="A25:B25"/>
    <mergeCell ref="D25:E25"/>
    <mergeCell ref="A26:B26"/>
    <mergeCell ref="D26:E26"/>
    <mergeCell ref="A28:F28"/>
    <mergeCell ref="A29:B29"/>
    <mergeCell ref="D29:E29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B5:F5"/>
    <mergeCell ref="A6:B6"/>
    <mergeCell ref="D6:E6"/>
    <mergeCell ref="A8:F8"/>
    <mergeCell ref="A9:B9"/>
    <mergeCell ref="D9:E9"/>
  </mergeCells>
  <printOptions horizontalCentered="1"/>
  <pageMargins left="1.1811023622047245" right="0.59055118110236227" top="0.59055118110236227" bottom="0.39370078740157483" header="0.19685039370078741" footer="0.19685039370078741"/>
  <pageSetup scale="80" pageOrder="overThenDown" orientation="portrait" verticalDpi="0" r:id="rId1"/>
  <headerFooter>
    <oddFooter>&amp;R&amp;P</oddFooter>
  </headerFooter>
  <rowBreaks count="2" manualBreakCount="2">
    <brk id="705" max="16383" man="1"/>
    <brk id="1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2"/>
  <sheetViews>
    <sheetView zoomScaleNormal="100" zoomScalePageLayoutView="70" workbookViewId="0">
      <selection activeCell="C174" sqref="C174:C175"/>
    </sheetView>
  </sheetViews>
  <sheetFormatPr defaultRowHeight="12.75" x14ac:dyDescent="0.2"/>
  <cols>
    <col min="1" max="1" width="3.28515625" style="131" customWidth="1"/>
    <col min="2" max="2" width="10.85546875" style="197" customWidth="1"/>
    <col min="3" max="3" width="36" style="144" customWidth="1"/>
    <col min="4" max="4" width="3.42578125" style="144" customWidth="1"/>
    <col min="5" max="5" width="11.28515625" style="144" customWidth="1"/>
    <col min="6" max="6" width="9.85546875" style="131" customWidth="1"/>
    <col min="7" max="7" width="10.7109375" style="131" customWidth="1"/>
    <col min="8" max="8" width="11.7109375" style="131" customWidth="1"/>
    <col min="9" max="9" width="12.140625" style="131" customWidth="1"/>
    <col min="10" max="11" width="11.5703125" style="131" customWidth="1"/>
    <col min="12" max="12" width="11.140625" style="131" customWidth="1"/>
    <col min="13" max="13" width="12.140625" style="131" customWidth="1"/>
    <col min="14" max="14" width="11.42578125" style="131" customWidth="1"/>
    <col min="15" max="15" width="12.140625" style="131" customWidth="1"/>
    <col min="16" max="16" width="12.28515625" style="131" customWidth="1"/>
    <col min="17" max="17" width="11.140625" style="131" customWidth="1"/>
    <col min="18" max="18" width="11.28515625" style="131" customWidth="1"/>
    <col min="19" max="19" width="11.7109375" style="131" customWidth="1"/>
    <col min="20" max="20" width="11.42578125" style="131" customWidth="1"/>
    <col min="21" max="21" width="11.28515625" style="131" customWidth="1"/>
    <col min="22" max="22" width="12" style="131" customWidth="1"/>
    <col min="23" max="23" width="12.85546875" style="131" customWidth="1"/>
    <col min="24" max="254" width="9.140625" style="131"/>
    <col min="255" max="255" width="3.28515625" style="131" customWidth="1"/>
    <col min="256" max="256" width="10.7109375" style="131" customWidth="1"/>
    <col min="257" max="257" width="25.85546875" style="131" customWidth="1"/>
    <col min="258" max="258" width="3.42578125" style="131" customWidth="1"/>
    <col min="259" max="259" width="13.42578125" style="131" customWidth="1"/>
    <col min="260" max="260" width="10.85546875" style="131" customWidth="1"/>
    <col min="261" max="261" width="12.140625" style="131" customWidth="1"/>
    <col min="262" max="263" width="0" style="131" hidden="1" customWidth="1"/>
    <col min="264" max="264" width="12.5703125" style="131" customWidth="1"/>
    <col min="265" max="265" width="12.28515625" style="131" customWidth="1"/>
    <col min="266" max="266" width="12.140625" style="131" customWidth="1"/>
    <col min="267" max="267" width="12.5703125" style="131" customWidth="1"/>
    <col min="268" max="268" width="12.42578125" style="131" customWidth="1"/>
    <col min="269" max="269" width="13.28515625" style="131" customWidth="1"/>
    <col min="270" max="270" width="12.140625" style="131" customWidth="1"/>
    <col min="271" max="271" width="12.28515625" style="131" customWidth="1"/>
    <col min="272" max="272" width="12.5703125" style="131" customWidth="1"/>
    <col min="273" max="273" width="12.7109375" style="131" customWidth="1"/>
    <col min="274" max="275" width="12.28515625" style="131" customWidth="1"/>
    <col min="276" max="276" width="12.42578125" style="131" customWidth="1"/>
    <col min="277" max="277" width="12.28515625" style="131" customWidth="1"/>
    <col min="278" max="278" width="13.28515625" style="131" customWidth="1"/>
    <col min="279" max="279" width="13.42578125" style="131" customWidth="1"/>
    <col min="280" max="510" width="9.140625" style="131"/>
    <col min="511" max="511" width="3.28515625" style="131" customWidth="1"/>
    <col min="512" max="512" width="10.7109375" style="131" customWidth="1"/>
    <col min="513" max="513" width="25.85546875" style="131" customWidth="1"/>
    <col min="514" max="514" width="3.42578125" style="131" customWidth="1"/>
    <col min="515" max="515" width="13.42578125" style="131" customWidth="1"/>
    <col min="516" max="516" width="10.85546875" style="131" customWidth="1"/>
    <col min="517" max="517" width="12.140625" style="131" customWidth="1"/>
    <col min="518" max="519" width="0" style="131" hidden="1" customWidth="1"/>
    <col min="520" max="520" width="12.5703125" style="131" customWidth="1"/>
    <col min="521" max="521" width="12.28515625" style="131" customWidth="1"/>
    <col min="522" max="522" width="12.140625" style="131" customWidth="1"/>
    <col min="523" max="523" width="12.5703125" style="131" customWidth="1"/>
    <col min="524" max="524" width="12.42578125" style="131" customWidth="1"/>
    <col min="525" max="525" width="13.28515625" style="131" customWidth="1"/>
    <col min="526" max="526" width="12.140625" style="131" customWidth="1"/>
    <col min="527" max="527" width="12.28515625" style="131" customWidth="1"/>
    <col min="528" max="528" width="12.5703125" style="131" customWidth="1"/>
    <col min="529" max="529" width="12.7109375" style="131" customWidth="1"/>
    <col min="530" max="531" width="12.28515625" style="131" customWidth="1"/>
    <col min="532" max="532" width="12.42578125" style="131" customWidth="1"/>
    <col min="533" max="533" width="12.28515625" style="131" customWidth="1"/>
    <col min="534" max="534" width="13.28515625" style="131" customWidth="1"/>
    <col min="535" max="535" width="13.42578125" style="131" customWidth="1"/>
    <col min="536" max="766" width="9.140625" style="131"/>
    <col min="767" max="767" width="3.28515625" style="131" customWidth="1"/>
    <col min="768" max="768" width="10.7109375" style="131" customWidth="1"/>
    <col min="769" max="769" width="25.85546875" style="131" customWidth="1"/>
    <col min="770" max="770" width="3.42578125" style="131" customWidth="1"/>
    <col min="771" max="771" width="13.42578125" style="131" customWidth="1"/>
    <col min="772" max="772" width="10.85546875" style="131" customWidth="1"/>
    <col min="773" max="773" width="12.140625" style="131" customWidth="1"/>
    <col min="774" max="775" width="0" style="131" hidden="1" customWidth="1"/>
    <col min="776" max="776" width="12.5703125" style="131" customWidth="1"/>
    <col min="777" max="777" width="12.28515625" style="131" customWidth="1"/>
    <col min="778" max="778" width="12.140625" style="131" customWidth="1"/>
    <col min="779" max="779" width="12.5703125" style="131" customWidth="1"/>
    <col min="780" max="780" width="12.42578125" style="131" customWidth="1"/>
    <col min="781" max="781" width="13.28515625" style="131" customWidth="1"/>
    <col min="782" max="782" width="12.140625" style="131" customWidth="1"/>
    <col min="783" max="783" width="12.28515625" style="131" customWidth="1"/>
    <col min="784" max="784" width="12.5703125" style="131" customWidth="1"/>
    <col min="785" max="785" width="12.7109375" style="131" customWidth="1"/>
    <col min="786" max="787" width="12.28515625" style="131" customWidth="1"/>
    <col min="788" max="788" width="12.42578125" style="131" customWidth="1"/>
    <col min="789" max="789" width="12.28515625" style="131" customWidth="1"/>
    <col min="790" max="790" width="13.28515625" style="131" customWidth="1"/>
    <col min="791" max="791" width="13.42578125" style="131" customWidth="1"/>
    <col min="792" max="1022" width="9.140625" style="131"/>
    <col min="1023" max="1023" width="3.28515625" style="131" customWidth="1"/>
    <col min="1024" max="1024" width="10.7109375" style="131" customWidth="1"/>
    <col min="1025" max="1025" width="25.85546875" style="131" customWidth="1"/>
    <col min="1026" max="1026" width="3.42578125" style="131" customWidth="1"/>
    <col min="1027" max="1027" width="13.42578125" style="131" customWidth="1"/>
    <col min="1028" max="1028" width="10.85546875" style="131" customWidth="1"/>
    <col min="1029" max="1029" width="12.140625" style="131" customWidth="1"/>
    <col min="1030" max="1031" width="0" style="131" hidden="1" customWidth="1"/>
    <col min="1032" max="1032" width="12.5703125" style="131" customWidth="1"/>
    <col min="1033" max="1033" width="12.28515625" style="131" customWidth="1"/>
    <col min="1034" max="1034" width="12.140625" style="131" customWidth="1"/>
    <col min="1035" max="1035" width="12.5703125" style="131" customWidth="1"/>
    <col min="1036" max="1036" width="12.42578125" style="131" customWidth="1"/>
    <col min="1037" max="1037" width="13.28515625" style="131" customWidth="1"/>
    <col min="1038" max="1038" width="12.140625" style="131" customWidth="1"/>
    <col min="1039" max="1039" width="12.28515625" style="131" customWidth="1"/>
    <col min="1040" max="1040" width="12.5703125" style="131" customWidth="1"/>
    <col min="1041" max="1041" width="12.7109375" style="131" customWidth="1"/>
    <col min="1042" max="1043" width="12.28515625" style="131" customWidth="1"/>
    <col min="1044" max="1044" width="12.42578125" style="131" customWidth="1"/>
    <col min="1045" max="1045" width="12.28515625" style="131" customWidth="1"/>
    <col min="1046" max="1046" width="13.28515625" style="131" customWidth="1"/>
    <col min="1047" max="1047" width="13.42578125" style="131" customWidth="1"/>
    <col min="1048" max="1278" width="9.140625" style="131"/>
    <col min="1279" max="1279" width="3.28515625" style="131" customWidth="1"/>
    <col min="1280" max="1280" width="10.7109375" style="131" customWidth="1"/>
    <col min="1281" max="1281" width="25.85546875" style="131" customWidth="1"/>
    <col min="1282" max="1282" width="3.42578125" style="131" customWidth="1"/>
    <col min="1283" max="1283" width="13.42578125" style="131" customWidth="1"/>
    <col min="1284" max="1284" width="10.85546875" style="131" customWidth="1"/>
    <col min="1285" max="1285" width="12.140625" style="131" customWidth="1"/>
    <col min="1286" max="1287" width="0" style="131" hidden="1" customWidth="1"/>
    <col min="1288" max="1288" width="12.5703125" style="131" customWidth="1"/>
    <col min="1289" max="1289" width="12.28515625" style="131" customWidth="1"/>
    <col min="1290" max="1290" width="12.140625" style="131" customWidth="1"/>
    <col min="1291" max="1291" width="12.5703125" style="131" customWidth="1"/>
    <col min="1292" max="1292" width="12.42578125" style="131" customWidth="1"/>
    <col min="1293" max="1293" width="13.28515625" style="131" customWidth="1"/>
    <col min="1294" max="1294" width="12.140625" style="131" customWidth="1"/>
    <col min="1295" max="1295" width="12.28515625" style="131" customWidth="1"/>
    <col min="1296" max="1296" width="12.5703125" style="131" customWidth="1"/>
    <col min="1297" max="1297" width="12.7109375" style="131" customWidth="1"/>
    <col min="1298" max="1299" width="12.28515625" style="131" customWidth="1"/>
    <col min="1300" max="1300" width="12.42578125" style="131" customWidth="1"/>
    <col min="1301" max="1301" width="12.28515625" style="131" customWidth="1"/>
    <col min="1302" max="1302" width="13.28515625" style="131" customWidth="1"/>
    <col min="1303" max="1303" width="13.42578125" style="131" customWidth="1"/>
    <col min="1304" max="1534" width="9.140625" style="131"/>
    <col min="1535" max="1535" width="3.28515625" style="131" customWidth="1"/>
    <col min="1536" max="1536" width="10.7109375" style="131" customWidth="1"/>
    <col min="1537" max="1537" width="25.85546875" style="131" customWidth="1"/>
    <col min="1538" max="1538" width="3.42578125" style="131" customWidth="1"/>
    <col min="1539" max="1539" width="13.42578125" style="131" customWidth="1"/>
    <col min="1540" max="1540" width="10.85546875" style="131" customWidth="1"/>
    <col min="1541" max="1541" width="12.140625" style="131" customWidth="1"/>
    <col min="1542" max="1543" width="0" style="131" hidden="1" customWidth="1"/>
    <col min="1544" max="1544" width="12.5703125" style="131" customWidth="1"/>
    <col min="1545" max="1545" width="12.28515625" style="131" customWidth="1"/>
    <col min="1546" max="1546" width="12.140625" style="131" customWidth="1"/>
    <col min="1547" max="1547" width="12.5703125" style="131" customWidth="1"/>
    <col min="1548" max="1548" width="12.42578125" style="131" customWidth="1"/>
    <col min="1549" max="1549" width="13.28515625" style="131" customWidth="1"/>
    <col min="1550" max="1550" width="12.140625" style="131" customWidth="1"/>
    <col min="1551" max="1551" width="12.28515625" style="131" customWidth="1"/>
    <col min="1552" max="1552" width="12.5703125" style="131" customWidth="1"/>
    <col min="1553" max="1553" width="12.7109375" style="131" customWidth="1"/>
    <col min="1554" max="1555" width="12.28515625" style="131" customWidth="1"/>
    <col min="1556" max="1556" width="12.42578125" style="131" customWidth="1"/>
    <col min="1557" max="1557" width="12.28515625" style="131" customWidth="1"/>
    <col min="1558" max="1558" width="13.28515625" style="131" customWidth="1"/>
    <col min="1559" max="1559" width="13.42578125" style="131" customWidth="1"/>
    <col min="1560" max="1790" width="9.140625" style="131"/>
    <col min="1791" max="1791" width="3.28515625" style="131" customWidth="1"/>
    <col min="1792" max="1792" width="10.7109375" style="131" customWidth="1"/>
    <col min="1793" max="1793" width="25.85546875" style="131" customWidth="1"/>
    <col min="1794" max="1794" width="3.42578125" style="131" customWidth="1"/>
    <col min="1795" max="1795" width="13.42578125" style="131" customWidth="1"/>
    <col min="1796" max="1796" width="10.85546875" style="131" customWidth="1"/>
    <col min="1797" max="1797" width="12.140625" style="131" customWidth="1"/>
    <col min="1798" max="1799" width="0" style="131" hidden="1" customWidth="1"/>
    <col min="1800" max="1800" width="12.5703125" style="131" customWidth="1"/>
    <col min="1801" max="1801" width="12.28515625" style="131" customWidth="1"/>
    <col min="1802" max="1802" width="12.140625" style="131" customWidth="1"/>
    <col min="1803" max="1803" width="12.5703125" style="131" customWidth="1"/>
    <col min="1804" max="1804" width="12.42578125" style="131" customWidth="1"/>
    <col min="1805" max="1805" width="13.28515625" style="131" customWidth="1"/>
    <col min="1806" max="1806" width="12.140625" style="131" customWidth="1"/>
    <col min="1807" max="1807" width="12.28515625" style="131" customWidth="1"/>
    <col min="1808" max="1808" width="12.5703125" style="131" customWidth="1"/>
    <col min="1809" max="1809" width="12.7109375" style="131" customWidth="1"/>
    <col min="1810" max="1811" width="12.28515625" style="131" customWidth="1"/>
    <col min="1812" max="1812" width="12.42578125" style="131" customWidth="1"/>
    <col min="1813" max="1813" width="12.28515625" style="131" customWidth="1"/>
    <col min="1814" max="1814" width="13.28515625" style="131" customWidth="1"/>
    <col min="1815" max="1815" width="13.42578125" style="131" customWidth="1"/>
    <col min="1816" max="2046" width="9.140625" style="131"/>
    <col min="2047" max="2047" width="3.28515625" style="131" customWidth="1"/>
    <col min="2048" max="2048" width="10.7109375" style="131" customWidth="1"/>
    <col min="2049" max="2049" width="25.85546875" style="131" customWidth="1"/>
    <col min="2050" max="2050" width="3.42578125" style="131" customWidth="1"/>
    <col min="2051" max="2051" width="13.42578125" style="131" customWidth="1"/>
    <col min="2052" max="2052" width="10.85546875" style="131" customWidth="1"/>
    <col min="2053" max="2053" width="12.140625" style="131" customWidth="1"/>
    <col min="2054" max="2055" width="0" style="131" hidden="1" customWidth="1"/>
    <col min="2056" max="2056" width="12.5703125" style="131" customWidth="1"/>
    <col min="2057" max="2057" width="12.28515625" style="131" customWidth="1"/>
    <col min="2058" max="2058" width="12.140625" style="131" customWidth="1"/>
    <col min="2059" max="2059" width="12.5703125" style="131" customWidth="1"/>
    <col min="2060" max="2060" width="12.42578125" style="131" customWidth="1"/>
    <col min="2061" max="2061" width="13.28515625" style="131" customWidth="1"/>
    <col min="2062" max="2062" width="12.140625" style="131" customWidth="1"/>
    <col min="2063" max="2063" width="12.28515625" style="131" customWidth="1"/>
    <col min="2064" max="2064" width="12.5703125" style="131" customWidth="1"/>
    <col min="2065" max="2065" width="12.7109375" style="131" customWidth="1"/>
    <col min="2066" max="2067" width="12.28515625" style="131" customWidth="1"/>
    <col min="2068" max="2068" width="12.42578125" style="131" customWidth="1"/>
    <col min="2069" max="2069" width="12.28515625" style="131" customWidth="1"/>
    <col min="2070" max="2070" width="13.28515625" style="131" customWidth="1"/>
    <col min="2071" max="2071" width="13.42578125" style="131" customWidth="1"/>
    <col min="2072" max="2302" width="9.140625" style="131"/>
    <col min="2303" max="2303" width="3.28515625" style="131" customWidth="1"/>
    <col min="2304" max="2304" width="10.7109375" style="131" customWidth="1"/>
    <col min="2305" max="2305" width="25.85546875" style="131" customWidth="1"/>
    <col min="2306" max="2306" width="3.42578125" style="131" customWidth="1"/>
    <col min="2307" max="2307" width="13.42578125" style="131" customWidth="1"/>
    <col min="2308" max="2308" width="10.85546875" style="131" customWidth="1"/>
    <col min="2309" max="2309" width="12.140625" style="131" customWidth="1"/>
    <col min="2310" max="2311" width="0" style="131" hidden="1" customWidth="1"/>
    <col min="2312" max="2312" width="12.5703125" style="131" customWidth="1"/>
    <col min="2313" max="2313" width="12.28515625" style="131" customWidth="1"/>
    <col min="2314" max="2314" width="12.140625" style="131" customWidth="1"/>
    <col min="2315" max="2315" width="12.5703125" style="131" customWidth="1"/>
    <col min="2316" max="2316" width="12.42578125" style="131" customWidth="1"/>
    <col min="2317" max="2317" width="13.28515625" style="131" customWidth="1"/>
    <col min="2318" max="2318" width="12.140625" style="131" customWidth="1"/>
    <col min="2319" max="2319" width="12.28515625" style="131" customWidth="1"/>
    <col min="2320" max="2320" width="12.5703125" style="131" customWidth="1"/>
    <col min="2321" max="2321" width="12.7109375" style="131" customWidth="1"/>
    <col min="2322" max="2323" width="12.28515625" style="131" customWidth="1"/>
    <col min="2324" max="2324" width="12.42578125" style="131" customWidth="1"/>
    <col min="2325" max="2325" width="12.28515625" style="131" customWidth="1"/>
    <col min="2326" max="2326" width="13.28515625" style="131" customWidth="1"/>
    <col min="2327" max="2327" width="13.42578125" style="131" customWidth="1"/>
    <col min="2328" max="2558" width="9.140625" style="131"/>
    <col min="2559" max="2559" width="3.28515625" style="131" customWidth="1"/>
    <col min="2560" max="2560" width="10.7109375" style="131" customWidth="1"/>
    <col min="2561" max="2561" width="25.85546875" style="131" customWidth="1"/>
    <col min="2562" max="2562" width="3.42578125" style="131" customWidth="1"/>
    <col min="2563" max="2563" width="13.42578125" style="131" customWidth="1"/>
    <col min="2564" max="2564" width="10.85546875" style="131" customWidth="1"/>
    <col min="2565" max="2565" width="12.140625" style="131" customWidth="1"/>
    <col min="2566" max="2567" width="0" style="131" hidden="1" customWidth="1"/>
    <col min="2568" max="2568" width="12.5703125" style="131" customWidth="1"/>
    <col min="2569" max="2569" width="12.28515625" style="131" customWidth="1"/>
    <col min="2570" max="2570" width="12.140625" style="131" customWidth="1"/>
    <col min="2571" max="2571" width="12.5703125" style="131" customWidth="1"/>
    <col min="2572" max="2572" width="12.42578125" style="131" customWidth="1"/>
    <col min="2573" max="2573" width="13.28515625" style="131" customWidth="1"/>
    <col min="2574" max="2574" width="12.140625" style="131" customWidth="1"/>
    <col min="2575" max="2575" width="12.28515625" style="131" customWidth="1"/>
    <col min="2576" max="2576" width="12.5703125" style="131" customWidth="1"/>
    <col min="2577" max="2577" width="12.7109375" style="131" customWidth="1"/>
    <col min="2578" max="2579" width="12.28515625" style="131" customWidth="1"/>
    <col min="2580" max="2580" width="12.42578125" style="131" customWidth="1"/>
    <col min="2581" max="2581" width="12.28515625" style="131" customWidth="1"/>
    <col min="2582" max="2582" width="13.28515625" style="131" customWidth="1"/>
    <col min="2583" max="2583" width="13.42578125" style="131" customWidth="1"/>
    <col min="2584" max="2814" width="9.140625" style="131"/>
    <col min="2815" max="2815" width="3.28515625" style="131" customWidth="1"/>
    <col min="2816" max="2816" width="10.7109375" style="131" customWidth="1"/>
    <col min="2817" max="2817" width="25.85546875" style="131" customWidth="1"/>
    <col min="2818" max="2818" width="3.42578125" style="131" customWidth="1"/>
    <col min="2819" max="2819" width="13.42578125" style="131" customWidth="1"/>
    <col min="2820" max="2820" width="10.85546875" style="131" customWidth="1"/>
    <col min="2821" max="2821" width="12.140625" style="131" customWidth="1"/>
    <col min="2822" max="2823" width="0" style="131" hidden="1" customWidth="1"/>
    <col min="2824" max="2824" width="12.5703125" style="131" customWidth="1"/>
    <col min="2825" max="2825" width="12.28515625" style="131" customWidth="1"/>
    <col min="2826" max="2826" width="12.140625" style="131" customWidth="1"/>
    <col min="2827" max="2827" width="12.5703125" style="131" customWidth="1"/>
    <col min="2828" max="2828" width="12.42578125" style="131" customWidth="1"/>
    <col min="2829" max="2829" width="13.28515625" style="131" customWidth="1"/>
    <col min="2830" max="2830" width="12.140625" style="131" customWidth="1"/>
    <col min="2831" max="2831" width="12.28515625" style="131" customWidth="1"/>
    <col min="2832" max="2832" width="12.5703125" style="131" customWidth="1"/>
    <col min="2833" max="2833" width="12.7109375" style="131" customWidth="1"/>
    <col min="2834" max="2835" width="12.28515625" style="131" customWidth="1"/>
    <col min="2836" max="2836" width="12.42578125" style="131" customWidth="1"/>
    <col min="2837" max="2837" width="12.28515625" style="131" customWidth="1"/>
    <col min="2838" max="2838" width="13.28515625" style="131" customWidth="1"/>
    <col min="2839" max="2839" width="13.42578125" style="131" customWidth="1"/>
    <col min="2840" max="3070" width="9.140625" style="131"/>
    <col min="3071" max="3071" width="3.28515625" style="131" customWidth="1"/>
    <col min="3072" max="3072" width="10.7109375" style="131" customWidth="1"/>
    <col min="3073" max="3073" width="25.85546875" style="131" customWidth="1"/>
    <col min="3074" max="3074" width="3.42578125" style="131" customWidth="1"/>
    <col min="3075" max="3075" width="13.42578125" style="131" customWidth="1"/>
    <col min="3076" max="3076" width="10.85546875" style="131" customWidth="1"/>
    <col min="3077" max="3077" width="12.140625" style="131" customWidth="1"/>
    <col min="3078" max="3079" width="0" style="131" hidden="1" customWidth="1"/>
    <col min="3080" max="3080" width="12.5703125" style="131" customWidth="1"/>
    <col min="3081" max="3081" width="12.28515625" style="131" customWidth="1"/>
    <col min="3082" max="3082" width="12.140625" style="131" customWidth="1"/>
    <col min="3083" max="3083" width="12.5703125" style="131" customWidth="1"/>
    <col min="3084" max="3084" width="12.42578125" style="131" customWidth="1"/>
    <col min="3085" max="3085" width="13.28515625" style="131" customWidth="1"/>
    <col min="3086" max="3086" width="12.140625" style="131" customWidth="1"/>
    <col min="3087" max="3087" width="12.28515625" style="131" customWidth="1"/>
    <col min="3088" max="3088" width="12.5703125" style="131" customWidth="1"/>
    <col min="3089" max="3089" width="12.7109375" style="131" customWidth="1"/>
    <col min="3090" max="3091" width="12.28515625" style="131" customWidth="1"/>
    <col min="3092" max="3092" width="12.42578125" style="131" customWidth="1"/>
    <col min="3093" max="3093" width="12.28515625" style="131" customWidth="1"/>
    <col min="3094" max="3094" width="13.28515625" style="131" customWidth="1"/>
    <col min="3095" max="3095" width="13.42578125" style="131" customWidth="1"/>
    <col min="3096" max="3326" width="9.140625" style="131"/>
    <col min="3327" max="3327" width="3.28515625" style="131" customWidth="1"/>
    <col min="3328" max="3328" width="10.7109375" style="131" customWidth="1"/>
    <col min="3329" max="3329" width="25.85546875" style="131" customWidth="1"/>
    <col min="3330" max="3330" width="3.42578125" style="131" customWidth="1"/>
    <col min="3331" max="3331" width="13.42578125" style="131" customWidth="1"/>
    <col min="3332" max="3332" width="10.85546875" style="131" customWidth="1"/>
    <col min="3333" max="3333" width="12.140625" style="131" customWidth="1"/>
    <col min="3334" max="3335" width="0" style="131" hidden="1" customWidth="1"/>
    <col min="3336" max="3336" width="12.5703125" style="131" customWidth="1"/>
    <col min="3337" max="3337" width="12.28515625" style="131" customWidth="1"/>
    <col min="3338" max="3338" width="12.140625" style="131" customWidth="1"/>
    <col min="3339" max="3339" width="12.5703125" style="131" customWidth="1"/>
    <col min="3340" max="3340" width="12.42578125" style="131" customWidth="1"/>
    <col min="3341" max="3341" width="13.28515625" style="131" customWidth="1"/>
    <col min="3342" max="3342" width="12.140625" style="131" customWidth="1"/>
    <col min="3343" max="3343" width="12.28515625" style="131" customWidth="1"/>
    <col min="3344" max="3344" width="12.5703125" style="131" customWidth="1"/>
    <col min="3345" max="3345" width="12.7109375" style="131" customWidth="1"/>
    <col min="3346" max="3347" width="12.28515625" style="131" customWidth="1"/>
    <col min="3348" max="3348" width="12.42578125" style="131" customWidth="1"/>
    <col min="3349" max="3349" width="12.28515625" style="131" customWidth="1"/>
    <col min="3350" max="3350" width="13.28515625" style="131" customWidth="1"/>
    <col min="3351" max="3351" width="13.42578125" style="131" customWidth="1"/>
    <col min="3352" max="3582" width="9.140625" style="131"/>
    <col min="3583" max="3583" width="3.28515625" style="131" customWidth="1"/>
    <col min="3584" max="3584" width="10.7109375" style="131" customWidth="1"/>
    <col min="3585" max="3585" width="25.85546875" style="131" customWidth="1"/>
    <col min="3586" max="3586" width="3.42578125" style="131" customWidth="1"/>
    <col min="3587" max="3587" width="13.42578125" style="131" customWidth="1"/>
    <col min="3588" max="3588" width="10.85546875" style="131" customWidth="1"/>
    <col min="3589" max="3589" width="12.140625" style="131" customWidth="1"/>
    <col min="3590" max="3591" width="0" style="131" hidden="1" customWidth="1"/>
    <col min="3592" max="3592" width="12.5703125" style="131" customWidth="1"/>
    <col min="3593" max="3593" width="12.28515625" style="131" customWidth="1"/>
    <col min="3594" max="3594" width="12.140625" style="131" customWidth="1"/>
    <col min="3595" max="3595" width="12.5703125" style="131" customWidth="1"/>
    <col min="3596" max="3596" width="12.42578125" style="131" customWidth="1"/>
    <col min="3597" max="3597" width="13.28515625" style="131" customWidth="1"/>
    <col min="3598" max="3598" width="12.140625" style="131" customWidth="1"/>
    <col min="3599" max="3599" width="12.28515625" style="131" customWidth="1"/>
    <col min="3600" max="3600" width="12.5703125" style="131" customWidth="1"/>
    <col min="3601" max="3601" width="12.7109375" style="131" customWidth="1"/>
    <col min="3602" max="3603" width="12.28515625" style="131" customWidth="1"/>
    <col min="3604" max="3604" width="12.42578125" style="131" customWidth="1"/>
    <col min="3605" max="3605" width="12.28515625" style="131" customWidth="1"/>
    <col min="3606" max="3606" width="13.28515625" style="131" customWidth="1"/>
    <col min="3607" max="3607" width="13.42578125" style="131" customWidth="1"/>
    <col min="3608" max="3838" width="9.140625" style="131"/>
    <col min="3839" max="3839" width="3.28515625" style="131" customWidth="1"/>
    <col min="3840" max="3840" width="10.7109375" style="131" customWidth="1"/>
    <col min="3841" max="3841" width="25.85546875" style="131" customWidth="1"/>
    <col min="3842" max="3842" width="3.42578125" style="131" customWidth="1"/>
    <col min="3843" max="3843" width="13.42578125" style="131" customWidth="1"/>
    <col min="3844" max="3844" width="10.85546875" style="131" customWidth="1"/>
    <col min="3845" max="3845" width="12.140625" style="131" customWidth="1"/>
    <col min="3846" max="3847" width="0" style="131" hidden="1" customWidth="1"/>
    <col min="3848" max="3848" width="12.5703125" style="131" customWidth="1"/>
    <col min="3849" max="3849" width="12.28515625" style="131" customWidth="1"/>
    <col min="3850" max="3850" width="12.140625" style="131" customWidth="1"/>
    <col min="3851" max="3851" width="12.5703125" style="131" customWidth="1"/>
    <col min="3852" max="3852" width="12.42578125" style="131" customWidth="1"/>
    <col min="3853" max="3853" width="13.28515625" style="131" customWidth="1"/>
    <col min="3854" max="3854" width="12.140625" style="131" customWidth="1"/>
    <col min="3855" max="3855" width="12.28515625" style="131" customWidth="1"/>
    <col min="3856" max="3856" width="12.5703125" style="131" customWidth="1"/>
    <col min="3857" max="3857" width="12.7109375" style="131" customWidth="1"/>
    <col min="3858" max="3859" width="12.28515625" style="131" customWidth="1"/>
    <col min="3860" max="3860" width="12.42578125" style="131" customWidth="1"/>
    <col min="3861" max="3861" width="12.28515625" style="131" customWidth="1"/>
    <col min="3862" max="3862" width="13.28515625" style="131" customWidth="1"/>
    <col min="3863" max="3863" width="13.42578125" style="131" customWidth="1"/>
    <col min="3864" max="4094" width="9.140625" style="131"/>
    <col min="4095" max="4095" width="3.28515625" style="131" customWidth="1"/>
    <col min="4096" max="4096" width="10.7109375" style="131" customWidth="1"/>
    <col min="4097" max="4097" width="25.85546875" style="131" customWidth="1"/>
    <col min="4098" max="4098" width="3.42578125" style="131" customWidth="1"/>
    <col min="4099" max="4099" width="13.42578125" style="131" customWidth="1"/>
    <col min="4100" max="4100" width="10.85546875" style="131" customWidth="1"/>
    <col min="4101" max="4101" width="12.140625" style="131" customWidth="1"/>
    <col min="4102" max="4103" width="0" style="131" hidden="1" customWidth="1"/>
    <col min="4104" max="4104" width="12.5703125" style="131" customWidth="1"/>
    <col min="4105" max="4105" width="12.28515625" style="131" customWidth="1"/>
    <col min="4106" max="4106" width="12.140625" style="131" customWidth="1"/>
    <col min="4107" max="4107" width="12.5703125" style="131" customWidth="1"/>
    <col min="4108" max="4108" width="12.42578125" style="131" customWidth="1"/>
    <col min="4109" max="4109" width="13.28515625" style="131" customWidth="1"/>
    <col min="4110" max="4110" width="12.140625" style="131" customWidth="1"/>
    <col min="4111" max="4111" width="12.28515625" style="131" customWidth="1"/>
    <col min="4112" max="4112" width="12.5703125" style="131" customWidth="1"/>
    <col min="4113" max="4113" width="12.7109375" style="131" customWidth="1"/>
    <col min="4114" max="4115" width="12.28515625" style="131" customWidth="1"/>
    <col min="4116" max="4116" width="12.42578125" style="131" customWidth="1"/>
    <col min="4117" max="4117" width="12.28515625" style="131" customWidth="1"/>
    <col min="4118" max="4118" width="13.28515625" style="131" customWidth="1"/>
    <col min="4119" max="4119" width="13.42578125" style="131" customWidth="1"/>
    <col min="4120" max="4350" width="9.140625" style="131"/>
    <col min="4351" max="4351" width="3.28515625" style="131" customWidth="1"/>
    <col min="4352" max="4352" width="10.7109375" style="131" customWidth="1"/>
    <col min="4353" max="4353" width="25.85546875" style="131" customWidth="1"/>
    <col min="4354" max="4354" width="3.42578125" style="131" customWidth="1"/>
    <col min="4355" max="4355" width="13.42578125" style="131" customWidth="1"/>
    <col min="4356" max="4356" width="10.85546875" style="131" customWidth="1"/>
    <col min="4357" max="4357" width="12.140625" style="131" customWidth="1"/>
    <col min="4358" max="4359" width="0" style="131" hidden="1" customWidth="1"/>
    <col min="4360" max="4360" width="12.5703125" style="131" customWidth="1"/>
    <col min="4361" max="4361" width="12.28515625" style="131" customWidth="1"/>
    <col min="4362" max="4362" width="12.140625" style="131" customWidth="1"/>
    <col min="4363" max="4363" width="12.5703125" style="131" customWidth="1"/>
    <col min="4364" max="4364" width="12.42578125" style="131" customWidth="1"/>
    <col min="4365" max="4365" width="13.28515625" style="131" customWidth="1"/>
    <col min="4366" max="4366" width="12.140625" style="131" customWidth="1"/>
    <col min="4367" max="4367" width="12.28515625" style="131" customWidth="1"/>
    <col min="4368" max="4368" width="12.5703125" style="131" customWidth="1"/>
    <col min="4369" max="4369" width="12.7109375" style="131" customWidth="1"/>
    <col min="4370" max="4371" width="12.28515625" style="131" customWidth="1"/>
    <col min="4372" max="4372" width="12.42578125" style="131" customWidth="1"/>
    <col min="4373" max="4373" width="12.28515625" style="131" customWidth="1"/>
    <col min="4374" max="4374" width="13.28515625" style="131" customWidth="1"/>
    <col min="4375" max="4375" width="13.42578125" style="131" customWidth="1"/>
    <col min="4376" max="4606" width="9.140625" style="131"/>
    <col min="4607" max="4607" width="3.28515625" style="131" customWidth="1"/>
    <col min="4608" max="4608" width="10.7109375" style="131" customWidth="1"/>
    <col min="4609" max="4609" width="25.85546875" style="131" customWidth="1"/>
    <col min="4610" max="4610" width="3.42578125" style="131" customWidth="1"/>
    <col min="4611" max="4611" width="13.42578125" style="131" customWidth="1"/>
    <col min="4612" max="4612" width="10.85546875" style="131" customWidth="1"/>
    <col min="4613" max="4613" width="12.140625" style="131" customWidth="1"/>
    <col min="4614" max="4615" width="0" style="131" hidden="1" customWidth="1"/>
    <col min="4616" max="4616" width="12.5703125" style="131" customWidth="1"/>
    <col min="4617" max="4617" width="12.28515625" style="131" customWidth="1"/>
    <col min="4618" max="4618" width="12.140625" style="131" customWidth="1"/>
    <col min="4619" max="4619" width="12.5703125" style="131" customWidth="1"/>
    <col min="4620" max="4620" width="12.42578125" style="131" customWidth="1"/>
    <col min="4621" max="4621" width="13.28515625" style="131" customWidth="1"/>
    <col min="4622" max="4622" width="12.140625" style="131" customWidth="1"/>
    <col min="4623" max="4623" width="12.28515625" style="131" customWidth="1"/>
    <col min="4624" max="4624" width="12.5703125" style="131" customWidth="1"/>
    <col min="4625" max="4625" width="12.7109375" style="131" customWidth="1"/>
    <col min="4626" max="4627" width="12.28515625" style="131" customWidth="1"/>
    <col min="4628" max="4628" width="12.42578125" style="131" customWidth="1"/>
    <col min="4629" max="4629" width="12.28515625" style="131" customWidth="1"/>
    <col min="4630" max="4630" width="13.28515625" style="131" customWidth="1"/>
    <col min="4631" max="4631" width="13.42578125" style="131" customWidth="1"/>
    <col min="4632" max="4862" width="9.140625" style="131"/>
    <col min="4863" max="4863" width="3.28515625" style="131" customWidth="1"/>
    <col min="4864" max="4864" width="10.7109375" style="131" customWidth="1"/>
    <col min="4865" max="4865" width="25.85546875" style="131" customWidth="1"/>
    <col min="4866" max="4866" width="3.42578125" style="131" customWidth="1"/>
    <col min="4867" max="4867" width="13.42578125" style="131" customWidth="1"/>
    <col min="4868" max="4868" width="10.85546875" style="131" customWidth="1"/>
    <col min="4869" max="4869" width="12.140625" style="131" customWidth="1"/>
    <col min="4870" max="4871" width="0" style="131" hidden="1" customWidth="1"/>
    <col min="4872" max="4872" width="12.5703125" style="131" customWidth="1"/>
    <col min="4873" max="4873" width="12.28515625" style="131" customWidth="1"/>
    <col min="4874" max="4874" width="12.140625" style="131" customWidth="1"/>
    <col min="4875" max="4875" width="12.5703125" style="131" customWidth="1"/>
    <col min="4876" max="4876" width="12.42578125" style="131" customWidth="1"/>
    <col min="4877" max="4877" width="13.28515625" style="131" customWidth="1"/>
    <col min="4878" max="4878" width="12.140625" style="131" customWidth="1"/>
    <col min="4879" max="4879" width="12.28515625" style="131" customWidth="1"/>
    <col min="4880" max="4880" width="12.5703125" style="131" customWidth="1"/>
    <col min="4881" max="4881" width="12.7109375" style="131" customWidth="1"/>
    <col min="4882" max="4883" width="12.28515625" style="131" customWidth="1"/>
    <col min="4884" max="4884" width="12.42578125" style="131" customWidth="1"/>
    <col min="4885" max="4885" width="12.28515625" style="131" customWidth="1"/>
    <col min="4886" max="4886" width="13.28515625" style="131" customWidth="1"/>
    <col min="4887" max="4887" width="13.42578125" style="131" customWidth="1"/>
    <col min="4888" max="5118" width="9.140625" style="131"/>
    <col min="5119" max="5119" width="3.28515625" style="131" customWidth="1"/>
    <col min="5120" max="5120" width="10.7109375" style="131" customWidth="1"/>
    <col min="5121" max="5121" width="25.85546875" style="131" customWidth="1"/>
    <col min="5122" max="5122" width="3.42578125" style="131" customWidth="1"/>
    <col min="5123" max="5123" width="13.42578125" style="131" customWidth="1"/>
    <col min="5124" max="5124" width="10.85546875" style="131" customWidth="1"/>
    <col min="5125" max="5125" width="12.140625" style="131" customWidth="1"/>
    <col min="5126" max="5127" width="0" style="131" hidden="1" customWidth="1"/>
    <col min="5128" max="5128" width="12.5703125" style="131" customWidth="1"/>
    <col min="5129" max="5129" width="12.28515625" style="131" customWidth="1"/>
    <col min="5130" max="5130" width="12.140625" style="131" customWidth="1"/>
    <col min="5131" max="5131" width="12.5703125" style="131" customWidth="1"/>
    <col min="5132" max="5132" width="12.42578125" style="131" customWidth="1"/>
    <col min="5133" max="5133" width="13.28515625" style="131" customWidth="1"/>
    <col min="5134" max="5134" width="12.140625" style="131" customWidth="1"/>
    <col min="5135" max="5135" width="12.28515625" style="131" customWidth="1"/>
    <col min="5136" max="5136" width="12.5703125" style="131" customWidth="1"/>
    <col min="5137" max="5137" width="12.7109375" style="131" customWidth="1"/>
    <col min="5138" max="5139" width="12.28515625" style="131" customWidth="1"/>
    <col min="5140" max="5140" width="12.42578125" style="131" customWidth="1"/>
    <col min="5141" max="5141" width="12.28515625" style="131" customWidth="1"/>
    <col min="5142" max="5142" width="13.28515625" style="131" customWidth="1"/>
    <col min="5143" max="5143" width="13.42578125" style="131" customWidth="1"/>
    <col min="5144" max="5374" width="9.140625" style="131"/>
    <col min="5375" max="5375" width="3.28515625" style="131" customWidth="1"/>
    <col min="5376" max="5376" width="10.7109375" style="131" customWidth="1"/>
    <col min="5377" max="5377" width="25.85546875" style="131" customWidth="1"/>
    <col min="5378" max="5378" width="3.42578125" style="131" customWidth="1"/>
    <col min="5379" max="5379" width="13.42578125" style="131" customWidth="1"/>
    <col min="5380" max="5380" width="10.85546875" style="131" customWidth="1"/>
    <col min="5381" max="5381" width="12.140625" style="131" customWidth="1"/>
    <col min="5382" max="5383" width="0" style="131" hidden="1" customWidth="1"/>
    <col min="5384" max="5384" width="12.5703125" style="131" customWidth="1"/>
    <col min="5385" max="5385" width="12.28515625" style="131" customWidth="1"/>
    <col min="5386" max="5386" width="12.140625" style="131" customWidth="1"/>
    <col min="5387" max="5387" width="12.5703125" style="131" customWidth="1"/>
    <col min="5388" max="5388" width="12.42578125" style="131" customWidth="1"/>
    <col min="5389" max="5389" width="13.28515625" style="131" customWidth="1"/>
    <col min="5390" max="5390" width="12.140625" style="131" customWidth="1"/>
    <col min="5391" max="5391" width="12.28515625" style="131" customWidth="1"/>
    <col min="5392" max="5392" width="12.5703125" style="131" customWidth="1"/>
    <col min="5393" max="5393" width="12.7109375" style="131" customWidth="1"/>
    <col min="5394" max="5395" width="12.28515625" style="131" customWidth="1"/>
    <col min="5396" max="5396" width="12.42578125" style="131" customWidth="1"/>
    <col min="5397" max="5397" width="12.28515625" style="131" customWidth="1"/>
    <col min="5398" max="5398" width="13.28515625" style="131" customWidth="1"/>
    <col min="5399" max="5399" width="13.42578125" style="131" customWidth="1"/>
    <col min="5400" max="5630" width="9.140625" style="131"/>
    <col min="5631" max="5631" width="3.28515625" style="131" customWidth="1"/>
    <col min="5632" max="5632" width="10.7109375" style="131" customWidth="1"/>
    <col min="5633" max="5633" width="25.85546875" style="131" customWidth="1"/>
    <col min="5634" max="5634" width="3.42578125" style="131" customWidth="1"/>
    <col min="5635" max="5635" width="13.42578125" style="131" customWidth="1"/>
    <col min="5636" max="5636" width="10.85546875" style="131" customWidth="1"/>
    <col min="5637" max="5637" width="12.140625" style="131" customWidth="1"/>
    <col min="5638" max="5639" width="0" style="131" hidden="1" customWidth="1"/>
    <col min="5640" max="5640" width="12.5703125" style="131" customWidth="1"/>
    <col min="5641" max="5641" width="12.28515625" style="131" customWidth="1"/>
    <col min="5642" max="5642" width="12.140625" style="131" customWidth="1"/>
    <col min="5643" max="5643" width="12.5703125" style="131" customWidth="1"/>
    <col min="5644" max="5644" width="12.42578125" style="131" customWidth="1"/>
    <col min="5645" max="5645" width="13.28515625" style="131" customWidth="1"/>
    <col min="5646" max="5646" width="12.140625" style="131" customWidth="1"/>
    <col min="5647" max="5647" width="12.28515625" style="131" customWidth="1"/>
    <col min="5648" max="5648" width="12.5703125" style="131" customWidth="1"/>
    <col min="5649" max="5649" width="12.7109375" style="131" customWidth="1"/>
    <col min="5650" max="5651" width="12.28515625" style="131" customWidth="1"/>
    <col min="5652" max="5652" width="12.42578125" style="131" customWidth="1"/>
    <col min="5653" max="5653" width="12.28515625" style="131" customWidth="1"/>
    <col min="5654" max="5654" width="13.28515625" style="131" customWidth="1"/>
    <col min="5655" max="5655" width="13.42578125" style="131" customWidth="1"/>
    <col min="5656" max="5886" width="9.140625" style="131"/>
    <col min="5887" max="5887" width="3.28515625" style="131" customWidth="1"/>
    <col min="5888" max="5888" width="10.7109375" style="131" customWidth="1"/>
    <col min="5889" max="5889" width="25.85546875" style="131" customWidth="1"/>
    <col min="5890" max="5890" width="3.42578125" style="131" customWidth="1"/>
    <col min="5891" max="5891" width="13.42578125" style="131" customWidth="1"/>
    <col min="5892" max="5892" width="10.85546875" style="131" customWidth="1"/>
    <col min="5893" max="5893" width="12.140625" style="131" customWidth="1"/>
    <col min="5894" max="5895" width="0" style="131" hidden="1" customWidth="1"/>
    <col min="5896" max="5896" width="12.5703125" style="131" customWidth="1"/>
    <col min="5897" max="5897" width="12.28515625" style="131" customWidth="1"/>
    <col min="5898" max="5898" width="12.140625" style="131" customWidth="1"/>
    <col min="5899" max="5899" width="12.5703125" style="131" customWidth="1"/>
    <col min="5900" max="5900" width="12.42578125" style="131" customWidth="1"/>
    <col min="5901" max="5901" width="13.28515625" style="131" customWidth="1"/>
    <col min="5902" max="5902" width="12.140625" style="131" customWidth="1"/>
    <col min="5903" max="5903" width="12.28515625" style="131" customWidth="1"/>
    <col min="5904" max="5904" width="12.5703125" style="131" customWidth="1"/>
    <col min="5905" max="5905" width="12.7109375" style="131" customWidth="1"/>
    <col min="5906" max="5907" width="12.28515625" style="131" customWidth="1"/>
    <col min="5908" max="5908" width="12.42578125" style="131" customWidth="1"/>
    <col min="5909" max="5909" width="12.28515625" style="131" customWidth="1"/>
    <col min="5910" max="5910" width="13.28515625" style="131" customWidth="1"/>
    <col min="5911" max="5911" width="13.42578125" style="131" customWidth="1"/>
    <col min="5912" max="6142" width="9.140625" style="131"/>
    <col min="6143" max="6143" width="3.28515625" style="131" customWidth="1"/>
    <col min="6144" max="6144" width="10.7109375" style="131" customWidth="1"/>
    <col min="6145" max="6145" width="25.85546875" style="131" customWidth="1"/>
    <col min="6146" max="6146" width="3.42578125" style="131" customWidth="1"/>
    <col min="6147" max="6147" width="13.42578125" style="131" customWidth="1"/>
    <col min="6148" max="6148" width="10.85546875" style="131" customWidth="1"/>
    <col min="6149" max="6149" width="12.140625" style="131" customWidth="1"/>
    <col min="6150" max="6151" width="0" style="131" hidden="1" customWidth="1"/>
    <col min="6152" max="6152" width="12.5703125" style="131" customWidth="1"/>
    <col min="6153" max="6153" width="12.28515625" style="131" customWidth="1"/>
    <col min="6154" max="6154" width="12.140625" style="131" customWidth="1"/>
    <col min="6155" max="6155" width="12.5703125" style="131" customWidth="1"/>
    <col min="6156" max="6156" width="12.42578125" style="131" customWidth="1"/>
    <col min="6157" max="6157" width="13.28515625" style="131" customWidth="1"/>
    <col min="6158" max="6158" width="12.140625" style="131" customWidth="1"/>
    <col min="6159" max="6159" width="12.28515625" style="131" customWidth="1"/>
    <col min="6160" max="6160" width="12.5703125" style="131" customWidth="1"/>
    <col min="6161" max="6161" width="12.7109375" style="131" customWidth="1"/>
    <col min="6162" max="6163" width="12.28515625" style="131" customWidth="1"/>
    <col min="6164" max="6164" width="12.42578125" style="131" customWidth="1"/>
    <col min="6165" max="6165" width="12.28515625" style="131" customWidth="1"/>
    <col min="6166" max="6166" width="13.28515625" style="131" customWidth="1"/>
    <col min="6167" max="6167" width="13.42578125" style="131" customWidth="1"/>
    <col min="6168" max="6398" width="9.140625" style="131"/>
    <col min="6399" max="6399" width="3.28515625" style="131" customWidth="1"/>
    <col min="6400" max="6400" width="10.7109375" style="131" customWidth="1"/>
    <col min="6401" max="6401" width="25.85546875" style="131" customWidth="1"/>
    <col min="6402" max="6402" width="3.42578125" style="131" customWidth="1"/>
    <col min="6403" max="6403" width="13.42578125" style="131" customWidth="1"/>
    <col min="6404" max="6404" width="10.85546875" style="131" customWidth="1"/>
    <col min="6405" max="6405" width="12.140625" style="131" customWidth="1"/>
    <col min="6406" max="6407" width="0" style="131" hidden="1" customWidth="1"/>
    <col min="6408" max="6408" width="12.5703125" style="131" customWidth="1"/>
    <col min="6409" max="6409" width="12.28515625" style="131" customWidth="1"/>
    <col min="6410" max="6410" width="12.140625" style="131" customWidth="1"/>
    <col min="6411" max="6411" width="12.5703125" style="131" customWidth="1"/>
    <col min="6412" max="6412" width="12.42578125" style="131" customWidth="1"/>
    <col min="6413" max="6413" width="13.28515625" style="131" customWidth="1"/>
    <col min="6414" max="6414" width="12.140625" style="131" customWidth="1"/>
    <col min="6415" max="6415" width="12.28515625" style="131" customWidth="1"/>
    <col min="6416" max="6416" width="12.5703125" style="131" customWidth="1"/>
    <col min="6417" max="6417" width="12.7109375" style="131" customWidth="1"/>
    <col min="6418" max="6419" width="12.28515625" style="131" customWidth="1"/>
    <col min="6420" max="6420" width="12.42578125" style="131" customWidth="1"/>
    <col min="6421" max="6421" width="12.28515625" style="131" customWidth="1"/>
    <col min="6422" max="6422" width="13.28515625" style="131" customWidth="1"/>
    <col min="6423" max="6423" width="13.42578125" style="131" customWidth="1"/>
    <col min="6424" max="6654" width="9.140625" style="131"/>
    <col min="6655" max="6655" width="3.28515625" style="131" customWidth="1"/>
    <col min="6656" max="6656" width="10.7109375" style="131" customWidth="1"/>
    <col min="6657" max="6657" width="25.85546875" style="131" customWidth="1"/>
    <col min="6658" max="6658" width="3.42578125" style="131" customWidth="1"/>
    <col min="6659" max="6659" width="13.42578125" style="131" customWidth="1"/>
    <col min="6660" max="6660" width="10.85546875" style="131" customWidth="1"/>
    <col min="6661" max="6661" width="12.140625" style="131" customWidth="1"/>
    <col min="6662" max="6663" width="0" style="131" hidden="1" customWidth="1"/>
    <col min="6664" max="6664" width="12.5703125" style="131" customWidth="1"/>
    <col min="6665" max="6665" width="12.28515625" style="131" customWidth="1"/>
    <col min="6666" max="6666" width="12.140625" style="131" customWidth="1"/>
    <col min="6667" max="6667" width="12.5703125" style="131" customWidth="1"/>
    <col min="6668" max="6668" width="12.42578125" style="131" customWidth="1"/>
    <col min="6669" max="6669" width="13.28515625" style="131" customWidth="1"/>
    <col min="6670" max="6670" width="12.140625" style="131" customWidth="1"/>
    <col min="6671" max="6671" width="12.28515625" style="131" customWidth="1"/>
    <col min="6672" max="6672" width="12.5703125" style="131" customWidth="1"/>
    <col min="6673" max="6673" width="12.7109375" style="131" customWidth="1"/>
    <col min="6674" max="6675" width="12.28515625" style="131" customWidth="1"/>
    <col min="6676" max="6676" width="12.42578125" style="131" customWidth="1"/>
    <col min="6677" max="6677" width="12.28515625" style="131" customWidth="1"/>
    <col min="6678" max="6678" width="13.28515625" style="131" customWidth="1"/>
    <col min="6679" max="6679" width="13.42578125" style="131" customWidth="1"/>
    <col min="6680" max="6910" width="9.140625" style="131"/>
    <col min="6911" max="6911" width="3.28515625" style="131" customWidth="1"/>
    <col min="6912" max="6912" width="10.7109375" style="131" customWidth="1"/>
    <col min="6913" max="6913" width="25.85546875" style="131" customWidth="1"/>
    <col min="6914" max="6914" width="3.42578125" style="131" customWidth="1"/>
    <col min="6915" max="6915" width="13.42578125" style="131" customWidth="1"/>
    <col min="6916" max="6916" width="10.85546875" style="131" customWidth="1"/>
    <col min="6917" max="6917" width="12.140625" style="131" customWidth="1"/>
    <col min="6918" max="6919" width="0" style="131" hidden="1" customWidth="1"/>
    <col min="6920" max="6920" width="12.5703125" style="131" customWidth="1"/>
    <col min="6921" max="6921" width="12.28515625" style="131" customWidth="1"/>
    <col min="6922" max="6922" width="12.140625" style="131" customWidth="1"/>
    <col min="6923" max="6923" width="12.5703125" style="131" customWidth="1"/>
    <col min="6924" max="6924" width="12.42578125" style="131" customWidth="1"/>
    <col min="6925" max="6925" width="13.28515625" style="131" customWidth="1"/>
    <col min="6926" max="6926" width="12.140625" style="131" customWidth="1"/>
    <col min="6927" max="6927" width="12.28515625" style="131" customWidth="1"/>
    <col min="6928" max="6928" width="12.5703125" style="131" customWidth="1"/>
    <col min="6929" max="6929" width="12.7109375" style="131" customWidth="1"/>
    <col min="6930" max="6931" width="12.28515625" style="131" customWidth="1"/>
    <col min="6932" max="6932" width="12.42578125" style="131" customWidth="1"/>
    <col min="6933" max="6933" width="12.28515625" style="131" customWidth="1"/>
    <col min="6934" max="6934" width="13.28515625" style="131" customWidth="1"/>
    <col min="6935" max="6935" width="13.42578125" style="131" customWidth="1"/>
    <col min="6936" max="7166" width="9.140625" style="131"/>
    <col min="7167" max="7167" width="3.28515625" style="131" customWidth="1"/>
    <col min="7168" max="7168" width="10.7109375" style="131" customWidth="1"/>
    <col min="7169" max="7169" width="25.85546875" style="131" customWidth="1"/>
    <col min="7170" max="7170" width="3.42578125" style="131" customWidth="1"/>
    <col min="7171" max="7171" width="13.42578125" style="131" customWidth="1"/>
    <col min="7172" max="7172" width="10.85546875" style="131" customWidth="1"/>
    <col min="7173" max="7173" width="12.140625" style="131" customWidth="1"/>
    <col min="7174" max="7175" width="0" style="131" hidden="1" customWidth="1"/>
    <col min="7176" max="7176" width="12.5703125" style="131" customWidth="1"/>
    <col min="7177" max="7177" width="12.28515625" style="131" customWidth="1"/>
    <col min="7178" max="7178" width="12.140625" style="131" customWidth="1"/>
    <col min="7179" max="7179" width="12.5703125" style="131" customWidth="1"/>
    <col min="7180" max="7180" width="12.42578125" style="131" customWidth="1"/>
    <col min="7181" max="7181" width="13.28515625" style="131" customWidth="1"/>
    <col min="7182" max="7182" width="12.140625" style="131" customWidth="1"/>
    <col min="7183" max="7183" width="12.28515625" style="131" customWidth="1"/>
    <col min="7184" max="7184" width="12.5703125" style="131" customWidth="1"/>
    <col min="7185" max="7185" width="12.7109375" style="131" customWidth="1"/>
    <col min="7186" max="7187" width="12.28515625" style="131" customWidth="1"/>
    <col min="7188" max="7188" width="12.42578125" style="131" customWidth="1"/>
    <col min="7189" max="7189" width="12.28515625" style="131" customWidth="1"/>
    <col min="7190" max="7190" width="13.28515625" style="131" customWidth="1"/>
    <col min="7191" max="7191" width="13.42578125" style="131" customWidth="1"/>
    <col min="7192" max="7422" width="9.140625" style="131"/>
    <col min="7423" max="7423" width="3.28515625" style="131" customWidth="1"/>
    <col min="7424" max="7424" width="10.7109375" style="131" customWidth="1"/>
    <col min="7425" max="7425" width="25.85546875" style="131" customWidth="1"/>
    <col min="7426" max="7426" width="3.42578125" style="131" customWidth="1"/>
    <col min="7427" max="7427" width="13.42578125" style="131" customWidth="1"/>
    <col min="7428" max="7428" width="10.85546875" style="131" customWidth="1"/>
    <col min="7429" max="7429" width="12.140625" style="131" customWidth="1"/>
    <col min="7430" max="7431" width="0" style="131" hidden="1" customWidth="1"/>
    <col min="7432" max="7432" width="12.5703125" style="131" customWidth="1"/>
    <col min="7433" max="7433" width="12.28515625" style="131" customWidth="1"/>
    <col min="7434" max="7434" width="12.140625" style="131" customWidth="1"/>
    <col min="7435" max="7435" width="12.5703125" style="131" customWidth="1"/>
    <col min="7436" max="7436" width="12.42578125" style="131" customWidth="1"/>
    <col min="7437" max="7437" width="13.28515625" style="131" customWidth="1"/>
    <col min="7438" max="7438" width="12.140625" style="131" customWidth="1"/>
    <col min="7439" max="7439" width="12.28515625" style="131" customWidth="1"/>
    <col min="7440" max="7440" width="12.5703125" style="131" customWidth="1"/>
    <col min="7441" max="7441" width="12.7109375" style="131" customWidth="1"/>
    <col min="7442" max="7443" width="12.28515625" style="131" customWidth="1"/>
    <col min="7444" max="7444" width="12.42578125" style="131" customWidth="1"/>
    <col min="7445" max="7445" width="12.28515625" style="131" customWidth="1"/>
    <col min="7446" max="7446" width="13.28515625" style="131" customWidth="1"/>
    <col min="7447" max="7447" width="13.42578125" style="131" customWidth="1"/>
    <col min="7448" max="7678" width="9.140625" style="131"/>
    <col min="7679" max="7679" width="3.28515625" style="131" customWidth="1"/>
    <col min="7680" max="7680" width="10.7109375" style="131" customWidth="1"/>
    <col min="7681" max="7681" width="25.85546875" style="131" customWidth="1"/>
    <col min="7682" max="7682" width="3.42578125" style="131" customWidth="1"/>
    <col min="7683" max="7683" width="13.42578125" style="131" customWidth="1"/>
    <col min="7684" max="7684" width="10.85546875" style="131" customWidth="1"/>
    <col min="7685" max="7685" width="12.140625" style="131" customWidth="1"/>
    <col min="7686" max="7687" width="0" style="131" hidden="1" customWidth="1"/>
    <col min="7688" max="7688" width="12.5703125" style="131" customWidth="1"/>
    <col min="7689" max="7689" width="12.28515625" style="131" customWidth="1"/>
    <col min="7690" max="7690" width="12.140625" style="131" customWidth="1"/>
    <col min="7691" max="7691" width="12.5703125" style="131" customWidth="1"/>
    <col min="7692" max="7692" width="12.42578125" style="131" customWidth="1"/>
    <col min="7693" max="7693" width="13.28515625" style="131" customWidth="1"/>
    <col min="7694" max="7694" width="12.140625" style="131" customWidth="1"/>
    <col min="7695" max="7695" width="12.28515625" style="131" customWidth="1"/>
    <col min="7696" max="7696" width="12.5703125" style="131" customWidth="1"/>
    <col min="7697" max="7697" width="12.7109375" style="131" customWidth="1"/>
    <col min="7698" max="7699" width="12.28515625" style="131" customWidth="1"/>
    <col min="7700" max="7700" width="12.42578125" style="131" customWidth="1"/>
    <col min="7701" max="7701" width="12.28515625" style="131" customWidth="1"/>
    <col min="7702" max="7702" width="13.28515625" style="131" customWidth="1"/>
    <col min="7703" max="7703" width="13.42578125" style="131" customWidth="1"/>
    <col min="7704" max="7934" width="9.140625" style="131"/>
    <col min="7935" max="7935" width="3.28515625" style="131" customWidth="1"/>
    <col min="7936" max="7936" width="10.7109375" style="131" customWidth="1"/>
    <col min="7937" max="7937" width="25.85546875" style="131" customWidth="1"/>
    <col min="7938" max="7938" width="3.42578125" style="131" customWidth="1"/>
    <col min="7939" max="7939" width="13.42578125" style="131" customWidth="1"/>
    <col min="7940" max="7940" width="10.85546875" style="131" customWidth="1"/>
    <col min="7941" max="7941" width="12.140625" style="131" customWidth="1"/>
    <col min="7942" max="7943" width="0" style="131" hidden="1" customWidth="1"/>
    <col min="7944" max="7944" width="12.5703125" style="131" customWidth="1"/>
    <col min="7945" max="7945" width="12.28515625" style="131" customWidth="1"/>
    <col min="7946" max="7946" width="12.140625" style="131" customWidth="1"/>
    <col min="7947" max="7947" width="12.5703125" style="131" customWidth="1"/>
    <col min="7948" max="7948" width="12.42578125" style="131" customWidth="1"/>
    <col min="7949" max="7949" width="13.28515625" style="131" customWidth="1"/>
    <col min="7950" max="7950" width="12.140625" style="131" customWidth="1"/>
    <col min="7951" max="7951" width="12.28515625" style="131" customWidth="1"/>
    <col min="7952" max="7952" width="12.5703125" style="131" customWidth="1"/>
    <col min="7953" max="7953" width="12.7109375" style="131" customWidth="1"/>
    <col min="7954" max="7955" width="12.28515625" style="131" customWidth="1"/>
    <col min="7956" max="7956" width="12.42578125" style="131" customWidth="1"/>
    <col min="7957" max="7957" width="12.28515625" style="131" customWidth="1"/>
    <col min="7958" max="7958" width="13.28515625" style="131" customWidth="1"/>
    <col min="7959" max="7959" width="13.42578125" style="131" customWidth="1"/>
    <col min="7960" max="8190" width="9.140625" style="131"/>
    <col min="8191" max="8191" width="3.28515625" style="131" customWidth="1"/>
    <col min="8192" max="8192" width="10.7109375" style="131" customWidth="1"/>
    <col min="8193" max="8193" width="25.85546875" style="131" customWidth="1"/>
    <col min="8194" max="8194" width="3.42578125" style="131" customWidth="1"/>
    <col min="8195" max="8195" width="13.42578125" style="131" customWidth="1"/>
    <col min="8196" max="8196" width="10.85546875" style="131" customWidth="1"/>
    <col min="8197" max="8197" width="12.140625" style="131" customWidth="1"/>
    <col min="8198" max="8199" width="0" style="131" hidden="1" customWidth="1"/>
    <col min="8200" max="8200" width="12.5703125" style="131" customWidth="1"/>
    <col min="8201" max="8201" width="12.28515625" style="131" customWidth="1"/>
    <col min="8202" max="8202" width="12.140625" style="131" customWidth="1"/>
    <col min="8203" max="8203" width="12.5703125" style="131" customWidth="1"/>
    <col min="8204" max="8204" width="12.42578125" style="131" customWidth="1"/>
    <col min="8205" max="8205" width="13.28515625" style="131" customWidth="1"/>
    <col min="8206" max="8206" width="12.140625" style="131" customWidth="1"/>
    <col min="8207" max="8207" width="12.28515625" style="131" customWidth="1"/>
    <col min="8208" max="8208" width="12.5703125" style="131" customWidth="1"/>
    <col min="8209" max="8209" width="12.7109375" style="131" customWidth="1"/>
    <col min="8210" max="8211" width="12.28515625" style="131" customWidth="1"/>
    <col min="8212" max="8212" width="12.42578125" style="131" customWidth="1"/>
    <col min="8213" max="8213" width="12.28515625" style="131" customWidth="1"/>
    <col min="8214" max="8214" width="13.28515625" style="131" customWidth="1"/>
    <col min="8215" max="8215" width="13.42578125" style="131" customWidth="1"/>
    <col min="8216" max="8446" width="9.140625" style="131"/>
    <col min="8447" max="8447" width="3.28515625" style="131" customWidth="1"/>
    <col min="8448" max="8448" width="10.7109375" style="131" customWidth="1"/>
    <col min="8449" max="8449" width="25.85546875" style="131" customWidth="1"/>
    <col min="8450" max="8450" width="3.42578125" style="131" customWidth="1"/>
    <col min="8451" max="8451" width="13.42578125" style="131" customWidth="1"/>
    <col min="8452" max="8452" width="10.85546875" style="131" customWidth="1"/>
    <col min="8453" max="8453" width="12.140625" style="131" customWidth="1"/>
    <col min="8454" max="8455" width="0" style="131" hidden="1" customWidth="1"/>
    <col min="8456" max="8456" width="12.5703125" style="131" customWidth="1"/>
    <col min="8457" max="8457" width="12.28515625" style="131" customWidth="1"/>
    <col min="8458" max="8458" width="12.140625" style="131" customWidth="1"/>
    <col min="8459" max="8459" width="12.5703125" style="131" customWidth="1"/>
    <col min="8460" max="8460" width="12.42578125" style="131" customWidth="1"/>
    <col min="8461" max="8461" width="13.28515625" style="131" customWidth="1"/>
    <col min="8462" max="8462" width="12.140625" style="131" customWidth="1"/>
    <col min="8463" max="8463" width="12.28515625" style="131" customWidth="1"/>
    <col min="8464" max="8464" width="12.5703125" style="131" customWidth="1"/>
    <col min="8465" max="8465" width="12.7109375" style="131" customWidth="1"/>
    <col min="8466" max="8467" width="12.28515625" style="131" customWidth="1"/>
    <col min="8468" max="8468" width="12.42578125" style="131" customWidth="1"/>
    <col min="8469" max="8469" width="12.28515625" style="131" customWidth="1"/>
    <col min="8470" max="8470" width="13.28515625" style="131" customWidth="1"/>
    <col min="8471" max="8471" width="13.42578125" style="131" customWidth="1"/>
    <col min="8472" max="8702" width="9.140625" style="131"/>
    <col min="8703" max="8703" width="3.28515625" style="131" customWidth="1"/>
    <col min="8704" max="8704" width="10.7109375" style="131" customWidth="1"/>
    <col min="8705" max="8705" width="25.85546875" style="131" customWidth="1"/>
    <col min="8706" max="8706" width="3.42578125" style="131" customWidth="1"/>
    <col min="8707" max="8707" width="13.42578125" style="131" customWidth="1"/>
    <col min="8708" max="8708" width="10.85546875" style="131" customWidth="1"/>
    <col min="8709" max="8709" width="12.140625" style="131" customWidth="1"/>
    <col min="8710" max="8711" width="0" style="131" hidden="1" customWidth="1"/>
    <col min="8712" max="8712" width="12.5703125" style="131" customWidth="1"/>
    <col min="8713" max="8713" width="12.28515625" style="131" customWidth="1"/>
    <col min="8714" max="8714" width="12.140625" style="131" customWidth="1"/>
    <col min="8715" max="8715" width="12.5703125" style="131" customWidth="1"/>
    <col min="8716" max="8716" width="12.42578125" style="131" customWidth="1"/>
    <col min="8717" max="8717" width="13.28515625" style="131" customWidth="1"/>
    <col min="8718" max="8718" width="12.140625" style="131" customWidth="1"/>
    <col min="8719" max="8719" width="12.28515625" style="131" customWidth="1"/>
    <col min="8720" max="8720" width="12.5703125" style="131" customWidth="1"/>
    <col min="8721" max="8721" width="12.7109375" style="131" customWidth="1"/>
    <col min="8722" max="8723" width="12.28515625" style="131" customWidth="1"/>
    <col min="8724" max="8724" width="12.42578125" style="131" customWidth="1"/>
    <col min="8725" max="8725" width="12.28515625" style="131" customWidth="1"/>
    <col min="8726" max="8726" width="13.28515625" style="131" customWidth="1"/>
    <col min="8727" max="8727" width="13.42578125" style="131" customWidth="1"/>
    <col min="8728" max="8958" width="9.140625" style="131"/>
    <col min="8959" max="8959" width="3.28515625" style="131" customWidth="1"/>
    <col min="8960" max="8960" width="10.7109375" style="131" customWidth="1"/>
    <col min="8961" max="8961" width="25.85546875" style="131" customWidth="1"/>
    <col min="8962" max="8962" width="3.42578125" style="131" customWidth="1"/>
    <col min="8963" max="8963" width="13.42578125" style="131" customWidth="1"/>
    <col min="8964" max="8964" width="10.85546875" style="131" customWidth="1"/>
    <col min="8965" max="8965" width="12.140625" style="131" customWidth="1"/>
    <col min="8966" max="8967" width="0" style="131" hidden="1" customWidth="1"/>
    <col min="8968" max="8968" width="12.5703125" style="131" customWidth="1"/>
    <col min="8969" max="8969" width="12.28515625" style="131" customWidth="1"/>
    <col min="8970" max="8970" width="12.140625" style="131" customWidth="1"/>
    <col min="8971" max="8971" width="12.5703125" style="131" customWidth="1"/>
    <col min="8972" max="8972" width="12.42578125" style="131" customWidth="1"/>
    <col min="8973" max="8973" width="13.28515625" style="131" customWidth="1"/>
    <col min="8974" max="8974" width="12.140625" style="131" customWidth="1"/>
    <col min="8975" max="8975" width="12.28515625" style="131" customWidth="1"/>
    <col min="8976" max="8976" width="12.5703125" style="131" customWidth="1"/>
    <col min="8977" max="8977" width="12.7109375" style="131" customWidth="1"/>
    <col min="8978" max="8979" width="12.28515625" style="131" customWidth="1"/>
    <col min="8980" max="8980" width="12.42578125" style="131" customWidth="1"/>
    <col min="8981" max="8981" width="12.28515625" style="131" customWidth="1"/>
    <col min="8982" max="8982" width="13.28515625" style="131" customWidth="1"/>
    <col min="8983" max="8983" width="13.42578125" style="131" customWidth="1"/>
    <col min="8984" max="9214" width="9.140625" style="131"/>
    <col min="9215" max="9215" width="3.28515625" style="131" customWidth="1"/>
    <col min="9216" max="9216" width="10.7109375" style="131" customWidth="1"/>
    <col min="9217" max="9217" width="25.85546875" style="131" customWidth="1"/>
    <col min="9218" max="9218" width="3.42578125" style="131" customWidth="1"/>
    <col min="9219" max="9219" width="13.42578125" style="131" customWidth="1"/>
    <col min="9220" max="9220" width="10.85546875" style="131" customWidth="1"/>
    <col min="9221" max="9221" width="12.140625" style="131" customWidth="1"/>
    <col min="9222" max="9223" width="0" style="131" hidden="1" customWidth="1"/>
    <col min="9224" max="9224" width="12.5703125" style="131" customWidth="1"/>
    <col min="9225" max="9225" width="12.28515625" style="131" customWidth="1"/>
    <col min="9226" max="9226" width="12.140625" style="131" customWidth="1"/>
    <col min="9227" max="9227" width="12.5703125" style="131" customWidth="1"/>
    <col min="9228" max="9228" width="12.42578125" style="131" customWidth="1"/>
    <col min="9229" max="9229" width="13.28515625" style="131" customWidth="1"/>
    <col min="9230" max="9230" width="12.140625" style="131" customWidth="1"/>
    <col min="9231" max="9231" width="12.28515625" style="131" customWidth="1"/>
    <col min="9232" max="9232" width="12.5703125" style="131" customWidth="1"/>
    <col min="9233" max="9233" width="12.7109375" style="131" customWidth="1"/>
    <col min="9234" max="9235" width="12.28515625" style="131" customWidth="1"/>
    <col min="9236" max="9236" width="12.42578125" style="131" customWidth="1"/>
    <col min="9237" max="9237" width="12.28515625" style="131" customWidth="1"/>
    <col min="9238" max="9238" width="13.28515625" style="131" customWidth="1"/>
    <col min="9239" max="9239" width="13.42578125" style="131" customWidth="1"/>
    <col min="9240" max="9470" width="9.140625" style="131"/>
    <col min="9471" max="9471" width="3.28515625" style="131" customWidth="1"/>
    <col min="9472" max="9472" width="10.7109375" style="131" customWidth="1"/>
    <col min="9473" max="9473" width="25.85546875" style="131" customWidth="1"/>
    <col min="9474" max="9474" width="3.42578125" style="131" customWidth="1"/>
    <col min="9475" max="9475" width="13.42578125" style="131" customWidth="1"/>
    <col min="9476" max="9476" width="10.85546875" style="131" customWidth="1"/>
    <col min="9477" max="9477" width="12.140625" style="131" customWidth="1"/>
    <col min="9478" max="9479" width="0" style="131" hidden="1" customWidth="1"/>
    <col min="9480" max="9480" width="12.5703125" style="131" customWidth="1"/>
    <col min="9481" max="9481" width="12.28515625" style="131" customWidth="1"/>
    <col min="9482" max="9482" width="12.140625" style="131" customWidth="1"/>
    <col min="9483" max="9483" width="12.5703125" style="131" customWidth="1"/>
    <col min="9484" max="9484" width="12.42578125" style="131" customWidth="1"/>
    <col min="9485" max="9485" width="13.28515625" style="131" customWidth="1"/>
    <col min="9486" max="9486" width="12.140625" style="131" customWidth="1"/>
    <col min="9487" max="9487" width="12.28515625" style="131" customWidth="1"/>
    <col min="9488" max="9488" width="12.5703125" style="131" customWidth="1"/>
    <col min="9489" max="9489" width="12.7109375" style="131" customWidth="1"/>
    <col min="9490" max="9491" width="12.28515625" style="131" customWidth="1"/>
    <col min="9492" max="9492" width="12.42578125" style="131" customWidth="1"/>
    <col min="9493" max="9493" width="12.28515625" style="131" customWidth="1"/>
    <col min="9494" max="9494" width="13.28515625" style="131" customWidth="1"/>
    <col min="9495" max="9495" width="13.42578125" style="131" customWidth="1"/>
    <col min="9496" max="9726" width="9.140625" style="131"/>
    <col min="9727" max="9727" width="3.28515625" style="131" customWidth="1"/>
    <col min="9728" max="9728" width="10.7109375" style="131" customWidth="1"/>
    <col min="9729" max="9729" width="25.85546875" style="131" customWidth="1"/>
    <col min="9730" max="9730" width="3.42578125" style="131" customWidth="1"/>
    <col min="9731" max="9731" width="13.42578125" style="131" customWidth="1"/>
    <col min="9732" max="9732" width="10.85546875" style="131" customWidth="1"/>
    <col min="9733" max="9733" width="12.140625" style="131" customWidth="1"/>
    <col min="9734" max="9735" width="0" style="131" hidden="1" customWidth="1"/>
    <col min="9736" max="9736" width="12.5703125" style="131" customWidth="1"/>
    <col min="9737" max="9737" width="12.28515625" style="131" customWidth="1"/>
    <col min="9738" max="9738" width="12.140625" style="131" customWidth="1"/>
    <col min="9739" max="9739" width="12.5703125" style="131" customWidth="1"/>
    <col min="9740" max="9740" width="12.42578125" style="131" customWidth="1"/>
    <col min="9741" max="9741" width="13.28515625" style="131" customWidth="1"/>
    <col min="9742" max="9742" width="12.140625" style="131" customWidth="1"/>
    <col min="9743" max="9743" width="12.28515625" style="131" customWidth="1"/>
    <col min="9744" max="9744" width="12.5703125" style="131" customWidth="1"/>
    <col min="9745" max="9745" width="12.7109375" style="131" customWidth="1"/>
    <col min="9746" max="9747" width="12.28515625" style="131" customWidth="1"/>
    <col min="9748" max="9748" width="12.42578125" style="131" customWidth="1"/>
    <col min="9749" max="9749" width="12.28515625" style="131" customWidth="1"/>
    <col min="9750" max="9750" width="13.28515625" style="131" customWidth="1"/>
    <col min="9751" max="9751" width="13.42578125" style="131" customWidth="1"/>
    <col min="9752" max="9982" width="9.140625" style="131"/>
    <col min="9983" max="9983" width="3.28515625" style="131" customWidth="1"/>
    <col min="9984" max="9984" width="10.7109375" style="131" customWidth="1"/>
    <col min="9985" max="9985" width="25.85546875" style="131" customWidth="1"/>
    <col min="9986" max="9986" width="3.42578125" style="131" customWidth="1"/>
    <col min="9987" max="9987" width="13.42578125" style="131" customWidth="1"/>
    <col min="9988" max="9988" width="10.85546875" style="131" customWidth="1"/>
    <col min="9989" max="9989" width="12.140625" style="131" customWidth="1"/>
    <col min="9990" max="9991" width="0" style="131" hidden="1" customWidth="1"/>
    <col min="9992" max="9992" width="12.5703125" style="131" customWidth="1"/>
    <col min="9993" max="9993" width="12.28515625" style="131" customWidth="1"/>
    <col min="9994" max="9994" width="12.140625" style="131" customWidth="1"/>
    <col min="9995" max="9995" width="12.5703125" style="131" customWidth="1"/>
    <col min="9996" max="9996" width="12.42578125" style="131" customWidth="1"/>
    <col min="9997" max="9997" width="13.28515625" style="131" customWidth="1"/>
    <col min="9998" max="9998" width="12.140625" style="131" customWidth="1"/>
    <col min="9999" max="9999" width="12.28515625" style="131" customWidth="1"/>
    <col min="10000" max="10000" width="12.5703125" style="131" customWidth="1"/>
    <col min="10001" max="10001" width="12.7109375" style="131" customWidth="1"/>
    <col min="10002" max="10003" width="12.28515625" style="131" customWidth="1"/>
    <col min="10004" max="10004" width="12.42578125" style="131" customWidth="1"/>
    <col min="10005" max="10005" width="12.28515625" style="131" customWidth="1"/>
    <col min="10006" max="10006" width="13.28515625" style="131" customWidth="1"/>
    <col min="10007" max="10007" width="13.42578125" style="131" customWidth="1"/>
    <col min="10008" max="10238" width="9.140625" style="131"/>
    <col min="10239" max="10239" width="3.28515625" style="131" customWidth="1"/>
    <col min="10240" max="10240" width="10.7109375" style="131" customWidth="1"/>
    <col min="10241" max="10241" width="25.85546875" style="131" customWidth="1"/>
    <col min="10242" max="10242" width="3.42578125" style="131" customWidth="1"/>
    <col min="10243" max="10243" width="13.42578125" style="131" customWidth="1"/>
    <col min="10244" max="10244" width="10.85546875" style="131" customWidth="1"/>
    <col min="10245" max="10245" width="12.140625" style="131" customWidth="1"/>
    <col min="10246" max="10247" width="0" style="131" hidden="1" customWidth="1"/>
    <col min="10248" max="10248" width="12.5703125" style="131" customWidth="1"/>
    <col min="10249" max="10249" width="12.28515625" style="131" customWidth="1"/>
    <col min="10250" max="10250" width="12.140625" style="131" customWidth="1"/>
    <col min="10251" max="10251" width="12.5703125" style="131" customWidth="1"/>
    <col min="10252" max="10252" width="12.42578125" style="131" customWidth="1"/>
    <col min="10253" max="10253" width="13.28515625" style="131" customWidth="1"/>
    <col min="10254" max="10254" width="12.140625" style="131" customWidth="1"/>
    <col min="10255" max="10255" width="12.28515625" style="131" customWidth="1"/>
    <col min="10256" max="10256" width="12.5703125" style="131" customWidth="1"/>
    <col min="10257" max="10257" width="12.7109375" style="131" customWidth="1"/>
    <col min="10258" max="10259" width="12.28515625" style="131" customWidth="1"/>
    <col min="10260" max="10260" width="12.42578125" style="131" customWidth="1"/>
    <col min="10261" max="10261" width="12.28515625" style="131" customWidth="1"/>
    <col min="10262" max="10262" width="13.28515625" style="131" customWidth="1"/>
    <col min="10263" max="10263" width="13.42578125" style="131" customWidth="1"/>
    <col min="10264" max="10494" width="9.140625" style="131"/>
    <col min="10495" max="10495" width="3.28515625" style="131" customWidth="1"/>
    <col min="10496" max="10496" width="10.7109375" style="131" customWidth="1"/>
    <col min="10497" max="10497" width="25.85546875" style="131" customWidth="1"/>
    <col min="10498" max="10498" width="3.42578125" style="131" customWidth="1"/>
    <col min="10499" max="10499" width="13.42578125" style="131" customWidth="1"/>
    <col min="10500" max="10500" width="10.85546875" style="131" customWidth="1"/>
    <col min="10501" max="10501" width="12.140625" style="131" customWidth="1"/>
    <col min="10502" max="10503" width="0" style="131" hidden="1" customWidth="1"/>
    <col min="10504" max="10504" width="12.5703125" style="131" customWidth="1"/>
    <col min="10505" max="10505" width="12.28515625" style="131" customWidth="1"/>
    <col min="10506" max="10506" width="12.140625" style="131" customWidth="1"/>
    <col min="10507" max="10507" width="12.5703125" style="131" customWidth="1"/>
    <col min="10508" max="10508" width="12.42578125" style="131" customWidth="1"/>
    <col min="10509" max="10509" width="13.28515625" style="131" customWidth="1"/>
    <col min="10510" max="10510" width="12.140625" style="131" customWidth="1"/>
    <col min="10511" max="10511" width="12.28515625" style="131" customWidth="1"/>
    <col min="10512" max="10512" width="12.5703125" style="131" customWidth="1"/>
    <col min="10513" max="10513" width="12.7109375" style="131" customWidth="1"/>
    <col min="10514" max="10515" width="12.28515625" style="131" customWidth="1"/>
    <col min="10516" max="10516" width="12.42578125" style="131" customWidth="1"/>
    <col min="10517" max="10517" width="12.28515625" style="131" customWidth="1"/>
    <col min="10518" max="10518" width="13.28515625" style="131" customWidth="1"/>
    <col min="10519" max="10519" width="13.42578125" style="131" customWidth="1"/>
    <col min="10520" max="10750" width="9.140625" style="131"/>
    <col min="10751" max="10751" width="3.28515625" style="131" customWidth="1"/>
    <col min="10752" max="10752" width="10.7109375" style="131" customWidth="1"/>
    <col min="10753" max="10753" width="25.85546875" style="131" customWidth="1"/>
    <col min="10754" max="10754" width="3.42578125" style="131" customWidth="1"/>
    <col min="10755" max="10755" width="13.42578125" style="131" customWidth="1"/>
    <col min="10756" max="10756" width="10.85546875" style="131" customWidth="1"/>
    <col min="10757" max="10757" width="12.140625" style="131" customWidth="1"/>
    <col min="10758" max="10759" width="0" style="131" hidden="1" customWidth="1"/>
    <col min="10760" max="10760" width="12.5703125" style="131" customWidth="1"/>
    <col min="10761" max="10761" width="12.28515625" style="131" customWidth="1"/>
    <col min="10762" max="10762" width="12.140625" style="131" customWidth="1"/>
    <col min="10763" max="10763" width="12.5703125" style="131" customWidth="1"/>
    <col min="10764" max="10764" width="12.42578125" style="131" customWidth="1"/>
    <col min="10765" max="10765" width="13.28515625" style="131" customWidth="1"/>
    <col min="10766" max="10766" width="12.140625" style="131" customWidth="1"/>
    <col min="10767" max="10767" width="12.28515625" style="131" customWidth="1"/>
    <col min="10768" max="10768" width="12.5703125" style="131" customWidth="1"/>
    <col min="10769" max="10769" width="12.7109375" style="131" customWidth="1"/>
    <col min="10770" max="10771" width="12.28515625" style="131" customWidth="1"/>
    <col min="10772" max="10772" width="12.42578125" style="131" customWidth="1"/>
    <col min="10773" max="10773" width="12.28515625" style="131" customWidth="1"/>
    <col min="10774" max="10774" width="13.28515625" style="131" customWidth="1"/>
    <col min="10775" max="10775" width="13.42578125" style="131" customWidth="1"/>
    <col min="10776" max="11006" width="9.140625" style="131"/>
    <col min="11007" max="11007" width="3.28515625" style="131" customWidth="1"/>
    <col min="11008" max="11008" width="10.7109375" style="131" customWidth="1"/>
    <col min="11009" max="11009" width="25.85546875" style="131" customWidth="1"/>
    <col min="11010" max="11010" width="3.42578125" style="131" customWidth="1"/>
    <col min="11011" max="11011" width="13.42578125" style="131" customWidth="1"/>
    <col min="11012" max="11012" width="10.85546875" style="131" customWidth="1"/>
    <col min="11013" max="11013" width="12.140625" style="131" customWidth="1"/>
    <col min="11014" max="11015" width="0" style="131" hidden="1" customWidth="1"/>
    <col min="11016" max="11016" width="12.5703125" style="131" customWidth="1"/>
    <col min="11017" max="11017" width="12.28515625" style="131" customWidth="1"/>
    <col min="11018" max="11018" width="12.140625" style="131" customWidth="1"/>
    <col min="11019" max="11019" width="12.5703125" style="131" customWidth="1"/>
    <col min="11020" max="11020" width="12.42578125" style="131" customWidth="1"/>
    <col min="11021" max="11021" width="13.28515625" style="131" customWidth="1"/>
    <col min="11022" max="11022" width="12.140625" style="131" customWidth="1"/>
    <col min="11023" max="11023" width="12.28515625" style="131" customWidth="1"/>
    <col min="11024" max="11024" width="12.5703125" style="131" customWidth="1"/>
    <col min="11025" max="11025" width="12.7109375" style="131" customWidth="1"/>
    <col min="11026" max="11027" width="12.28515625" style="131" customWidth="1"/>
    <col min="11028" max="11028" width="12.42578125" style="131" customWidth="1"/>
    <col min="11029" max="11029" width="12.28515625" style="131" customWidth="1"/>
    <col min="11030" max="11030" width="13.28515625" style="131" customWidth="1"/>
    <col min="11031" max="11031" width="13.42578125" style="131" customWidth="1"/>
    <col min="11032" max="11262" width="9.140625" style="131"/>
    <col min="11263" max="11263" width="3.28515625" style="131" customWidth="1"/>
    <col min="11264" max="11264" width="10.7109375" style="131" customWidth="1"/>
    <col min="11265" max="11265" width="25.85546875" style="131" customWidth="1"/>
    <col min="11266" max="11266" width="3.42578125" style="131" customWidth="1"/>
    <col min="11267" max="11267" width="13.42578125" style="131" customWidth="1"/>
    <col min="11268" max="11268" width="10.85546875" style="131" customWidth="1"/>
    <col min="11269" max="11269" width="12.140625" style="131" customWidth="1"/>
    <col min="11270" max="11271" width="0" style="131" hidden="1" customWidth="1"/>
    <col min="11272" max="11272" width="12.5703125" style="131" customWidth="1"/>
    <col min="11273" max="11273" width="12.28515625" style="131" customWidth="1"/>
    <col min="11274" max="11274" width="12.140625" style="131" customWidth="1"/>
    <col min="11275" max="11275" width="12.5703125" style="131" customWidth="1"/>
    <col min="11276" max="11276" width="12.42578125" style="131" customWidth="1"/>
    <col min="11277" max="11277" width="13.28515625" style="131" customWidth="1"/>
    <col min="11278" max="11278" width="12.140625" style="131" customWidth="1"/>
    <col min="11279" max="11279" width="12.28515625" style="131" customWidth="1"/>
    <col min="11280" max="11280" width="12.5703125" style="131" customWidth="1"/>
    <col min="11281" max="11281" width="12.7109375" style="131" customWidth="1"/>
    <col min="11282" max="11283" width="12.28515625" style="131" customWidth="1"/>
    <col min="11284" max="11284" width="12.42578125" style="131" customWidth="1"/>
    <col min="11285" max="11285" width="12.28515625" style="131" customWidth="1"/>
    <col min="11286" max="11286" width="13.28515625" style="131" customWidth="1"/>
    <col min="11287" max="11287" width="13.42578125" style="131" customWidth="1"/>
    <col min="11288" max="11518" width="9.140625" style="131"/>
    <col min="11519" max="11519" width="3.28515625" style="131" customWidth="1"/>
    <col min="11520" max="11520" width="10.7109375" style="131" customWidth="1"/>
    <col min="11521" max="11521" width="25.85546875" style="131" customWidth="1"/>
    <col min="11522" max="11522" width="3.42578125" style="131" customWidth="1"/>
    <col min="11523" max="11523" width="13.42578125" style="131" customWidth="1"/>
    <col min="11524" max="11524" width="10.85546875" style="131" customWidth="1"/>
    <col min="11525" max="11525" width="12.140625" style="131" customWidth="1"/>
    <col min="11526" max="11527" width="0" style="131" hidden="1" customWidth="1"/>
    <col min="11528" max="11528" width="12.5703125" style="131" customWidth="1"/>
    <col min="11529" max="11529" width="12.28515625" style="131" customWidth="1"/>
    <col min="11530" max="11530" width="12.140625" style="131" customWidth="1"/>
    <col min="11531" max="11531" width="12.5703125" style="131" customWidth="1"/>
    <col min="11532" max="11532" width="12.42578125" style="131" customWidth="1"/>
    <col min="11533" max="11533" width="13.28515625" style="131" customWidth="1"/>
    <col min="11534" max="11534" width="12.140625" style="131" customWidth="1"/>
    <col min="11535" max="11535" width="12.28515625" style="131" customWidth="1"/>
    <col min="11536" max="11536" width="12.5703125" style="131" customWidth="1"/>
    <col min="11537" max="11537" width="12.7109375" style="131" customWidth="1"/>
    <col min="11538" max="11539" width="12.28515625" style="131" customWidth="1"/>
    <col min="11540" max="11540" width="12.42578125" style="131" customWidth="1"/>
    <col min="11541" max="11541" width="12.28515625" style="131" customWidth="1"/>
    <col min="11542" max="11542" width="13.28515625" style="131" customWidth="1"/>
    <col min="11543" max="11543" width="13.42578125" style="131" customWidth="1"/>
    <col min="11544" max="11774" width="9.140625" style="131"/>
    <col min="11775" max="11775" width="3.28515625" style="131" customWidth="1"/>
    <col min="11776" max="11776" width="10.7109375" style="131" customWidth="1"/>
    <col min="11777" max="11777" width="25.85546875" style="131" customWidth="1"/>
    <col min="11778" max="11778" width="3.42578125" style="131" customWidth="1"/>
    <col min="11779" max="11779" width="13.42578125" style="131" customWidth="1"/>
    <col min="11780" max="11780" width="10.85546875" style="131" customWidth="1"/>
    <col min="11781" max="11781" width="12.140625" style="131" customWidth="1"/>
    <col min="11782" max="11783" width="0" style="131" hidden="1" customWidth="1"/>
    <col min="11784" max="11784" width="12.5703125" style="131" customWidth="1"/>
    <col min="11785" max="11785" width="12.28515625" style="131" customWidth="1"/>
    <col min="11786" max="11786" width="12.140625" style="131" customWidth="1"/>
    <col min="11787" max="11787" width="12.5703125" style="131" customWidth="1"/>
    <col min="11788" max="11788" width="12.42578125" style="131" customWidth="1"/>
    <col min="11789" max="11789" width="13.28515625" style="131" customWidth="1"/>
    <col min="11790" max="11790" width="12.140625" style="131" customWidth="1"/>
    <col min="11791" max="11791" width="12.28515625" style="131" customWidth="1"/>
    <col min="11792" max="11792" width="12.5703125" style="131" customWidth="1"/>
    <col min="11793" max="11793" width="12.7109375" style="131" customWidth="1"/>
    <col min="11794" max="11795" width="12.28515625" style="131" customWidth="1"/>
    <col min="11796" max="11796" width="12.42578125" style="131" customWidth="1"/>
    <col min="11797" max="11797" width="12.28515625" style="131" customWidth="1"/>
    <col min="11798" max="11798" width="13.28515625" style="131" customWidth="1"/>
    <col min="11799" max="11799" width="13.42578125" style="131" customWidth="1"/>
    <col min="11800" max="12030" width="9.140625" style="131"/>
    <col min="12031" max="12031" width="3.28515625" style="131" customWidth="1"/>
    <col min="12032" max="12032" width="10.7109375" style="131" customWidth="1"/>
    <col min="12033" max="12033" width="25.85546875" style="131" customWidth="1"/>
    <col min="12034" max="12034" width="3.42578125" style="131" customWidth="1"/>
    <col min="12035" max="12035" width="13.42578125" style="131" customWidth="1"/>
    <col min="12036" max="12036" width="10.85546875" style="131" customWidth="1"/>
    <col min="12037" max="12037" width="12.140625" style="131" customWidth="1"/>
    <col min="12038" max="12039" width="0" style="131" hidden="1" customWidth="1"/>
    <col min="12040" max="12040" width="12.5703125" style="131" customWidth="1"/>
    <col min="12041" max="12041" width="12.28515625" style="131" customWidth="1"/>
    <col min="12042" max="12042" width="12.140625" style="131" customWidth="1"/>
    <col min="12043" max="12043" width="12.5703125" style="131" customWidth="1"/>
    <col min="12044" max="12044" width="12.42578125" style="131" customWidth="1"/>
    <col min="12045" max="12045" width="13.28515625" style="131" customWidth="1"/>
    <col min="12046" max="12046" width="12.140625" style="131" customWidth="1"/>
    <col min="12047" max="12047" width="12.28515625" style="131" customWidth="1"/>
    <col min="12048" max="12048" width="12.5703125" style="131" customWidth="1"/>
    <col min="12049" max="12049" width="12.7109375" style="131" customWidth="1"/>
    <col min="12050" max="12051" width="12.28515625" style="131" customWidth="1"/>
    <col min="12052" max="12052" width="12.42578125" style="131" customWidth="1"/>
    <col min="12053" max="12053" width="12.28515625" style="131" customWidth="1"/>
    <col min="12054" max="12054" width="13.28515625" style="131" customWidth="1"/>
    <col min="12055" max="12055" width="13.42578125" style="131" customWidth="1"/>
    <col min="12056" max="12286" width="9.140625" style="131"/>
    <col min="12287" max="12287" width="3.28515625" style="131" customWidth="1"/>
    <col min="12288" max="12288" width="10.7109375" style="131" customWidth="1"/>
    <col min="12289" max="12289" width="25.85546875" style="131" customWidth="1"/>
    <col min="12290" max="12290" width="3.42578125" style="131" customWidth="1"/>
    <col min="12291" max="12291" width="13.42578125" style="131" customWidth="1"/>
    <col min="12292" max="12292" width="10.85546875" style="131" customWidth="1"/>
    <col min="12293" max="12293" width="12.140625" style="131" customWidth="1"/>
    <col min="12294" max="12295" width="0" style="131" hidden="1" customWidth="1"/>
    <col min="12296" max="12296" width="12.5703125" style="131" customWidth="1"/>
    <col min="12297" max="12297" width="12.28515625" style="131" customWidth="1"/>
    <col min="12298" max="12298" width="12.140625" style="131" customWidth="1"/>
    <col min="12299" max="12299" width="12.5703125" style="131" customWidth="1"/>
    <col min="12300" max="12300" width="12.42578125" style="131" customWidth="1"/>
    <col min="12301" max="12301" width="13.28515625" style="131" customWidth="1"/>
    <col min="12302" max="12302" width="12.140625" style="131" customWidth="1"/>
    <col min="12303" max="12303" width="12.28515625" style="131" customWidth="1"/>
    <col min="12304" max="12304" width="12.5703125" style="131" customWidth="1"/>
    <col min="12305" max="12305" width="12.7109375" style="131" customWidth="1"/>
    <col min="12306" max="12307" width="12.28515625" style="131" customWidth="1"/>
    <col min="12308" max="12308" width="12.42578125" style="131" customWidth="1"/>
    <col min="12309" max="12309" width="12.28515625" style="131" customWidth="1"/>
    <col min="12310" max="12310" width="13.28515625" style="131" customWidth="1"/>
    <col min="12311" max="12311" width="13.42578125" style="131" customWidth="1"/>
    <col min="12312" max="12542" width="9.140625" style="131"/>
    <col min="12543" max="12543" width="3.28515625" style="131" customWidth="1"/>
    <col min="12544" max="12544" width="10.7109375" style="131" customWidth="1"/>
    <col min="12545" max="12545" width="25.85546875" style="131" customWidth="1"/>
    <col min="12546" max="12546" width="3.42578125" style="131" customWidth="1"/>
    <col min="12547" max="12547" width="13.42578125" style="131" customWidth="1"/>
    <col min="12548" max="12548" width="10.85546875" style="131" customWidth="1"/>
    <col min="12549" max="12549" width="12.140625" style="131" customWidth="1"/>
    <col min="12550" max="12551" width="0" style="131" hidden="1" customWidth="1"/>
    <col min="12552" max="12552" width="12.5703125" style="131" customWidth="1"/>
    <col min="12553" max="12553" width="12.28515625" style="131" customWidth="1"/>
    <col min="12554" max="12554" width="12.140625" style="131" customWidth="1"/>
    <col min="12555" max="12555" width="12.5703125" style="131" customWidth="1"/>
    <col min="12556" max="12556" width="12.42578125" style="131" customWidth="1"/>
    <col min="12557" max="12557" width="13.28515625" style="131" customWidth="1"/>
    <col min="12558" max="12558" width="12.140625" style="131" customWidth="1"/>
    <col min="12559" max="12559" width="12.28515625" style="131" customWidth="1"/>
    <col min="12560" max="12560" width="12.5703125" style="131" customWidth="1"/>
    <col min="12561" max="12561" width="12.7109375" style="131" customWidth="1"/>
    <col min="12562" max="12563" width="12.28515625" style="131" customWidth="1"/>
    <col min="12564" max="12564" width="12.42578125" style="131" customWidth="1"/>
    <col min="12565" max="12565" width="12.28515625" style="131" customWidth="1"/>
    <col min="12566" max="12566" width="13.28515625" style="131" customWidth="1"/>
    <col min="12567" max="12567" width="13.42578125" style="131" customWidth="1"/>
    <col min="12568" max="12798" width="9.140625" style="131"/>
    <col min="12799" max="12799" width="3.28515625" style="131" customWidth="1"/>
    <col min="12800" max="12800" width="10.7109375" style="131" customWidth="1"/>
    <col min="12801" max="12801" width="25.85546875" style="131" customWidth="1"/>
    <col min="12802" max="12802" width="3.42578125" style="131" customWidth="1"/>
    <col min="12803" max="12803" width="13.42578125" style="131" customWidth="1"/>
    <col min="12804" max="12804" width="10.85546875" style="131" customWidth="1"/>
    <col min="12805" max="12805" width="12.140625" style="131" customWidth="1"/>
    <col min="12806" max="12807" width="0" style="131" hidden="1" customWidth="1"/>
    <col min="12808" max="12808" width="12.5703125" style="131" customWidth="1"/>
    <col min="12809" max="12809" width="12.28515625" style="131" customWidth="1"/>
    <col min="12810" max="12810" width="12.140625" style="131" customWidth="1"/>
    <col min="12811" max="12811" width="12.5703125" style="131" customWidth="1"/>
    <col min="12812" max="12812" width="12.42578125" style="131" customWidth="1"/>
    <col min="12813" max="12813" width="13.28515625" style="131" customWidth="1"/>
    <col min="12814" max="12814" width="12.140625" style="131" customWidth="1"/>
    <col min="12815" max="12815" width="12.28515625" style="131" customWidth="1"/>
    <col min="12816" max="12816" width="12.5703125" style="131" customWidth="1"/>
    <col min="12817" max="12817" width="12.7109375" style="131" customWidth="1"/>
    <col min="12818" max="12819" width="12.28515625" style="131" customWidth="1"/>
    <col min="12820" max="12820" width="12.42578125" style="131" customWidth="1"/>
    <col min="12821" max="12821" width="12.28515625" style="131" customWidth="1"/>
    <col min="12822" max="12822" width="13.28515625" style="131" customWidth="1"/>
    <col min="12823" max="12823" width="13.42578125" style="131" customWidth="1"/>
    <col min="12824" max="13054" width="9.140625" style="131"/>
    <col min="13055" max="13055" width="3.28515625" style="131" customWidth="1"/>
    <col min="13056" max="13056" width="10.7109375" style="131" customWidth="1"/>
    <col min="13057" max="13057" width="25.85546875" style="131" customWidth="1"/>
    <col min="13058" max="13058" width="3.42578125" style="131" customWidth="1"/>
    <col min="13059" max="13059" width="13.42578125" style="131" customWidth="1"/>
    <col min="13060" max="13060" width="10.85546875" style="131" customWidth="1"/>
    <col min="13061" max="13061" width="12.140625" style="131" customWidth="1"/>
    <col min="13062" max="13063" width="0" style="131" hidden="1" customWidth="1"/>
    <col min="13064" max="13064" width="12.5703125" style="131" customWidth="1"/>
    <col min="13065" max="13065" width="12.28515625" style="131" customWidth="1"/>
    <col min="13066" max="13066" width="12.140625" style="131" customWidth="1"/>
    <col min="13067" max="13067" width="12.5703125" style="131" customWidth="1"/>
    <col min="13068" max="13068" width="12.42578125" style="131" customWidth="1"/>
    <col min="13069" max="13069" width="13.28515625" style="131" customWidth="1"/>
    <col min="13070" max="13070" width="12.140625" style="131" customWidth="1"/>
    <col min="13071" max="13071" width="12.28515625" style="131" customWidth="1"/>
    <col min="13072" max="13072" width="12.5703125" style="131" customWidth="1"/>
    <col min="13073" max="13073" width="12.7109375" style="131" customWidth="1"/>
    <col min="13074" max="13075" width="12.28515625" style="131" customWidth="1"/>
    <col min="13076" max="13076" width="12.42578125" style="131" customWidth="1"/>
    <col min="13077" max="13077" width="12.28515625" style="131" customWidth="1"/>
    <col min="13078" max="13078" width="13.28515625" style="131" customWidth="1"/>
    <col min="13079" max="13079" width="13.42578125" style="131" customWidth="1"/>
    <col min="13080" max="13310" width="9.140625" style="131"/>
    <col min="13311" max="13311" width="3.28515625" style="131" customWidth="1"/>
    <col min="13312" max="13312" width="10.7109375" style="131" customWidth="1"/>
    <col min="13313" max="13313" width="25.85546875" style="131" customWidth="1"/>
    <col min="13314" max="13314" width="3.42578125" style="131" customWidth="1"/>
    <col min="13315" max="13315" width="13.42578125" style="131" customWidth="1"/>
    <col min="13316" max="13316" width="10.85546875" style="131" customWidth="1"/>
    <col min="13317" max="13317" width="12.140625" style="131" customWidth="1"/>
    <col min="13318" max="13319" width="0" style="131" hidden="1" customWidth="1"/>
    <col min="13320" max="13320" width="12.5703125" style="131" customWidth="1"/>
    <col min="13321" max="13321" width="12.28515625" style="131" customWidth="1"/>
    <col min="13322" max="13322" width="12.140625" style="131" customWidth="1"/>
    <col min="13323" max="13323" width="12.5703125" style="131" customWidth="1"/>
    <col min="13324" max="13324" width="12.42578125" style="131" customWidth="1"/>
    <col min="13325" max="13325" width="13.28515625" style="131" customWidth="1"/>
    <col min="13326" max="13326" width="12.140625" style="131" customWidth="1"/>
    <col min="13327" max="13327" width="12.28515625" style="131" customWidth="1"/>
    <col min="13328" max="13328" width="12.5703125" style="131" customWidth="1"/>
    <col min="13329" max="13329" width="12.7109375" style="131" customWidth="1"/>
    <col min="13330" max="13331" width="12.28515625" style="131" customWidth="1"/>
    <col min="13332" max="13332" width="12.42578125" style="131" customWidth="1"/>
    <col min="13333" max="13333" width="12.28515625" style="131" customWidth="1"/>
    <col min="13334" max="13334" width="13.28515625" style="131" customWidth="1"/>
    <col min="13335" max="13335" width="13.42578125" style="131" customWidth="1"/>
    <col min="13336" max="13566" width="9.140625" style="131"/>
    <col min="13567" max="13567" width="3.28515625" style="131" customWidth="1"/>
    <col min="13568" max="13568" width="10.7109375" style="131" customWidth="1"/>
    <col min="13569" max="13569" width="25.85546875" style="131" customWidth="1"/>
    <col min="13570" max="13570" width="3.42578125" style="131" customWidth="1"/>
    <col min="13571" max="13571" width="13.42578125" style="131" customWidth="1"/>
    <col min="13572" max="13572" width="10.85546875" style="131" customWidth="1"/>
    <col min="13573" max="13573" width="12.140625" style="131" customWidth="1"/>
    <col min="13574" max="13575" width="0" style="131" hidden="1" customWidth="1"/>
    <col min="13576" max="13576" width="12.5703125" style="131" customWidth="1"/>
    <col min="13577" max="13577" width="12.28515625" style="131" customWidth="1"/>
    <col min="13578" max="13578" width="12.140625" style="131" customWidth="1"/>
    <col min="13579" max="13579" width="12.5703125" style="131" customWidth="1"/>
    <col min="13580" max="13580" width="12.42578125" style="131" customWidth="1"/>
    <col min="13581" max="13581" width="13.28515625" style="131" customWidth="1"/>
    <col min="13582" max="13582" width="12.140625" style="131" customWidth="1"/>
    <col min="13583" max="13583" width="12.28515625" style="131" customWidth="1"/>
    <col min="13584" max="13584" width="12.5703125" style="131" customWidth="1"/>
    <col min="13585" max="13585" width="12.7109375" style="131" customWidth="1"/>
    <col min="13586" max="13587" width="12.28515625" style="131" customWidth="1"/>
    <col min="13588" max="13588" width="12.42578125" style="131" customWidth="1"/>
    <col min="13589" max="13589" width="12.28515625" style="131" customWidth="1"/>
    <col min="13590" max="13590" width="13.28515625" style="131" customWidth="1"/>
    <col min="13591" max="13591" width="13.42578125" style="131" customWidth="1"/>
    <col min="13592" max="13822" width="9.140625" style="131"/>
    <col min="13823" max="13823" width="3.28515625" style="131" customWidth="1"/>
    <col min="13824" max="13824" width="10.7109375" style="131" customWidth="1"/>
    <col min="13825" max="13825" width="25.85546875" style="131" customWidth="1"/>
    <col min="13826" max="13826" width="3.42578125" style="131" customWidth="1"/>
    <col min="13827" max="13827" width="13.42578125" style="131" customWidth="1"/>
    <col min="13828" max="13828" width="10.85546875" style="131" customWidth="1"/>
    <col min="13829" max="13829" width="12.140625" style="131" customWidth="1"/>
    <col min="13830" max="13831" width="0" style="131" hidden="1" customWidth="1"/>
    <col min="13832" max="13832" width="12.5703125" style="131" customWidth="1"/>
    <col min="13833" max="13833" width="12.28515625" style="131" customWidth="1"/>
    <col min="13834" max="13834" width="12.140625" style="131" customWidth="1"/>
    <col min="13835" max="13835" width="12.5703125" style="131" customWidth="1"/>
    <col min="13836" max="13836" width="12.42578125" style="131" customWidth="1"/>
    <col min="13837" max="13837" width="13.28515625" style="131" customWidth="1"/>
    <col min="13838" max="13838" width="12.140625" style="131" customWidth="1"/>
    <col min="13839" max="13839" width="12.28515625" style="131" customWidth="1"/>
    <col min="13840" max="13840" width="12.5703125" style="131" customWidth="1"/>
    <col min="13841" max="13841" width="12.7109375" style="131" customWidth="1"/>
    <col min="13842" max="13843" width="12.28515625" style="131" customWidth="1"/>
    <col min="13844" max="13844" width="12.42578125" style="131" customWidth="1"/>
    <col min="13845" max="13845" width="12.28515625" style="131" customWidth="1"/>
    <col min="13846" max="13846" width="13.28515625" style="131" customWidth="1"/>
    <col min="13847" max="13847" width="13.42578125" style="131" customWidth="1"/>
    <col min="13848" max="14078" width="9.140625" style="131"/>
    <col min="14079" max="14079" width="3.28515625" style="131" customWidth="1"/>
    <col min="14080" max="14080" width="10.7109375" style="131" customWidth="1"/>
    <col min="14081" max="14081" width="25.85546875" style="131" customWidth="1"/>
    <col min="14082" max="14082" width="3.42578125" style="131" customWidth="1"/>
    <col min="14083" max="14083" width="13.42578125" style="131" customWidth="1"/>
    <col min="14084" max="14084" width="10.85546875" style="131" customWidth="1"/>
    <col min="14085" max="14085" width="12.140625" style="131" customWidth="1"/>
    <col min="14086" max="14087" width="0" style="131" hidden="1" customWidth="1"/>
    <col min="14088" max="14088" width="12.5703125" style="131" customWidth="1"/>
    <col min="14089" max="14089" width="12.28515625" style="131" customWidth="1"/>
    <col min="14090" max="14090" width="12.140625" style="131" customWidth="1"/>
    <col min="14091" max="14091" width="12.5703125" style="131" customWidth="1"/>
    <col min="14092" max="14092" width="12.42578125" style="131" customWidth="1"/>
    <col min="14093" max="14093" width="13.28515625" style="131" customWidth="1"/>
    <col min="14094" max="14094" width="12.140625" style="131" customWidth="1"/>
    <col min="14095" max="14095" width="12.28515625" style="131" customWidth="1"/>
    <col min="14096" max="14096" width="12.5703125" style="131" customWidth="1"/>
    <col min="14097" max="14097" width="12.7109375" style="131" customWidth="1"/>
    <col min="14098" max="14099" width="12.28515625" style="131" customWidth="1"/>
    <col min="14100" max="14100" width="12.42578125" style="131" customWidth="1"/>
    <col min="14101" max="14101" width="12.28515625" style="131" customWidth="1"/>
    <col min="14102" max="14102" width="13.28515625" style="131" customWidth="1"/>
    <col min="14103" max="14103" width="13.42578125" style="131" customWidth="1"/>
    <col min="14104" max="14334" width="9.140625" style="131"/>
    <col min="14335" max="14335" width="3.28515625" style="131" customWidth="1"/>
    <col min="14336" max="14336" width="10.7109375" style="131" customWidth="1"/>
    <col min="14337" max="14337" width="25.85546875" style="131" customWidth="1"/>
    <col min="14338" max="14338" width="3.42578125" style="131" customWidth="1"/>
    <col min="14339" max="14339" width="13.42578125" style="131" customWidth="1"/>
    <col min="14340" max="14340" width="10.85546875" style="131" customWidth="1"/>
    <col min="14341" max="14341" width="12.140625" style="131" customWidth="1"/>
    <col min="14342" max="14343" width="0" style="131" hidden="1" customWidth="1"/>
    <col min="14344" max="14344" width="12.5703125" style="131" customWidth="1"/>
    <col min="14345" max="14345" width="12.28515625" style="131" customWidth="1"/>
    <col min="14346" max="14346" width="12.140625" style="131" customWidth="1"/>
    <col min="14347" max="14347" width="12.5703125" style="131" customWidth="1"/>
    <col min="14348" max="14348" width="12.42578125" style="131" customWidth="1"/>
    <col min="14349" max="14349" width="13.28515625" style="131" customWidth="1"/>
    <col min="14350" max="14350" width="12.140625" style="131" customWidth="1"/>
    <col min="14351" max="14351" width="12.28515625" style="131" customWidth="1"/>
    <col min="14352" max="14352" width="12.5703125" style="131" customWidth="1"/>
    <col min="14353" max="14353" width="12.7109375" style="131" customWidth="1"/>
    <col min="14354" max="14355" width="12.28515625" style="131" customWidth="1"/>
    <col min="14356" max="14356" width="12.42578125" style="131" customWidth="1"/>
    <col min="14357" max="14357" width="12.28515625" style="131" customWidth="1"/>
    <col min="14358" max="14358" width="13.28515625" style="131" customWidth="1"/>
    <col min="14359" max="14359" width="13.42578125" style="131" customWidth="1"/>
    <col min="14360" max="14590" width="9.140625" style="131"/>
    <col min="14591" max="14591" width="3.28515625" style="131" customWidth="1"/>
    <col min="14592" max="14592" width="10.7109375" style="131" customWidth="1"/>
    <col min="14593" max="14593" width="25.85546875" style="131" customWidth="1"/>
    <col min="14594" max="14594" width="3.42578125" style="131" customWidth="1"/>
    <col min="14595" max="14595" width="13.42578125" style="131" customWidth="1"/>
    <col min="14596" max="14596" width="10.85546875" style="131" customWidth="1"/>
    <col min="14597" max="14597" width="12.140625" style="131" customWidth="1"/>
    <col min="14598" max="14599" width="0" style="131" hidden="1" customWidth="1"/>
    <col min="14600" max="14600" width="12.5703125" style="131" customWidth="1"/>
    <col min="14601" max="14601" width="12.28515625" style="131" customWidth="1"/>
    <col min="14602" max="14602" width="12.140625" style="131" customWidth="1"/>
    <col min="14603" max="14603" width="12.5703125" style="131" customWidth="1"/>
    <col min="14604" max="14604" width="12.42578125" style="131" customWidth="1"/>
    <col min="14605" max="14605" width="13.28515625" style="131" customWidth="1"/>
    <col min="14606" max="14606" width="12.140625" style="131" customWidth="1"/>
    <col min="14607" max="14607" width="12.28515625" style="131" customWidth="1"/>
    <col min="14608" max="14608" width="12.5703125" style="131" customWidth="1"/>
    <col min="14609" max="14609" width="12.7109375" style="131" customWidth="1"/>
    <col min="14610" max="14611" width="12.28515625" style="131" customWidth="1"/>
    <col min="14612" max="14612" width="12.42578125" style="131" customWidth="1"/>
    <col min="14613" max="14613" width="12.28515625" style="131" customWidth="1"/>
    <col min="14614" max="14614" width="13.28515625" style="131" customWidth="1"/>
    <col min="14615" max="14615" width="13.42578125" style="131" customWidth="1"/>
    <col min="14616" max="14846" width="9.140625" style="131"/>
    <col min="14847" max="14847" width="3.28515625" style="131" customWidth="1"/>
    <col min="14848" max="14848" width="10.7109375" style="131" customWidth="1"/>
    <col min="14849" max="14849" width="25.85546875" style="131" customWidth="1"/>
    <col min="14850" max="14850" width="3.42578125" style="131" customWidth="1"/>
    <col min="14851" max="14851" width="13.42578125" style="131" customWidth="1"/>
    <col min="14852" max="14852" width="10.85546875" style="131" customWidth="1"/>
    <col min="14853" max="14853" width="12.140625" style="131" customWidth="1"/>
    <col min="14854" max="14855" width="0" style="131" hidden="1" customWidth="1"/>
    <col min="14856" max="14856" width="12.5703125" style="131" customWidth="1"/>
    <col min="14857" max="14857" width="12.28515625" style="131" customWidth="1"/>
    <col min="14858" max="14858" width="12.140625" style="131" customWidth="1"/>
    <col min="14859" max="14859" width="12.5703125" style="131" customWidth="1"/>
    <col min="14860" max="14860" width="12.42578125" style="131" customWidth="1"/>
    <col min="14861" max="14861" width="13.28515625" style="131" customWidth="1"/>
    <col min="14862" max="14862" width="12.140625" style="131" customWidth="1"/>
    <col min="14863" max="14863" width="12.28515625" style="131" customWidth="1"/>
    <col min="14864" max="14864" width="12.5703125" style="131" customWidth="1"/>
    <col min="14865" max="14865" width="12.7109375" style="131" customWidth="1"/>
    <col min="14866" max="14867" width="12.28515625" style="131" customWidth="1"/>
    <col min="14868" max="14868" width="12.42578125" style="131" customWidth="1"/>
    <col min="14869" max="14869" width="12.28515625" style="131" customWidth="1"/>
    <col min="14870" max="14870" width="13.28515625" style="131" customWidth="1"/>
    <col min="14871" max="14871" width="13.42578125" style="131" customWidth="1"/>
    <col min="14872" max="15102" width="9.140625" style="131"/>
    <col min="15103" max="15103" width="3.28515625" style="131" customWidth="1"/>
    <col min="15104" max="15104" width="10.7109375" style="131" customWidth="1"/>
    <col min="15105" max="15105" width="25.85546875" style="131" customWidth="1"/>
    <col min="15106" max="15106" width="3.42578125" style="131" customWidth="1"/>
    <col min="15107" max="15107" width="13.42578125" style="131" customWidth="1"/>
    <col min="15108" max="15108" width="10.85546875" style="131" customWidth="1"/>
    <col min="15109" max="15109" width="12.140625" style="131" customWidth="1"/>
    <col min="15110" max="15111" width="0" style="131" hidden="1" customWidth="1"/>
    <col min="15112" max="15112" width="12.5703125" style="131" customWidth="1"/>
    <col min="15113" max="15113" width="12.28515625" style="131" customWidth="1"/>
    <col min="15114" max="15114" width="12.140625" style="131" customWidth="1"/>
    <col min="15115" max="15115" width="12.5703125" style="131" customWidth="1"/>
    <col min="15116" max="15116" width="12.42578125" style="131" customWidth="1"/>
    <col min="15117" max="15117" width="13.28515625" style="131" customWidth="1"/>
    <col min="15118" max="15118" width="12.140625" style="131" customWidth="1"/>
    <col min="15119" max="15119" width="12.28515625" style="131" customWidth="1"/>
    <col min="15120" max="15120" width="12.5703125" style="131" customWidth="1"/>
    <col min="15121" max="15121" width="12.7109375" style="131" customWidth="1"/>
    <col min="15122" max="15123" width="12.28515625" style="131" customWidth="1"/>
    <col min="15124" max="15124" width="12.42578125" style="131" customWidth="1"/>
    <col min="15125" max="15125" width="12.28515625" style="131" customWidth="1"/>
    <col min="15126" max="15126" width="13.28515625" style="131" customWidth="1"/>
    <col min="15127" max="15127" width="13.42578125" style="131" customWidth="1"/>
    <col min="15128" max="15358" width="9.140625" style="131"/>
    <col min="15359" max="15359" width="3.28515625" style="131" customWidth="1"/>
    <col min="15360" max="15360" width="10.7109375" style="131" customWidth="1"/>
    <col min="15361" max="15361" width="25.85546875" style="131" customWidth="1"/>
    <col min="15362" max="15362" width="3.42578125" style="131" customWidth="1"/>
    <col min="15363" max="15363" width="13.42578125" style="131" customWidth="1"/>
    <col min="15364" max="15364" width="10.85546875" style="131" customWidth="1"/>
    <col min="15365" max="15365" width="12.140625" style="131" customWidth="1"/>
    <col min="15366" max="15367" width="0" style="131" hidden="1" customWidth="1"/>
    <col min="15368" max="15368" width="12.5703125" style="131" customWidth="1"/>
    <col min="15369" max="15369" width="12.28515625" style="131" customWidth="1"/>
    <col min="15370" max="15370" width="12.140625" style="131" customWidth="1"/>
    <col min="15371" max="15371" width="12.5703125" style="131" customWidth="1"/>
    <col min="15372" max="15372" width="12.42578125" style="131" customWidth="1"/>
    <col min="15373" max="15373" width="13.28515625" style="131" customWidth="1"/>
    <col min="15374" max="15374" width="12.140625" style="131" customWidth="1"/>
    <col min="15375" max="15375" width="12.28515625" style="131" customWidth="1"/>
    <col min="15376" max="15376" width="12.5703125" style="131" customWidth="1"/>
    <col min="15377" max="15377" width="12.7109375" style="131" customWidth="1"/>
    <col min="15378" max="15379" width="12.28515625" style="131" customWidth="1"/>
    <col min="15380" max="15380" width="12.42578125" style="131" customWidth="1"/>
    <col min="15381" max="15381" width="12.28515625" style="131" customWidth="1"/>
    <col min="15382" max="15382" width="13.28515625" style="131" customWidth="1"/>
    <col min="15383" max="15383" width="13.42578125" style="131" customWidth="1"/>
    <col min="15384" max="15614" width="9.140625" style="131"/>
    <col min="15615" max="15615" width="3.28515625" style="131" customWidth="1"/>
    <col min="15616" max="15616" width="10.7109375" style="131" customWidth="1"/>
    <col min="15617" max="15617" width="25.85546875" style="131" customWidth="1"/>
    <col min="15618" max="15618" width="3.42578125" style="131" customWidth="1"/>
    <col min="15619" max="15619" width="13.42578125" style="131" customWidth="1"/>
    <col min="15620" max="15620" width="10.85546875" style="131" customWidth="1"/>
    <col min="15621" max="15621" width="12.140625" style="131" customWidth="1"/>
    <col min="15622" max="15623" width="0" style="131" hidden="1" customWidth="1"/>
    <col min="15624" max="15624" width="12.5703125" style="131" customWidth="1"/>
    <col min="15625" max="15625" width="12.28515625" style="131" customWidth="1"/>
    <col min="15626" max="15626" width="12.140625" style="131" customWidth="1"/>
    <col min="15627" max="15627" width="12.5703125" style="131" customWidth="1"/>
    <col min="15628" max="15628" width="12.42578125" style="131" customWidth="1"/>
    <col min="15629" max="15629" width="13.28515625" style="131" customWidth="1"/>
    <col min="15630" max="15630" width="12.140625" style="131" customWidth="1"/>
    <col min="15631" max="15631" width="12.28515625" style="131" customWidth="1"/>
    <col min="15632" max="15632" width="12.5703125" style="131" customWidth="1"/>
    <col min="15633" max="15633" width="12.7109375" style="131" customWidth="1"/>
    <col min="15634" max="15635" width="12.28515625" style="131" customWidth="1"/>
    <col min="15636" max="15636" width="12.42578125" style="131" customWidth="1"/>
    <col min="15637" max="15637" width="12.28515625" style="131" customWidth="1"/>
    <col min="15638" max="15638" width="13.28515625" style="131" customWidth="1"/>
    <col min="15639" max="15639" width="13.42578125" style="131" customWidth="1"/>
    <col min="15640" max="15870" width="9.140625" style="131"/>
    <col min="15871" max="15871" width="3.28515625" style="131" customWidth="1"/>
    <col min="15872" max="15872" width="10.7109375" style="131" customWidth="1"/>
    <col min="15873" max="15873" width="25.85546875" style="131" customWidth="1"/>
    <col min="15874" max="15874" width="3.42578125" style="131" customWidth="1"/>
    <col min="15875" max="15875" width="13.42578125" style="131" customWidth="1"/>
    <col min="15876" max="15876" width="10.85546875" style="131" customWidth="1"/>
    <col min="15877" max="15877" width="12.140625" style="131" customWidth="1"/>
    <col min="15878" max="15879" width="0" style="131" hidden="1" customWidth="1"/>
    <col min="15880" max="15880" width="12.5703125" style="131" customWidth="1"/>
    <col min="15881" max="15881" width="12.28515625" style="131" customWidth="1"/>
    <col min="15882" max="15882" width="12.140625" style="131" customWidth="1"/>
    <col min="15883" max="15883" width="12.5703125" style="131" customWidth="1"/>
    <col min="15884" max="15884" width="12.42578125" style="131" customWidth="1"/>
    <col min="15885" max="15885" width="13.28515625" style="131" customWidth="1"/>
    <col min="15886" max="15886" width="12.140625" style="131" customWidth="1"/>
    <col min="15887" max="15887" width="12.28515625" style="131" customWidth="1"/>
    <col min="15888" max="15888" width="12.5703125" style="131" customWidth="1"/>
    <col min="15889" max="15889" width="12.7109375" style="131" customWidth="1"/>
    <col min="15890" max="15891" width="12.28515625" style="131" customWidth="1"/>
    <col min="15892" max="15892" width="12.42578125" style="131" customWidth="1"/>
    <col min="15893" max="15893" width="12.28515625" style="131" customWidth="1"/>
    <col min="15894" max="15894" width="13.28515625" style="131" customWidth="1"/>
    <col min="15895" max="15895" width="13.42578125" style="131" customWidth="1"/>
    <col min="15896" max="16126" width="9.140625" style="131"/>
    <col min="16127" max="16127" width="3.28515625" style="131" customWidth="1"/>
    <col min="16128" max="16128" width="10.7109375" style="131" customWidth="1"/>
    <col min="16129" max="16129" width="25.85546875" style="131" customWidth="1"/>
    <col min="16130" max="16130" width="3.42578125" style="131" customWidth="1"/>
    <col min="16131" max="16131" width="13.42578125" style="131" customWidth="1"/>
    <col min="16132" max="16132" width="10.85546875" style="131" customWidth="1"/>
    <col min="16133" max="16133" width="12.140625" style="131" customWidth="1"/>
    <col min="16134" max="16135" width="0" style="131" hidden="1" customWidth="1"/>
    <col min="16136" max="16136" width="12.5703125" style="131" customWidth="1"/>
    <col min="16137" max="16137" width="12.28515625" style="131" customWidth="1"/>
    <col min="16138" max="16138" width="12.140625" style="131" customWidth="1"/>
    <col min="16139" max="16139" width="12.5703125" style="131" customWidth="1"/>
    <col min="16140" max="16140" width="12.42578125" style="131" customWidth="1"/>
    <col min="16141" max="16141" width="13.28515625" style="131" customWidth="1"/>
    <col min="16142" max="16142" width="12.140625" style="131" customWidth="1"/>
    <col min="16143" max="16143" width="12.28515625" style="131" customWidth="1"/>
    <col min="16144" max="16144" width="12.5703125" style="131" customWidth="1"/>
    <col min="16145" max="16145" width="12.7109375" style="131" customWidth="1"/>
    <col min="16146" max="16147" width="12.28515625" style="131" customWidth="1"/>
    <col min="16148" max="16148" width="12.42578125" style="131" customWidth="1"/>
    <col min="16149" max="16149" width="12.28515625" style="131" customWidth="1"/>
    <col min="16150" max="16150" width="13.28515625" style="131" customWidth="1"/>
    <col min="16151" max="16151" width="13.42578125" style="131" customWidth="1"/>
    <col min="16152" max="16384" width="9.140625" style="131"/>
  </cols>
  <sheetData>
    <row r="1" spans="1:23" x14ac:dyDescent="0.2">
      <c r="B1" s="132" t="s">
        <v>0</v>
      </c>
      <c r="C1" s="133"/>
      <c r="D1" s="133"/>
      <c r="E1" s="133"/>
      <c r="F1" s="134"/>
      <c r="G1" s="134"/>
      <c r="K1" s="135"/>
      <c r="L1" s="136" t="s">
        <v>445</v>
      </c>
    </row>
    <row r="2" spans="1:23" ht="15" x14ac:dyDescent="0.25">
      <c r="B2" s="132"/>
      <c r="C2" s="133"/>
      <c r="D2" s="133"/>
      <c r="E2" s="133"/>
      <c r="F2" s="134"/>
      <c r="G2" s="134"/>
      <c r="K2" s="137"/>
      <c r="L2" s="138" t="s">
        <v>391</v>
      </c>
    </row>
    <row r="3" spans="1:23" ht="15" x14ac:dyDescent="0.25">
      <c r="B3" s="132"/>
      <c r="C3" s="133"/>
      <c r="D3" s="133"/>
      <c r="E3" s="133"/>
      <c r="F3" s="134"/>
      <c r="G3" s="134"/>
      <c r="K3" s="137"/>
      <c r="L3" s="138" t="s">
        <v>808</v>
      </c>
    </row>
    <row r="5" spans="1:23" ht="18" customHeight="1" x14ac:dyDescent="0.25">
      <c r="A5" s="459" t="s">
        <v>446</v>
      </c>
      <c r="B5" s="459"/>
      <c r="C5" s="459"/>
      <c r="D5" s="459"/>
      <c r="E5" s="459"/>
      <c r="F5" s="459"/>
      <c r="G5" s="459"/>
      <c r="H5" s="459"/>
      <c r="I5" s="45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 s="144" customFormat="1" ht="12.75" customHeight="1" x14ac:dyDescent="0.25">
      <c r="A6" s="460" t="s">
        <v>447</v>
      </c>
      <c r="B6" s="462" t="s">
        <v>448</v>
      </c>
      <c r="C6" s="464" t="s">
        <v>449</v>
      </c>
      <c r="D6" s="140"/>
      <c r="E6" s="140" t="s">
        <v>450</v>
      </c>
      <c r="F6" s="140" t="s">
        <v>451</v>
      </c>
      <c r="G6" s="140" t="s">
        <v>452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142"/>
      <c r="V6" s="142"/>
      <c r="W6" s="143" t="s">
        <v>453</v>
      </c>
    </row>
    <row r="7" spans="1:23" s="144" customFormat="1" x14ac:dyDescent="0.25">
      <c r="A7" s="461"/>
      <c r="B7" s="463"/>
      <c r="C7" s="465"/>
      <c r="D7" s="145"/>
      <c r="E7" s="145" t="s">
        <v>454</v>
      </c>
      <c r="F7" s="145" t="s">
        <v>455</v>
      </c>
      <c r="G7" s="145" t="s">
        <v>12</v>
      </c>
      <c r="H7" s="145">
        <v>2017</v>
      </c>
      <c r="I7" s="145">
        <f t="shared" ref="I7:U7" si="0">SUM(H7+1)</f>
        <v>2018</v>
      </c>
      <c r="J7" s="145">
        <f t="shared" si="0"/>
        <v>2019</v>
      </c>
      <c r="K7" s="145">
        <f>SUM(J7+1)</f>
        <v>2020</v>
      </c>
      <c r="L7" s="145">
        <f t="shared" si="0"/>
        <v>2021</v>
      </c>
      <c r="M7" s="145">
        <f t="shared" si="0"/>
        <v>2022</v>
      </c>
      <c r="N7" s="145">
        <f t="shared" si="0"/>
        <v>2023</v>
      </c>
      <c r="O7" s="145">
        <f t="shared" si="0"/>
        <v>2024</v>
      </c>
      <c r="P7" s="145">
        <f t="shared" si="0"/>
        <v>2025</v>
      </c>
      <c r="Q7" s="145">
        <f t="shared" si="0"/>
        <v>2026</v>
      </c>
      <c r="R7" s="145">
        <f t="shared" si="0"/>
        <v>2027</v>
      </c>
      <c r="S7" s="145">
        <f t="shared" si="0"/>
        <v>2028</v>
      </c>
      <c r="T7" s="145">
        <f t="shared" si="0"/>
        <v>2029</v>
      </c>
      <c r="U7" s="145">
        <f t="shared" si="0"/>
        <v>2030</v>
      </c>
      <c r="V7" s="146" t="s">
        <v>733</v>
      </c>
      <c r="W7" s="147" t="s">
        <v>456</v>
      </c>
    </row>
    <row r="8" spans="1:23" s="152" customFormat="1" x14ac:dyDescent="0.2">
      <c r="A8" s="420">
        <v>1</v>
      </c>
      <c r="B8" s="148" t="s">
        <v>457</v>
      </c>
      <c r="C8" s="424" t="s">
        <v>458</v>
      </c>
      <c r="D8" s="424">
        <v>501</v>
      </c>
      <c r="E8" s="466">
        <v>5443737.54</v>
      </c>
      <c r="F8" s="149" t="s">
        <v>459</v>
      </c>
      <c r="G8" s="148" t="s">
        <v>460</v>
      </c>
      <c r="H8" s="150">
        <v>403136</v>
      </c>
      <c r="I8" s="150">
        <v>403136</v>
      </c>
      <c r="J8" s="150">
        <v>403136</v>
      </c>
      <c r="K8" s="150">
        <v>403136</v>
      </c>
      <c r="L8" s="150">
        <v>403136</v>
      </c>
      <c r="M8" s="150">
        <v>403136</v>
      </c>
      <c r="N8" s="150">
        <v>403136</v>
      </c>
      <c r="O8" s="150">
        <v>403136</v>
      </c>
      <c r="P8" s="150">
        <v>403136</v>
      </c>
      <c r="Q8" s="150">
        <v>403136</v>
      </c>
      <c r="R8" s="150">
        <v>201568</v>
      </c>
      <c r="S8" s="150"/>
      <c r="T8" s="150"/>
      <c r="U8" s="150"/>
      <c r="V8" s="150"/>
      <c r="W8" s="151">
        <f t="shared" ref="W8:W39" si="1">SUM(H8:V8)</f>
        <v>4232928</v>
      </c>
    </row>
    <row r="9" spans="1:23" s="152" customFormat="1" x14ac:dyDescent="0.2">
      <c r="A9" s="421"/>
      <c r="B9" s="153" t="s">
        <v>461</v>
      </c>
      <c r="C9" s="425"/>
      <c r="D9" s="425"/>
      <c r="E9" s="467"/>
      <c r="F9" s="154" t="s">
        <v>462</v>
      </c>
      <c r="G9" s="155">
        <v>2.5000000000000001E-3</v>
      </c>
      <c r="H9" s="156">
        <v>11191.67</v>
      </c>
      <c r="I9" s="157">
        <v>13780</v>
      </c>
      <c r="J9" s="157">
        <v>13650</v>
      </c>
      <c r="K9" s="157">
        <v>12045</v>
      </c>
      <c r="L9" s="157">
        <v>10380</v>
      </c>
      <c r="M9" s="157">
        <v>8745</v>
      </c>
      <c r="N9" s="157">
        <v>7110</v>
      </c>
      <c r="O9" s="157">
        <v>5490</v>
      </c>
      <c r="P9" s="157">
        <v>3840</v>
      </c>
      <c r="Q9" s="157">
        <v>2205</v>
      </c>
      <c r="R9" s="157">
        <v>580</v>
      </c>
      <c r="S9" s="157"/>
      <c r="T9" s="157"/>
      <c r="U9" s="157"/>
      <c r="V9" s="157"/>
      <c r="W9" s="158">
        <f t="shared" si="1"/>
        <v>89016.67</v>
      </c>
    </row>
    <row r="10" spans="1:23" s="152" customFormat="1" ht="12.75" customHeight="1" x14ac:dyDescent="0.2">
      <c r="A10" s="420">
        <v>2</v>
      </c>
      <c r="B10" s="148" t="s">
        <v>463</v>
      </c>
      <c r="C10" s="424" t="s">
        <v>464</v>
      </c>
      <c r="D10" s="424">
        <v>519</v>
      </c>
      <c r="E10" s="422">
        <v>620226.73</v>
      </c>
      <c r="F10" s="149" t="s">
        <v>465</v>
      </c>
      <c r="G10" s="148" t="s">
        <v>460</v>
      </c>
      <c r="H10" s="150">
        <v>85548</v>
      </c>
      <c r="I10" s="150">
        <v>111868</v>
      </c>
      <c r="J10" s="150">
        <v>111868</v>
      </c>
      <c r="K10" s="150">
        <v>111868</v>
      </c>
      <c r="L10" s="150">
        <v>26558.73</v>
      </c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1">
        <f t="shared" si="1"/>
        <v>447710.73</v>
      </c>
    </row>
    <row r="11" spans="1:23" s="152" customFormat="1" x14ac:dyDescent="0.2">
      <c r="A11" s="421"/>
      <c r="B11" s="153" t="s">
        <v>466</v>
      </c>
      <c r="C11" s="425"/>
      <c r="D11" s="425"/>
      <c r="E11" s="423"/>
      <c r="F11" s="154" t="s">
        <v>467</v>
      </c>
      <c r="G11" s="155">
        <v>2.5000000000000001E-3</v>
      </c>
      <c r="H11" s="156">
        <v>1164.46</v>
      </c>
      <c r="I11" s="157">
        <v>1250</v>
      </c>
      <c r="J11" s="157">
        <v>950</v>
      </c>
      <c r="K11" s="160">
        <v>495</v>
      </c>
      <c r="L11" s="160">
        <v>80</v>
      </c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58">
        <f t="shared" si="1"/>
        <v>3939.46</v>
      </c>
    </row>
    <row r="12" spans="1:23" s="152" customFormat="1" ht="12.75" customHeight="1" x14ac:dyDescent="0.2">
      <c r="A12" s="420">
        <v>3</v>
      </c>
      <c r="B12" s="148" t="s">
        <v>463</v>
      </c>
      <c r="C12" s="424" t="s">
        <v>468</v>
      </c>
      <c r="D12" s="424">
        <v>521</v>
      </c>
      <c r="E12" s="422">
        <v>528555.29</v>
      </c>
      <c r="F12" s="161" t="s">
        <v>469</v>
      </c>
      <c r="G12" s="148" t="s">
        <v>460</v>
      </c>
      <c r="H12" s="150">
        <v>72902.28</v>
      </c>
      <c r="I12" s="150">
        <v>72902.28</v>
      </c>
      <c r="J12" s="150">
        <v>72902.28</v>
      </c>
      <c r="K12" s="150">
        <v>72902.28</v>
      </c>
      <c r="L12" s="150">
        <v>18239.330000000002</v>
      </c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1">
        <f t="shared" si="1"/>
        <v>309848.45</v>
      </c>
    </row>
    <row r="13" spans="1:23" s="152" customFormat="1" x14ac:dyDescent="0.2">
      <c r="A13" s="421"/>
      <c r="B13" s="153" t="s">
        <v>470</v>
      </c>
      <c r="C13" s="425"/>
      <c r="D13" s="425"/>
      <c r="E13" s="423"/>
      <c r="F13" s="162">
        <v>44275</v>
      </c>
      <c r="G13" s="155">
        <v>2.5000000000000001E-3</v>
      </c>
      <c r="H13" s="156">
        <v>799.74</v>
      </c>
      <c r="I13" s="157">
        <v>820</v>
      </c>
      <c r="J13" s="157">
        <v>620</v>
      </c>
      <c r="K13" s="157">
        <v>330</v>
      </c>
      <c r="L13" s="157">
        <v>55</v>
      </c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58">
        <f t="shared" si="1"/>
        <v>2624.74</v>
      </c>
    </row>
    <row r="14" spans="1:23" s="152" customFormat="1" x14ac:dyDescent="0.2">
      <c r="A14" s="420">
        <v>4</v>
      </c>
      <c r="B14" s="148" t="s">
        <v>463</v>
      </c>
      <c r="C14" s="424" t="s">
        <v>471</v>
      </c>
      <c r="D14" s="424">
        <v>529</v>
      </c>
      <c r="E14" s="422">
        <v>1734805.15</v>
      </c>
      <c r="F14" s="161" t="s">
        <v>472</v>
      </c>
      <c r="G14" s="148" t="s">
        <v>460</v>
      </c>
      <c r="H14" s="150">
        <v>210276</v>
      </c>
      <c r="I14" s="150">
        <v>259752</v>
      </c>
      <c r="J14" s="150">
        <v>259752</v>
      </c>
      <c r="K14" s="150">
        <v>259752</v>
      </c>
      <c r="L14" s="150">
        <v>259752</v>
      </c>
      <c r="M14" s="150">
        <v>63549.15</v>
      </c>
      <c r="N14" s="164"/>
      <c r="O14" s="164"/>
      <c r="P14" s="164"/>
      <c r="Q14" s="164"/>
      <c r="R14" s="164"/>
      <c r="S14" s="164"/>
      <c r="T14" s="164"/>
      <c r="U14" s="164"/>
      <c r="V14" s="159"/>
      <c r="W14" s="151">
        <f t="shared" si="1"/>
        <v>1312833.1499999999</v>
      </c>
    </row>
    <row r="15" spans="1:23" s="152" customFormat="1" x14ac:dyDescent="0.2">
      <c r="A15" s="421"/>
      <c r="B15" s="153" t="s">
        <v>473</v>
      </c>
      <c r="C15" s="425"/>
      <c r="D15" s="425"/>
      <c r="E15" s="423"/>
      <c r="F15" s="154" t="s">
        <v>474</v>
      </c>
      <c r="G15" s="155">
        <v>2.5000000000000001E-3</v>
      </c>
      <c r="H15" s="156">
        <v>3473.68</v>
      </c>
      <c r="I15" s="157">
        <v>3860</v>
      </c>
      <c r="J15" s="157">
        <v>3260</v>
      </c>
      <c r="K15" s="157">
        <v>2210</v>
      </c>
      <c r="L15" s="157">
        <v>1150</v>
      </c>
      <c r="M15" s="160">
        <v>180</v>
      </c>
      <c r="N15" s="165"/>
      <c r="O15" s="165"/>
      <c r="P15" s="165"/>
      <c r="Q15" s="165"/>
      <c r="R15" s="165"/>
      <c r="S15" s="165"/>
      <c r="T15" s="165"/>
      <c r="U15" s="165"/>
      <c r="V15" s="160"/>
      <c r="W15" s="158">
        <f t="shared" si="1"/>
        <v>14133.68</v>
      </c>
    </row>
    <row r="16" spans="1:23" s="152" customFormat="1" ht="12.75" customHeight="1" x14ac:dyDescent="0.2">
      <c r="A16" s="420">
        <v>5</v>
      </c>
      <c r="B16" s="148" t="s">
        <v>463</v>
      </c>
      <c r="C16" s="424" t="s">
        <v>475</v>
      </c>
      <c r="D16" s="424">
        <v>531</v>
      </c>
      <c r="E16" s="422">
        <v>1547885.33</v>
      </c>
      <c r="F16" s="161" t="s">
        <v>472</v>
      </c>
      <c r="G16" s="148" t="s">
        <v>460</v>
      </c>
      <c r="H16" s="150">
        <v>109840</v>
      </c>
      <c r="I16" s="150">
        <v>109840</v>
      </c>
      <c r="J16" s="150">
        <v>109840</v>
      </c>
      <c r="K16" s="150">
        <v>109840</v>
      </c>
      <c r="L16" s="150">
        <v>109840</v>
      </c>
      <c r="M16" s="150">
        <v>27450.14</v>
      </c>
      <c r="N16" s="164"/>
      <c r="O16" s="164"/>
      <c r="P16" s="164"/>
      <c r="Q16" s="164"/>
      <c r="R16" s="164"/>
      <c r="S16" s="164"/>
      <c r="T16" s="164"/>
      <c r="U16" s="164"/>
      <c r="V16" s="159"/>
      <c r="W16" s="151">
        <f t="shared" si="1"/>
        <v>576650.14</v>
      </c>
    </row>
    <row r="17" spans="1:23" s="152" customFormat="1" x14ac:dyDescent="0.2">
      <c r="A17" s="421"/>
      <c r="B17" s="153" t="s">
        <v>476</v>
      </c>
      <c r="C17" s="425"/>
      <c r="D17" s="425"/>
      <c r="E17" s="423"/>
      <c r="F17" s="154" t="s">
        <v>477</v>
      </c>
      <c r="G17" s="155">
        <v>2.5000000000000001E-3</v>
      </c>
      <c r="H17" s="156">
        <v>1517.98</v>
      </c>
      <c r="I17" s="157">
        <v>1640</v>
      </c>
      <c r="J17" s="157">
        <v>1380</v>
      </c>
      <c r="K17" s="157">
        <v>940</v>
      </c>
      <c r="L17" s="157">
        <v>490</v>
      </c>
      <c r="M17" s="160">
        <v>80</v>
      </c>
      <c r="N17" s="165"/>
      <c r="O17" s="165"/>
      <c r="P17" s="165"/>
      <c r="Q17" s="165"/>
      <c r="R17" s="165"/>
      <c r="S17" s="165"/>
      <c r="T17" s="165"/>
      <c r="U17" s="165"/>
      <c r="V17" s="160"/>
      <c r="W17" s="158">
        <f t="shared" si="1"/>
        <v>6047.98</v>
      </c>
    </row>
    <row r="18" spans="1:23" s="152" customFormat="1" ht="12.75" customHeight="1" x14ac:dyDescent="0.2">
      <c r="A18" s="420">
        <v>6</v>
      </c>
      <c r="B18" s="148" t="s">
        <v>463</v>
      </c>
      <c r="C18" s="424" t="s">
        <v>478</v>
      </c>
      <c r="D18" s="424">
        <v>528</v>
      </c>
      <c r="E18" s="422">
        <v>3463800.72</v>
      </c>
      <c r="F18" s="161" t="s">
        <v>472</v>
      </c>
      <c r="G18" s="148" t="s">
        <v>460</v>
      </c>
      <c r="H18" s="150">
        <v>419852</v>
      </c>
      <c r="I18" s="150">
        <v>518640</v>
      </c>
      <c r="J18" s="150">
        <v>518640</v>
      </c>
      <c r="K18" s="150">
        <v>518640</v>
      </c>
      <c r="L18" s="150">
        <v>518640</v>
      </c>
      <c r="M18" s="150">
        <v>128264.72</v>
      </c>
      <c r="N18" s="164"/>
      <c r="O18" s="164"/>
      <c r="P18" s="164"/>
      <c r="Q18" s="164"/>
      <c r="R18" s="164"/>
      <c r="S18" s="164"/>
      <c r="T18" s="164"/>
      <c r="U18" s="164"/>
      <c r="V18" s="159"/>
      <c r="W18" s="151">
        <f t="shared" si="1"/>
        <v>2622676.7200000002</v>
      </c>
    </row>
    <row r="19" spans="1:23" s="152" customFormat="1" x14ac:dyDescent="0.2">
      <c r="A19" s="421"/>
      <c r="B19" s="153" t="s">
        <v>479</v>
      </c>
      <c r="C19" s="425"/>
      <c r="D19" s="425"/>
      <c r="E19" s="423"/>
      <c r="F19" s="154" t="s">
        <v>477</v>
      </c>
      <c r="G19" s="155">
        <v>2.5000000000000001E-3</v>
      </c>
      <c r="H19" s="156">
        <v>6939.55</v>
      </c>
      <c r="I19" s="157">
        <v>7710</v>
      </c>
      <c r="J19" s="157">
        <v>6510</v>
      </c>
      <c r="K19" s="157">
        <v>4420</v>
      </c>
      <c r="L19" s="157">
        <v>2300</v>
      </c>
      <c r="M19" s="160">
        <v>365</v>
      </c>
      <c r="N19" s="165"/>
      <c r="O19" s="165"/>
      <c r="P19" s="165"/>
      <c r="Q19" s="165"/>
      <c r="R19" s="165"/>
      <c r="S19" s="165"/>
      <c r="T19" s="165"/>
      <c r="U19" s="165"/>
      <c r="V19" s="160"/>
      <c r="W19" s="158">
        <f t="shared" si="1"/>
        <v>28244.55</v>
      </c>
    </row>
    <row r="20" spans="1:23" s="152" customFormat="1" ht="12.75" customHeight="1" x14ac:dyDescent="0.2">
      <c r="A20" s="420">
        <v>7</v>
      </c>
      <c r="B20" s="148" t="s">
        <v>463</v>
      </c>
      <c r="C20" s="424" t="s">
        <v>480</v>
      </c>
      <c r="D20" s="424">
        <v>527</v>
      </c>
      <c r="E20" s="444">
        <v>1228934.3799999999</v>
      </c>
      <c r="F20" s="166" t="s">
        <v>472</v>
      </c>
      <c r="G20" s="167" t="s">
        <v>460</v>
      </c>
      <c r="H20" s="168">
        <f>87113.92</f>
        <v>87113.919999999998</v>
      </c>
      <c r="I20" s="168">
        <v>87113.919999999998</v>
      </c>
      <c r="J20" s="168">
        <v>87113.919999999998</v>
      </c>
      <c r="K20" s="168">
        <v>87113.919999999998</v>
      </c>
      <c r="L20" s="168">
        <v>87113.919999999998</v>
      </c>
      <c r="M20" s="168">
        <f>21781.19-0.29</f>
        <v>21780.899999999998</v>
      </c>
      <c r="N20" s="169"/>
      <c r="O20" s="169"/>
      <c r="P20" s="169"/>
      <c r="Q20" s="169"/>
      <c r="R20" s="169"/>
      <c r="S20" s="169"/>
      <c r="T20" s="169"/>
      <c r="U20" s="169"/>
      <c r="V20" s="168"/>
      <c r="W20" s="151">
        <f t="shared" si="1"/>
        <v>457350.5</v>
      </c>
    </row>
    <row r="21" spans="1:23" s="152" customFormat="1" x14ac:dyDescent="0.2">
      <c r="A21" s="421"/>
      <c r="B21" s="153" t="s">
        <v>481</v>
      </c>
      <c r="C21" s="425"/>
      <c r="D21" s="425"/>
      <c r="E21" s="445"/>
      <c r="F21" s="170" t="s">
        <v>477</v>
      </c>
      <c r="G21" s="171">
        <v>2.5000000000000001E-3</v>
      </c>
      <c r="H21" s="174">
        <v>1203.96</v>
      </c>
      <c r="I21" s="172">
        <v>1300</v>
      </c>
      <c r="J21" s="172">
        <v>1095</v>
      </c>
      <c r="K21" s="172">
        <v>745</v>
      </c>
      <c r="L21" s="172">
        <v>390</v>
      </c>
      <c r="M21" s="172">
        <v>65</v>
      </c>
      <c r="N21" s="173"/>
      <c r="O21" s="173"/>
      <c r="P21" s="173"/>
      <c r="Q21" s="173"/>
      <c r="R21" s="173"/>
      <c r="S21" s="173"/>
      <c r="T21" s="173"/>
      <c r="U21" s="173"/>
      <c r="V21" s="174"/>
      <c r="W21" s="158">
        <f t="shared" si="1"/>
        <v>4798.96</v>
      </c>
    </row>
    <row r="22" spans="1:23" s="152" customFormat="1" ht="12.75" customHeight="1" x14ac:dyDescent="0.2">
      <c r="A22" s="420">
        <v>8</v>
      </c>
      <c r="B22" s="148" t="s">
        <v>463</v>
      </c>
      <c r="C22" s="424" t="s">
        <v>482</v>
      </c>
      <c r="D22" s="424">
        <v>526</v>
      </c>
      <c r="E22" s="422">
        <v>754990.52</v>
      </c>
      <c r="F22" s="161" t="s">
        <v>472</v>
      </c>
      <c r="G22" s="148" t="s">
        <v>460</v>
      </c>
      <c r="H22" s="150">
        <v>91342.68</v>
      </c>
      <c r="I22" s="150">
        <v>91342.68</v>
      </c>
      <c r="J22" s="150">
        <v>91342.68</v>
      </c>
      <c r="K22" s="150">
        <v>91342.68</v>
      </c>
      <c r="L22" s="150">
        <v>91342.68</v>
      </c>
      <c r="M22" s="150">
        <v>22826.21</v>
      </c>
      <c r="N22" s="175"/>
      <c r="O22" s="175"/>
      <c r="P22" s="175"/>
      <c r="Q22" s="175"/>
      <c r="R22" s="175"/>
      <c r="S22" s="175"/>
      <c r="T22" s="175"/>
      <c r="U22" s="175"/>
      <c r="V22" s="150"/>
      <c r="W22" s="151">
        <f t="shared" si="1"/>
        <v>479539.61</v>
      </c>
    </row>
    <row r="23" spans="1:23" s="152" customFormat="1" x14ac:dyDescent="0.2">
      <c r="A23" s="421"/>
      <c r="B23" s="153" t="s">
        <v>483</v>
      </c>
      <c r="C23" s="425"/>
      <c r="D23" s="425"/>
      <c r="E23" s="423"/>
      <c r="F23" s="154" t="s">
        <v>477</v>
      </c>
      <c r="G23" s="155">
        <v>2.5000000000000001E-3</v>
      </c>
      <c r="H23" s="156">
        <v>1262.3599999999999</v>
      </c>
      <c r="I23" s="157">
        <v>1365</v>
      </c>
      <c r="J23" s="157">
        <v>1150</v>
      </c>
      <c r="K23" s="157">
        <v>780</v>
      </c>
      <c r="L23" s="157">
        <v>410</v>
      </c>
      <c r="M23" s="157">
        <v>65</v>
      </c>
      <c r="N23" s="176"/>
      <c r="O23" s="176"/>
      <c r="P23" s="176"/>
      <c r="Q23" s="176"/>
      <c r="R23" s="176"/>
      <c r="S23" s="176"/>
      <c r="T23" s="176"/>
      <c r="U23" s="176"/>
      <c r="V23" s="156"/>
      <c r="W23" s="158">
        <f t="shared" si="1"/>
        <v>5032.3599999999997</v>
      </c>
    </row>
    <row r="24" spans="1:23" s="152" customFormat="1" ht="12.75" customHeight="1" x14ac:dyDescent="0.2">
      <c r="A24" s="420">
        <v>9</v>
      </c>
      <c r="B24" s="167" t="s">
        <v>463</v>
      </c>
      <c r="C24" s="446" t="s">
        <v>484</v>
      </c>
      <c r="D24" s="446">
        <v>535</v>
      </c>
      <c r="E24" s="444">
        <v>2963664.12</v>
      </c>
      <c r="F24" s="177" t="s">
        <v>485</v>
      </c>
      <c r="G24" s="167" t="s">
        <v>460</v>
      </c>
      <c r="H24" s="168">
        <v>223567.32</v>
      </c>
      <c r="I24" s="168">
        <v>223567.32</v>
      </c>
      <c r="J24" s="168">
        <v>223567.32</v>
      </c>
      <c r="K24" s="168">
        <v>223567.32</v>
      </c>
      <c r="L24" s="168">
        <v>223567.32</v>
      </c>
      <c r="M24" s="168">
        <v>223567.32</v>
      </c>
      <c r="N24" s="168">
        <v>223567.32</v>
      </c>
      <c r="O24" s="168">
        <v>223567.32</v>
      </c>
      <c r="P24" s="168">
        <v>223567.32</v>
      </c>
      <c r="Q24" s="168">
        <v>223567.32</v>
      </c>
      <c r="R24" s="168">
        <v>55866.09</v>
      </c>
      <c r="S24" s="169"/>
      <c r="T24" s="169"/>
      <c r="U24" s="169"/>
      <c r="V24" s="168"/>
      <c r="W24" s="178">
        <f t="shared" si="1"/>
        <v>2291539.29</v>
      </c>
    </row>
    <row r="25" spans="1:23" s="152" customFormat="1" x14ac:dyDescent="0.2">
      <c r="A25" s="421"/>
      <c r="B25" s="179" t="s">
        <v>486</v>
      </c>
      <c r="C25" s="447"/>
      <c r="D25" s="447"/>
      <c r="E25" s="445"/>
      <c r="F25" s="170" t="s">
        <v>487</v>
      </c>
      <c r="G25" s="171">
        <v>2.5000000000000001E-3</v>
      </c>
      <c r="H25" s="174">
        <v>6056.32</v>
      </c>
      <c r="I25" s="172">
        <v>7440</v>
      </c>
      <c r="J25" s="172">
        <v>7345</v>
      </c>
      <c r="K25" s="172">
        <v>6455</v>
      </c>
      <c r="L25" s="172">
        <v>5530</v>
      </c>
      <c r="M25" s="172">
        <v>4625</v>
      </c>
      <c r="N25" s="172">
        <v>3715</v>
      </c>
      <c r="O25" s="172">
        <v>2815</v>
      </c>
      <c r="P25" s="172">
        <v>1905</v>
      </c>
      <c r="Q25" s="172">
        <v>995</v>
      </c>
      <c r="R25" s="172">
        <v>160</v>
      </c>
      <c r="S25" s="173"/>
      <c r="T25" s="173"/>
      <c r="U25" s="173"/>
      <c r="V25" s="174"/>
      <c r="W25" s="180">
        <f t="shared" si="1"/>
        <v>47041.32</v>
      </c>
    </row>
    <row r="26" spans="1:23" s="152" customFormat="1" ht="12.75" customHeight="1" x14ac:dyDescent="0.2">
      <c r="A26" s="420">
        <v>10</v>
      </c>
      <c r="B26" s="148" t="s">
        <v>463</v>
      </c>
      <c r="C26" s="424" t="s">
        <v>488</v>
      </c>
      <c r="D26" s="424">
        <v>533</v>
      </c>
      <c r="E26" s="422">
        <v>55090.75</v>
      </c>
      <c r="F26" s="149" t="s">
        <v>485</v>
      </c>
      <c r="G26" s="148" t="s">
        <v>460</v>
      </c>
      <c r="H26" s="150">
        <v>5959</v>
      </c>
      <c r="I26" s="150">
        <v>5959</v>
      </c>
      <c r="J26" s="150">
        <v>5959</v>
      </c>
      <c r="K26" s="150">
        <v>5959</v>
      </c>
      <c r="L26" s="150">
        <v>5959</v>
      </c>
      <c r="M26" s="150">
        <v>1459.76</v>
      </c>
      <c r="N26" s="150"/>
      <c r="O26" s="175"/>
      <c r="P26" s="175"/>
      <c r="Q26" s="175"/>
      <c r="R26" s="175"/>
      <c r="S26" s="175"/>
      <c r="T26" s="175"/>
      <c r="U26" s="175"/>
      <c r="V26" s="150"/>
      <c r="W26" s="151">
        <f t="shared" si="1"/>
        <v>31254.76</v>
      </c>
    </row>
    <row r="27" spans="1:23" s="152" customFormat="1" x14ac:dyDescent="0.2">
      <c r="A27" s="421"/>
      <c r="B27" s="153" t="s">
        <v>489</v>
      </c>
      <c r="C27" s="425"/>
      <c r="D27" s="425"/>
      <c r="E27" s="423"/>
      <c r="F27" s="154" t="s">
        <v>490</v>
      </c>
      <c r="G27" s="155">
        <v>2.5000000000000001E-3</v>
      </c>
      <c r="H27" s="156">
        <v>81.3</v>
      </c>
      <c r="I27" s="157">
        <v>90</v>
      </c>
      <c r="J27" s="157">
        <v>75</v>
      </c>
      <c r="K27" s="157">
        <v>55</v>
      </c>
      <c r="L27" s="157">
        <v>30</v>
      </c>
      <c r="M27" s="157">
        <v>5</v>
      </c>
      <c r="N27" s="156"/>
      <c r="O27" s="176"/>
      <c r="P27" s="176"/>
      <c r="Q27" s="176"/>
      <c r="R27" s="176"/>
      <c r="S27" s="176"/>
      <c r="T27" s="176"/>
      <c r="U27" s="176"/>
      <c r="V27" s="156"/>
      <c r="W27" s="158">
        <f t="shared" si="1"/>
        <v>336.3</v>
      </c>
    </row>
    <row r="28" spans="1:23" s="152" customFormat="1" ht="12.75" customHeight="1" x14ac:dyDescent="0.2">
      <c r="A28" s="420">
        <v>11</v>
      </c>
      <c r="B28" s="167" t="s">
        <v>463</v>
      </c>
      <c r="C28" s="446" t="s">
        <v>491</v>
      </c>
      <c r="D28" s="446">
        <v>536</v>
      </c>
      <c r="E28" s="444">
        <v>4539311.0999999996</v>
      </c>
      <c r="F28" s="177" t="s">
        <v>485</v>
      </c>
      <c r="G28" s="167" t="s">
        <v>460</v>
      </c>
      <c r="H28" s="168">
        <v>342476</v>
      </c>
      <c r="I28" s="168">
        <v>379500</v>
      </c>
      <c r="J28" s="168">
        <v>379500</v>
      </c>
      <c r="K28" s="168">
        <v>379500</v>
      </c>
      <c r="L28" s="168">
        <v>379500</v>
      </c>
      <c r="M28" s="168">
        <v>379500</v>
      </c>
      <c r="N28" s="168">
        <v>379500</v>
      </c>
      <c r="O28" s="168">
        <v>379500</v>
      </c>
      <c r="P28" s="168">
        <v>379500</v>
      </c>
      <c r="Q28" s="168">
        <v>379500</v>
      </c>
      <c r="R28" s="168">
        <v>93540.23</v>
      </c>
      <c r="S28" s="169"/>
      <c r="T28" s="169"/>
      <c r="U28" s="169"/>
      <c r="V28" s="168"/>
      <c r="W28" s="178">
        <f t="shared" si="1"/>
        <v>3851516.23</v>
      </c>
    </row>
    <row r="29" spans="1:23" s="152" customFormat="1" x14ac:dyDescent="0.2">
      <c r="A29" s="421"/>
      <c r="B29" s="179" t="s">
        <v>492</v>
      </c>
      <c r="C29" s="447"/>
      <c r="D29" s="447"/>
      <c r="E29" s="445"/>
      <c r="F29" s="170" t="s">
        <v>487</v>
      </c>
      <c r="G29" s="171">
        <v>2.5000000000000001E-3</v>
      </c>
      <c r="H29" s="174">
        <v>10194.16</v>
      </c>
      <c r="I29" s="172">
        <v>12615</v>
      </c>
      <c r="J29" s="172">
        <v>12455</v>
      </c>
      <c r="K29" s="172">
        <v>10950</v>
      </c>
      <c r="L29" s="172">
        <v>9380</v>
      </c>
      <c r="M29" s="172">
        <v>7840</v>
      </c>
      <c r="N29" s="172">
        <v>6300</v>
      </c>
      <c r="O29" s="172">
        <v>4775</v>
      </c>
      <c r="P29" s="172">
        <v>3225</v>
      </c>
      <c r="Q29" s="172">
        <v>1685</v>
      </c>
      <c r="R29" s="172">
        <v>265</v>
      </c>
      <c r="S29" s="173"/>
      <c r="T29" s="173"/>
      <c r="U29" s="173"/>
      <c r="V29" s="174"/>
      <c r="W29" s="180">
        <f t="shared" si="1"/>
        <v>79684.160000000003</v>
      </c>
    </row>
    <row r="30" spans="1:23" s="152" customFormat="1" ht="12.75" customHeight="1" x14ac:dyDescent="0.2">
      <c r="A30" s="420">
        <v>12</v>
      </c>
      <c r="B30" s="148" t="s">
        <v>463</v>
      </c>
      <c r="C30" s="424" t="s">
        <v>493</v>
      </c>
      <c r="D30" s="424">
        <v>537</v>
      </c>
      <c r="E30" s="422">
        <v>5020748.32</v>
      </c>
      <c r="F30" s="149" t="s">
        <v>485</v>
      </c>
      <c r="G30" s="148" t="s">
        <v>460</v>
      </c>
      <c r="H30" s="150">
        <v>378816</v>
      </c>
      <c r="I30" s="150">
        <v>419772</v>
      </c>
      <c r="J30" s="150">
        <v>419772</v>
      </c>
      <c r="K30" s="150">
        <v>419772</v>
      </c>
      <c r="L30" s="150">
        <v>419772</v>
      </c>
      <c r="M30" s="150">
        <v>419772</v>
      </c>
      <c r="N30" s="150">
        <v>419772</v>
      </c>
      <c r="O30" s="150">
        <v>419772</v>
      </c>
      <c r="P30" s="150">
        <v>419772</v>
      </c>
      <c r="Q30" s="150">
        <v>419772</v>
      </c>
      <c r="R30" s="150">
        <v>103509.44</v>
      </c>
      <c r="S30" s="175"/>
      <c r="T30" s="175"/>
      <c r="U30" s="175"/>
      <c r="V30" s="150"/>
      <c r="W30" s="151">
        <f t="shared" si="1"/>
        <v>4260273.4400000004</v>
      </c>
    </row>
    <row r="31" spans="1:23" s="152" customFormat="1" x14ac:dyDescent="0.2">
      <c r="A31" s="421"/>
      <c r="B31" s="153" t="s">
        <v>494</v>
      </c>
      <c r="C31" s="425"/>
      <c r="D31" s="425"/>
      <c r="E31" s="423"/>
      <c r="F31" s="154" t="s">
        <v>487</v>
      </c>
      <c r="G31" s="155">
        <v>2.5000000000000001E-3</v>
      </c>
      <c r="H31" s="156">
        <v>11276.06</v>
      </c>
      <c r="I31" s="157">
        <v>13955</v>
      </c>
      <c r="J31" s="157">
        <v>13780</v>
      </c>
      <c r="K31" s="157">
        <v>12110</v>
      </c>
      <c r="L31" s="157">
        <v>10375</v>
      </c>
      <c r="M31" s="157">
        <v>8670</v>
      </c>
      <c r="N31" s="157">
        <v>6970</v>
      </c>
      <c r="O31" s="157">
        <v>5280</v>
      </c>
      <c r="P31" s="157">
        <v>3565</v>
      </c>
      <c r="Q31" s="157">
        <v>1860</v>
      </c>
      <c r="R31" s="157">
        <v>295</v>
      </c>
      <c r="S31" s="181"/>
      <c r="T31" s="181"/>
      <c r="U31" s="181"/>
      <c r="V31" s="157"/>
      <c r="W31" s="158">
        <f t="shared" si="1"/>
        <v>88136.06</v>
      </c>
    </row>
    <row r="32" spans="1:23" s="152" customFormat="1" ht="12.75" customHeight="1" x14ac:dyDescent="0.2">
      <c r="A32" s="420">
        <v>13</v>
      </c>
      <c r="B32" s="167" t="s">
        <v>463</v>
      </c>
      <c r="C32" s="446" t="s">
        <v>495</v>
      </c>
      <c r="D32" s="446">
        <v>538</v>
      </c>
      <c r="E32" s="444">
        <v>367297.28000000003</v>
      </c>
      <c r="F32" s="177" t="s">
        <v>485</v>
      </c>
      <c r="G32" s="167" t="s">
        <v>460</v>
      </c>
      <c r="H32" s="168">
        <v>39709.519999999997</v>
      </c>
      <c r="I32" s="168">
        <v>39709.519999999997</v>
      </c>
      <c r="J32" s="168">
        <v>39709.519999999997</v>
      </c>
      <c r="K32" s="168">
        <v>39709.519999999997</v>
      </c>
      <c r="L32" s="168">
        <v>39709.519999999997</v>
      </c>
      <c r="M32" s="168">
        <v>9911.6200000000008</v>
      </c>
      <c r="N32" s="169"/>
      <c r="O32" s="169"/>
      <c r="P32" s="169"/>
      <c r="Q32" s="169"/>
      <c r="R32" s="169"/>
      <c r="S32" s="169"/>
      <c r="T32" s="169"/>
      <c r="U32" s="169"/>
      <c r="V32" s="168"/>
      <c r="W32" s="178">
        <f t="shared" si="1"/>
        <v>208459.21999999997</v>
      </c>
    </row>
    <row r="33" spans="1:23" s="152" customFormat="1" x14ac:dyDescent="0.2">
      <c r="A33" s="421"/>
      <c r="B33" s="179" t="s">
        <v>496</v>
      </c>
      <c r="C33" s="447"/>
      <c r="D33" s="447"/>
      <c r="E33" s="445"/>
      <c r="F33" s="170" t="s">
        <v>490</v>
      </c>
      <c r="G33" s="171">
        <v>2.5000000000000001E-3</v>
      </c>
      <c r="H33" s="174">
        <v>542.23</v>
      </c>
      <c r="I33" s="172">
        <v>595</v>
      </c>
      <c r="J33" s="172">
        <v>500</v>
      </c>
      <c r="K33" s="172">
        <v>340</v>
      </c>
      <c r="L33" s="172">
        <v>180</v>
      </c>
      <c r="M33" s="172">
        <v>30</v>
      </c>
      <c r="N33" s="182"/>
      <c r="O33" s="173"/>
      <c r="P33" s="173"/>
      <c r="Q33" s="173"/>
      <c r="R33" s="173"/>
      <c r="S33" s="173"/>
      <c r="T33" s="173"/>
      <c r="U33" s="173"/>
      <c r="V33" s="174"/>
      <c r="W33" s="180">
        <f t="shared" si="1"/>
        <v>2187.23</v>
      </c>
    </row>
    <row r="34" spans="1:23" s="152" customFormat="1" ht="12.75" customHeight="1" x14ac:dyDescent="0.2">
      <c r="A34" s="420">
        <v>14</v>
      </c>
      <c r="B34" s="148" t="s">
        <v>463</v>
      </c>
      <c r="C34" s="424" t="s">
        <v>497</v>
      </c>
      <c r="D34" s="424">
        <v>539</v>
      </c>
      <c r="E34" s="422">
        <v>238543.04</v>
      </c>
      <c r="F34" s="149" t="s">
        <v>498</v>
      </c>
      <c r="G34" s="148" t="s">
        <v>460</v>
      </c>
      <c r="H34" s="150">
        <v>25110.84</v>
      </c>
      <c r="I34" s="150">
        <v>25110.84</v>
      </c>
      <c r="J34" s="150">
        <v>25110.84</v>
      </c>
      <c r="K34" s="150">
        <v>25110.84</v>
      </c>
      <c r="L34" s="150">
        <v>25110.84</v>
      </c>
      <c r="M34" s="150">
        <v>12545.47</v>
      </c>
      <c r="N34" s="175"/>
      <c r="O34" s="175"/>
      <c r="P34" s="175"/>
      <c r="Q34" s="175"/>
      <c r="R34" s="175"/>
      <c r="S34" s="175"/>
      <c r="T34" s="175"/>
      <c r="U34" s="175"/>
      <c r="V34" s="150"/>
      <c r="W34" s="151">
        <f t="shared" si="1"/>
        <v>138099.66999999998</v>
      </c>
    </row>
    <row r="35" spans="1:23" s="152" customFormat="1" x14ac:dyDescent="0.2">
      <c r="A35" s="421"/>
      <c r="B35" s="153" t="s">
        <v>499</v>
      </c>
      <c r="C35" s="425"/>
      <c r="D35" s="425"/>
      <c r="E35" s="423"/>
      <c r="F35" s="154" t="s">
        <v>500</v>
      </c>
      <c r="G35" s="155">
        <v>2.5000000000000001E-3</v>
      </c>
      <c r="H35" s="156">
        <v>359.75</v>
      </c>
      <c r="I35" s="157">
        <v>400</v>
      </c>
      <c r="J35" s="157">
        <v>345</v>
      </c>
      <c r="K35" s="157">
        <v>240</v>
      </c>
      <c r="L35" s="157">
        <v>140</v>
      </c>
      <c r="M35" s="157">
        <v>40</v>
      </c>
      <c r="N35" s="176"/>
      <c r="O35" s="176"/>
      <c r="P35" s="176"/>
      <c r="Q35" s="176"/>
      <c r="R35" s="176"/>
      <c r="S35" s="176"/>
      <c r="T35" s="176"/>
      <c r="U35" s="176"/>
      <c r="V35" s="156"/>
      <c r="W35" s="158">
        <f t="shared" si="1"/>
        <v>1524.75</v>
      </c>
    </row>
    <row r="36" spans="1:23" s="152" customFormat="1" ht="12.75" customHeight="1" x14ac:dyDescent="0.2">
      <c r="A36" s="420">
        <v>15</v>
      </c>
      <c r="B36" s="167" t="s">
        <v>463</v>
      </c>
      <c r="C36" s="446" t="s">
        <v>501</v>
      </c>
      <c r="D36" s="446">
        <v>540</v>
      </c>
      <c r="E36" s="444">
        <v>269491.92</v>
      </c>
      <c r="F36" s="177" t="s">
        <v>498</v>
      </c>
      <c r="G36" s="167" t="s">
        <v>460</v>
      </c>
      <c r="H36" s="168">
        <v>28372.080000000002</v>
      </c>
      <c r="I36" s="168">
        <v>28372.080000000002</v>
      </c>
      <c r="J36" s="168">
        <v>28372.080000000002</v>
      </c>
      <c r="K36" s="168">
        <v>28372.080000000002</v>
      </c>
      <c r="L36" s="168">
        <v>28372.080000000002</v>
      </c>
      <c r="M36" s="168">
        <v>14143.22</v>
      </c>
      <c r="N36" s="169"/>
      <c r="O36" s="169"/>
      <c r="P36" s="169"/>
      <c r="Q36" s="169"/>
      <c r="R36" s="169"/>
      <c r="S36" s="169"/>
      <c r="T36" s="169"/>
      <c r="U36" s="169"/>
      <c r="V36" s="168"/>
      <c r="W36" s="178">
        <f t="shared" si="1"/>
        <v>156003.62000000002</v>
      </c>
    </row>
    <row r="37" spans="1:23" s="152" customFormat="1" x14ac:dyDescent="0.2">
      <c r="A37" s="421"/>
      <c r="B37" s="179" t="s">
        <v>502</v>
      </c>
      <c r="C37" s="447"/>
      <c r="D37" s="447"/>
      <c r="E37" s="445"/>
      <c r="F37" s="170" t="s">
        <v>500</v>
      </c>
      <c r="G37" s="171">
        <v>2.5000000000000001E-3</v>
      </c>
      <c r="H37" s="174">
        <v>406.4</v>
      </c>
      <c r="I37" s="172">
        <v>450</v>
      </c>
      <c r="J37" s="172">
        <v>385</v>
      </c>
      <c r="K37" s="172">
        <v>275</v>
      </c>
      <c r="L37" s="172">
        <v>155</v>
      </c>
      <c r="M37" s="172">
        <v>45</v>
      </c>
      <c r="N37" s="182"/>
      <c r="O37" s="173"/>
      <c r="P37" s="173"/>
      <c r="Q37" s="173"/>
      <c r="R37" s="173"/>
      <c r="S37" s="173"/>
      <c r="T37" s="173"/>
      <c r="U37" s="173"/>
      <c r="V37" s="174"/>
      <c r="W37" s="180">
        <f t="shared" si="1"/>
        <v>1716.4</v>
      </c>
    </row>
    <row r="38" spans="1:23" s="152" customFormat="1" ht="12.75" customHeight="1" x14ac:dyDescent="0.2">
      <c r="A38" s="420">
        <v>16</v>
      </c>
      <c r="B38" s="148" t="s">
        <v>463</v>
      </c>
      <c r="C38" s="424" t="s">
        <v>503</v>
      </c>
      <c r="D38" s="424">
        <v>542</v>
      </c>
      <c r="E38" s="422">
        <v>87193.58</v>
      </c>
      <c r="F38" s="149" t="s">
        <v>504</v>
      </c>
      <c r="G38" s="148" t="s">
        <v>460</v>
      </c>
      <c r="H38" s="150">
        <v>9180.36</v>
      </c>
      <c r="I38" s="150">
        <v>9180.36</v>
      </c>
      <c r="J38" s="150">
        <v>9180.36</v>
      </c>
      <c r="K38" s="150">
        <v>9180.36</v>
      </c>
      <c r="L38" s="150">
        <v>9180.36</v>
      </c>
      <c r="M38" s="150">
        <v>4570.34</v>
      </c>
      <c r="N38" s="175"/>
      <c r="O38" s="175"/>
      <c r="P38" s="175"/>
      <c r="Q38" s="175"/>
      <c r="R38" s="175"/>
      <c r="S38" s="175"/>
      <c r="T38" s="175"/>
      <c r="U38" s="175"/>
      <c r="V38" s="150"/>
      <c r="W38" s="151">
        <f t="shared" si="1"/>
        <v>50472.14</v>
      </c>
    </row>
    <row r="39" spans="1:23" s="152" customFormat="1" x14ac:dyDescent="0.2">
      <c r="A39" s="421"/>
      <c r="B39" s="153" t="s">
        <v>505</v>
      </c>
      <c r="C39" s="425"/>
      <c r="D39" s="425"/>
      <c r="E39" s="423"/>
      <c r="F39" s="154" t="s">
        <v>500</v>
      </c>
      <c r="G39" s="155">
        <v>2.5000000000000001E-3</v>
      </c>
      <c r="H39" s="156">
        <v>131.47999999999999</v>
      </c>
      <c r="I39" s="157">
        <v>150</v>
      </c>
      <c r="J39" s="157">
        <v>125</v>
      </c>
      <c r="K39" s="157">
        <v>90</v>
      </c>
      <c r="L39" s="157">
        <v>55</v>
      </c>
      <c r="M39" s="157">
        <v>15</v>
      </c>
      <c r="N39" s="157"/>
      <c r="O39" s="156"/>
      <c r="P39" s="156"/>
      <c r="Q39" s="156"/>
      <c r="R39" s="156"/>
      <c r="S39" s="176"/>
      <c r="T39" s="176"/>
      <c r="U39" s="176"/>
      <c r="V39" s="156"/>
      <c r="W39" s="158">
        <f t="shared" si="1"/>
        <v>566.48</v>
      </c>
    </row>
    <row r="40" spans="1:23" s="152" customFormat="1" ht="12.75" customHeight="1" x14ac:dyDescent="0.2">
      <c r="A40" s="420">
        <v>17</v>
      </c>
      <c r="B40" s="148" t="s">
        <v>463</v>
      </c>
      <c r="C40" s="424" t="s">
        <v>506</v>
      </c>
      <c r="D40" s="424">
        <v>541</v>
      </c>
      <c r="E40" s="422">
        <v>876419.31</v>
      </c>
      <c r="F40" s="149" t="s">
        <v>504</v>
      </c>
      <c r="G40" s="148" t="s">
        <v>460</v>
      </c>
      <c r="H40" s="150">
        <v>63636.52</v>
      </c>
      <c r="I40" s="150">
        <v>63636.52</v>
      </c>
      <c r="J40" s="150">
        <v>63636.52</v>
      </c>
      <c r="K40" s="150">
        <v>63636.52</v>
      </c>
      <c r="L40" s="150">
        <v>63636.52</v>
      </c>
      <c r="M40" s="150">
        <v>63636.52</v>
      </c>
      <c r="N40" s="150">
        <v>63636.52</v>
      </c>
      <c r="O40" s="150">
        <v>63636.52</v>
      </c>
      <c r="P40" s="150">
        <v>63636.52</v>
      </c>
      <c r="Q40" s="150">
        <v>63636.52</v>
      </c>
      <c r="R40" s="150">
        <v>47721.68</v>
      </c>
      <c r="S40" s="175"/>
      <c r="T40" s="175"/>
      <c r="U40" s="175"/>
      <c r="V40" s="150"/>
      <c r="W40" s="151">
        <f t="shared" ref="W40:W71" si="2">SUM(H40:V40)</f>
        <v>684086.88000000012</v>
      </c>
    </row>
    <row r="41" spans="1:23" s="152" customFormat="1" x14ac:dyDescent="0.2">
      <c r="A41" s="421"/>
      <c r="B41" s="153" t="s">
        <v>507</v>
      </c>
      <c r="C41" s="425"/>
      <c r="D41" s="425"/>
      <c r="E41" s="423"/>
      <c r="F41" s="154" t="s">
        <v>508</v>
      </c>
      <c r="G41" s="155">
        <v>2.5000000000000001E-3</v>
      </c>
      <c r="H41" s="156">
        <v>1809.36</v>
      </c>
      <c r="I41" s="157">
        <v>2235</v>
      </c>
      <c r="J41" s="157">
        <v>2220</v>
      </c>
      <c r="K41" s="157">
        <v>1970</v>
      </c>
      <c r="L41" s="157">
        <v>1705</v>
      </c>
      <c r="M41" s="157">
        <v>1445</v>
      </c>
      <c r="N41" s="157">
        <v>1190</v>
      </c>
      <c r="O41" s="157">
        <v>935</v>
      </c>
      <c r="P41" s="157">
        <v>670</v>
      </c>
      <c r="Q41" s="157">
        <v>415</v>
      </c>
      <c r="R41" s="157">
        <v>155</v>
      </c>
      <c r="S41" s="181"/>
      <c r="T41" s="181"/>
      <c r="U41" s="181"/>
      <c r="V41" s="157"/>
      <c r="W41" s="158">
        <f t="shared" si="2"/>
        <v>14749.36</v>
      </c>
    </row>
    <row r="42" spans="1:23" s="183" customFormat="1" ht="12.75" customHeight="1" x14ac:dyDescent="0.2">
      <c r="A42" s="420">
        <v>18</v>
      </c>
      <c r="B42" s="148" t="s">
        <v>463</v>
      </c>
      <c r="C42" s="424" t="s">
        <v>509</v>
      </c>
      <c r="D42" s="424">
        <v>544</v>
      </c>
      <c r="E42" s="422">
        <v>215078.46</v>
      </c>
      <c r="F42" s="149" t="s">
        <v>510</v>
      </c>
      <c r="G42" s="148" t="s">
        <v>460</v>
      </c>
      <c r="H42" s="150">
        <v>20483.68</v>
      </c>
      <c r="I42" s="150">
        <v>20483.68</v>
      </c>
      <c r="J42" s="150">
        <v>20483.68</v>
      </c>
      <c r="K42" s="150">
        <v>20483.68</v>
      </c>
      <c r="L42" s="150">
        <v>20483.68</v>
      </c>
      <c r="M42" s="150">
        <v>20483.68</v>
      </c>
      <c r="N42" s="150">
        <v>10241.67</v>
      </c>
      <c r="O42" s="150"/>
      <c r="P42" s="150"/>
      <c r="Q42" s="150"/>
      <c r="R42" s="150"/>
      <c r="S42" s="175"/>
      <c r="T42" s="175"/>
      <c r="U42" s="175"/>
      <c r="V42" s="150"/>
      <c r="W42" s="151">
        <f t="shared" si="2"/>
        <v>133143.75</v>
      </c>
    </row>
    <row r="43" spans="1:23" s="152" customFormat="1" x14ac:dyDescent="0.2">
      <c r="A43" s="421"/>
      <c r="B43" s="153" t="s">
        <v>511</v>
      </c>
      <c r="C43" s="458"/>
      <c r="D43" s="425"/>
      <c r="E43" s="423"/>
      <c r="F43" s="154" t="s">
        <v>512</v>
      </c>
      <c r="G43" s="155">
        <v>2.5000000000000001E-3</v>
      </c>
      <c r="H43" s="156">
        <v>352.67</v>
      </c>
      <c r="I43" s="157">
        <v>400</v>
      </c>
      <c r="J43" s="157">
        <v>365</v>
      </c>
      <c r="K43" s="157">
        <v>280</v>
      </c>
      <c r="L43" s="157">
        <v>195</v>
      </c>
      <c r="M43" s="157">
        <v>115</v>
      </c>
      <c r="N43" s="157">
        <v>30</v>
      </c>
      <c r="O43" s="181"/>
      <c r="P43" s="176"/>
      <c r="Q43" s="176"/>
      <c r="R43" s="176"/>
      <c r="S43" s="176"/>
      <c r="T43" s="176"/>
      <c r="U43" s="176"/>
      <c r="V43" s="156"/>
      <c r="W43" s="158">
        <f t="shared" si="2"/>
        <v>1737.67</v>
      </c>
    </row>
    <row r="44" spans="1:23" s="183" customFormat="1" ht="12.75" customHeight="1" x14ac:dyDescent="0.2">
      <c r="A44" s="420">
        <v>19</v>
      </c>
      <c r="B44" s="167" t="s">
        <v>463</v>
      </c>
      <c r="C44" s="446" t="s">
        <v>513</v>
      </c>
      <c r="D44" s="446">
        <v>543</v>
      </c>
      <c r="E44" s="444">
        <v>64700</v>
      </c>
      <c r="F44" s="177" t="s">
        <v>510</v>
      </c>
      <c r="G44" s="167" t="s">
        <v>460</v>
      </c>
      <c r="H44" s="168">
        <v>6420</v>
      </c>
      <c r="I44" s="168">
        <v>6420</v>
      </c>
      <c r="J44" s="168">
        <v>6420</v>
      </c>
      <c r="K44" s="168">
        <v>6420</v>
      </c>
      <c r="L44" s="168">
        <v>6420</v>
      </c>
      <c r="M44" s="168">
        <v>6420</v>
      </c>
      <c r="N44" s="168">
        <v>3200</v>
      </c>
      <c r="O44" s="169"/>
      <c r="P44" s="169"/>
      <c r="Q44" s="169"/>
      <c r="R44" s="169"/>
      <c r="S44" s="169"/>
      <c r="T44" s="169"/>
      <c r="U44" s="169"/>
      <c r="V44" s="168"/>
      <c r="W44" s="178">
        <f t="shared" si="2"/>
        <v>41720</v>
      </c>
    </row>
    <row r="45" spans="1:23" s="152" customFormat="1" x14ac:dyDescent="0.2">
      <c r="A45" s="421"/>
      <c r="B45" s="179" t="s">
        <v>514</v>
      </c>
      <c r="C45" s="447"/>
      <c r="D45" s="447"/>
      <c r="E45" s="445"/>
      <c r="F45" s="170" t="s">
        <v>512</v>
      </c>
      <c r="G45" s="171">
        <v>2.5000000000000001E-3</v>
      </c>
      <c r="H45" s="174">
        <v>110.51</v>
      </c>
      <c r="I45" s="172">
        <v>130</v>
      </c>
      <c r="J45" s="172">
        <v>115</v>
      </c>
      <c r="K45" s="172">
        <v>90</v>
      </c>
      <c r="L45" s="172">
        <v>65</v>
      </c>
      <c r="M45" s="172">
        <v>40</v>
      </c>
      <c r="N45" s="172">
        <v>10</v>
      </c>
      <c r="O45" s="173"/>
      <c r="P45" s="173"/>
      <c r="Q45" s="173"/>
      <c r="R45" s="173"/>
      <c r="S45" s="173"/>
      <c r="T45" s="173"/>
      <c r="U45" s="173"/>
      <c r="V45" s="174"/>
      <c r="W45" s="180">
        <f t="shared" si="2"/>
        <v>560.51</v>
      </c>
    </row>
    <row r="46" spans="1:23" s="183" customFormat="1" ht="13.5" customHeight="1" x14ac:dyDescent="0.2">
      <c r="A46" s="420">
        <v>20</v>
      </c>
      <c r="B46" s="148" t="s">
        <v>463</v>
      </c>
      <c r="C46" s="424" t="s">
        <v>515</v>
      </c>
      <c r="D46" s="424">
        <v>545</v>
      </c>
      <c r="E46" s="422">
        <v>241620.71</v>
      </c>
      <c r="F46" s="149" t="s">
        <v>516</v>
      </c>
      <c r="G46" s="148" t="s">
        <v>460</v>
      </c>
      <c r="H46" s="150">
        <v>23016.36</v>
      </c>
      <c r="I46" s="150">
        <v>23016.36</v>
      </c>
      <c r="J46" s="150">
        <v>23016.36</v>
      </c>
      <c r="K46" s="150">
        <v>23016.36</v>
      </c>
      <c r="L46" s="150">
        <v>23016.36</v>
      </c>
      <c r="M46" s="150">
        <v>23016.36</v>
      </c>
      <c r="N46" s="150">
        <v>11457.09</v>
      </c>
      <c r="O46" s="150"/>
      <c r="P46" s="150"/>
      <c r="Q46" s="150"/>
      <c r="R46" s="150"/>
      <c r="S46" s="150"/>
      <c r="T46" s="175"/>
      <c r="U46" s="175"/>
      <c r="V46" s="150"/>
      <c r="W46" s="151">
        <f t="shared" si="2"/>
        <v>149555.25</v>
      </c>
    </row>
    <row r="47" spans="1:23" s="152" customFormat="1" x14ac:dyDescent="0.2">
      <c r="A47" s="421"/>
      <c r="B47" s="153" t="s">
        <v>517</v>
      </c>
      <c r="C47" s="425"/>
      <c r="D47" s="425"/>
      <c r="E47" s="423"/>
      <c r="F47" s="154" t="s">
        <v>518</v>
      </c>
      <c r="G47" s="155">
        <v>2.5000000000000001E-3</v>
      </c>
      <c r="H47" s="156">
        <v>396.15</v>
      </c>
      <c r="I47" s="157">
        <v>450</v>
      </c>
      <c r="J47" s="157">
        <v>410</v>
      </c>
      <c r="K47" s="157">
        <v>315</v>
      </c>
      <c r="L47" s="157">
        <v>220</v>
      </c>
      <c r="M47" s="157">
        <v>130</v>
      </c>
      <c r="N47" s="157">
        <v>35</v>
      </c>
      <c r="O47" s="157"/>
      <c r="P47" s="156"/>
      <c r="Q47" s="156"/>
      <c r="R47" s="156"/>
      <c r="S47" s="156"/>
      <c r="T47" s="176"/>
      <c r="U47" s="176"/>
      <c r="V47" s="156"/>
      <c r="W47" s="158">
        <f t="shared" si="2"/>
        <v>1956.15</v>
      </c>
    </row>
    <row r="48" spans="1:23" s="183" customFormat="1" ht="12.75" customHeight="1" x14ac:dyDescent="0.2">
      <c r="A48" s="420">
        <v>21</v>
      </c>
      <c r="B48" s="167" t="s">
        <v>463</v>
      </c>
      <c r="C48" s="446" t="s">
        <v>519</v>
      </c>
      <c r="D48" s="446">
        <v>546</v>
      </c>
      <c r="E48" s="444">
        <v>993544.59</v>
      </c>
      <c r="F48" s="177" t="s">
        <v>520</v>
      </c>
      <c r="G48" s="167" t="s">
        <v>460</v>
      </c>
      <c r="H48" s="168">
        <v>67262</v>
      </c>
      <c r="I48" s="168">
        <v>67262</v>
      </c>
      <c r="J48" s="168">
        <v>67262</v>
      </c>
      <c r="K48" s="168">
        <v>67262</v>
      </c>
      <c r="L48" s="168">
        <v>67262</v>
      </c>
      <c r="M48" s="168">
        <v>67262</v>
      </c>
      <c r="N48" s="168">
        <v>67262</v>
      </c>
      <c r="O48" s="168">
        <v>67262</v>
      </c>
      <c r="P48" s="168">
        <v>67262</v>
      </c>
      <c r="Q48" s="168">
        <v>67262</v>
      </c>
      <c r="R48" s="168">
        <v>67262</v>
      </c>
      <c r="S48" s="168">
        <v>50453.72</v>
      </c>
      <c r="T48" s="169"/>
      <c r="U48" s="169"/>
      <c r="V48" s="168"/>
      <c r="W48" s="178">
        <f t="shared" si="2"/>
        <v>790335.72</v>
      </c>
    </row>
    <row r="49" spans="1:23" s="152" customFormat="1" x14ac:dyDescent="0.2">
      <c r="A49" s="421"/>
      <c r="B49" s="179" t="s">
        <v>521</v>
      </c>
      <c r="C49" s="457"/>
      <c r="D49" s="447"/>
      <c r="E49" s="445"/>
      <c r="F49" s="170" t="s">
        <v>522</v>
      </c>
      <c r="G49" s="171">
        <v>2.5000000000000001E-3</v>
      </c>
      <c r="H49" s="174">
        <v>2117.63</v>
      </c>
      <c r="I49" s="172">
        <v>2610</v>
      </c>
      <c r="J49" s="172">
        <v>2620</v>
      </c>
      <c r="K49" s="172">
        <v>2355</v>
      </c>
      <c r="L49" s="172">
        <v>2075</v>
      </c>
      <c r="M49" s="172">
        <v>1800</v>
      </c>
      <c r="N49" s="172">
        <v>1530</v>
      </c>
      <c r="O49" s="172">
        <v>1260</v>
      </c>
      <c r="P49" s="172">
        <v>985</v>
      </c>
      <c r="Q49" s="172">
        <v>710</v>
      </c>
      <c r="R49" s="172">
        <v>440</v>
      </c>
      <c r="S49" s="172">
        <v>165</v>
      </c>
      <c r="T49" s="182"/>
      <c r="U49" s="182"/>
      <c r="V49" s="172"/>
      <c r="W49" s="180">
        <f t="shared" si="2"/>
        <v>18667.63</v>
      </c>
    </row>
    <row r="50" spans="1:23" s="183" customFormat="1" ht="12.75" customHeight="1" x14ac:dyDescent="0.2">
      <c r="A50" s="420">
        <v>22</v>
      </c>
      <c r="B50" s="148" t="s">
        <v>463</v>
      </c>
      <c r="C50" s="424" t="s">
        <v>523</v>
      </c>
      <c r="D50" s="424">
        <v>548</v>
      </c>
      <c r="E50" s="422">
        <v>337718.84</v>
      </c>
      <c r="F50" s="149" t="s">
        <v>524</v>
      </c>
      <c r="G50" s="148" t="s">
        <v>460</v>
      </c>
      <c r="H50" s="150">
        <v>31417</v>
      </c>
      <c r="I50" s="150">
        <v>31417</v>
      </c>
      <c r="J50" s="150">
        <v>31417</v>
      </c>
      <c r="K50" s="150">
        <v>31417</v>
      </c>
      <c r="L50" s="150">
        <v>31417</v>
      </c>
      <c r="M50" s="150">
        <v>31417</v>
      </c>
      <c r="N50" s="150">
        <v>23548.83</v>
      </c>
      <c r="O50" s="150"/>
      <c r="P50" s="150"/>
      <c r="Q50" s="150"/>
      <c r="R50" s="150"/>
      <c r="S50" s="150"/>
      <c r="T50" s="175"/>
      <c r="U50" s="175"/>
      <c r="V50" s="150"/>
      <c r="W50" s="151">
        <f t="shared" si="2"/>
        <v>212050.83000000002</v>
      </c>
    </row>
    <row r="51" spans="1:23" s="152" customFormat="1" x14ac:dyDescent="0.2">
      <c r="A51" s="421"/>
      <c r="B51" s="153" t="s">
        <v>525</v>
      </c>
      <c r="C51" s="425"/>
      <c r="D51" s="425"/>
      <c r="E51" s="423"/>
      <c r="F51" s="154" t="s">
        <v>526</v>
      </c>
      <c r="G51" s="155">
        <v>2.5000000000000001E-3</v>
      </c>
      <c r="H51" s="156">
        <v>562.26</v>
      </c>
      <c r="I51" s="157">
        <v>645</v>
      </c>
      <c r="J51" s="157">
        <v>590</v>
      </c>
      <c r="K51" s="157">
        <v>460</v>
      </c>
      <c r="L51" s="157">
        <v>335</v>
      </c>
      <c r="M51" s="157">
        <v>205</v>
      </c>
      <c r="N51" s="157">
        <v>80</v>
      </c>
      <c r="O51" s="156"/>
      <c r="P51" s="176"/>
      <c r="Q51" s="176"/>
      <c r="R51" s="176"/>
      <c r="S51" s="176"/>
      <c r="T51" s="176"/>
      <c r="U51" s="176"/>
      <c r="V51" s="156"/>
      <c r="W51" s="158">
        <f t="shared" si="2"/>
        <v>2877.26</v>
      </c>
    </row>
    <row r="52" spans="1:23" s="183" customFormat="1" ht="12.75" customHeight="1" x14ac:dyDescent="0.2">
      <c r="A52" s="420">
        <v>23</v>
      </c>
      <c r="B52" s="167" t="s">
        <v>463</v>
      </c>
      <c r="C52" s="446" t="s">
        <v>527</v>
      </c>
      <c r="D52" s="446">
        <v>547</v>
      </c>
      <c r="E52" s="444">
        <v>452006.32</v>
      </c>
      <c r="F52" s="177" t="s">
        <v>524</v>
      </c>
      <c r="G52" s="167" t="s">
        <v>460</v>
      </c>
      <c r="H52" s="168">
        <v>42048.72</v>
      </c>
      <c r="I52" s="168">
        <v>42048.72</v>
      </c>
      <c r="J52" s="168">
        <v>42048.72</v>
      </c>
      <c r="K52" s="168">
        <v>42048.72</v>
      </c>
      <c r="L52" s="168">
        <v>42048.72</v>
      </c>
      <c r="M52" s="168">
        <v>42048.72</v>
      </c>
      <c r="N52" s="168">
        <v>31519.13</v>
      </c>
      <c r="O52" s="168"/>
      <c r="P52" s="169"/>
      <c r="Q52" s="169"/>
      <c r="R52" s="169"/>
      <c r="S52" s="169"/>
      <c r="T52" s="169"/>
      <c r="U52" s="169"/>
      <c r="V52" s="168"/>
      <c r="W52" s="178">
        <f t="shared" si="2"/>
        <v>283811.45</v>
      </c>
    </row>
    <row r="53" spans="1:23" s="152" customFormat="1" x14ac:dyDescent="0.2">
      <c r="A53" s="421"/>
      <c r="B53" s="179" t="s">
        <v>528</v>
      </c>
      <c r="C53" s="447"/>
      <c r="D53" s="447"/>
      <c r="E53" s="445"/>
      <c r="F53" s="170" t="s">
        <v>512</v>
      </c>
      <c r="G53" s="171">
        <v>2.5000000000000001E-3</v>
      </c>
      <c r="H53" s="174">
        <v>752.47</v>
      </c>
      <c r="I53" s="172">
        <v>860</v>
      </c>
      <c r="J53" s="172">
        <v>785</v>
      </c>
      <c r="K53" s="172">
        <v>615</v>
      </c>
      <c r="L53" s="172">
        <v>445</v>
      </c>
      <c r="M53" s="172">
        <v>275</v>
      </c>
      <c r="N53" s="172">
        <v>105</v>
      </c>
      <c r="O53" s="182"/>
      <c r="P53" s="173"/>
      <c r="Q53" s="173"/>
      <c r="R53" s="173"/>
      <c r="S53" s="173"/>
      <c r="T53" s="173"/>
      <c r="U53" s="173"/>
      <c r="V53" s="174"/>
      <c r="W53" s="180">
        <f t="shared" si="2"/>
        <v>3837.4700000000003</v>
      </c>
    </row>
    <row r="54" spans="1:23" s="183" customFormat="1" ht="12.75" customHeight="1" x14ac:dyDescent="0.2">
      <c r="A54" s="420">
        <v>24</v>
      </c>
      <c r="B54" s="148" t="s">
        <v>463</v>
      </c>
      <c r="C54" s="424" t="s">
        <v>529</v>
      </c>
      <c r="D54" s="424">
        <v>549</v>
      </c>
      <c r="E54" s="422">
        <v>403086.24</v>
      </c>
      <c r="F54" s="149" t="s">
        <v>530</v>
      </c>
      <c r="G54" s="148" t="s">
        <v>460</v>
      </c>
      <c r="H54" s="150">
        <v>38394.76</v>
      </c>
      <c r="I54" s="150">
        <v>38394.76</v>
      </c>
      <c r="J54" s="150">
        <v>38394.76</v>
      </c>
      <c r="K54" s="150">
        <v>38394.76</v>
      </c>
      <c r="L54" s="150">
        <v>38394.76</v>
      </c>
      <c r="M54" s="150">
        <v>38394.76</v>
      </c>
      <c r="N54" s="150">
        <v>19138.62</v>
      </c>
      <c r="O54" s="175"/>
      <c r="P54" s="175"/>
      <c r="Q54" s="175"/>
      <c r="R54" s="175"/>
      <c r="S54" s="175"/>
      <c r="T54" s="175"/>
      <c r="U54" s="175"/>
      <c r="V54" s="150"/>
      <c r="W54" s="151">
        <f t="shared" si="2"/>
        <v>249507.18000000002</v>
      </c>
    </row>
    <row r="55" spans="1:23" s="152" customFormat="1" x14ac:dyDescent="0.2">
      <c r="A55" s="421"/>
      <c r="B55" s="153" t="s">
        <v>531</v>
      </c>
      <c r="C55" s="425"/>
      <c r="D55" s="425"/>
      <c r="E55" s="423"/>
      <c r="F55" s="154" t="s">
        <v>512</v>
      </c>
      <c r="G55" s="155">
        <v>2.5000000000000001E-3</v>
      </c>
      <c r="H55" s="156">
        <v>660.87</v>
      </c>
      <c r="I55" s="157">
        <v>750</v>
      </c>
      <c r="J55" s="157">
        <v>680</v>
      </c>
      <c r="K55" s="157">
        <v>525</v>
      </c>
      <c r="L55" s="157">
        <v>370</v>
      </c>
      <c r="M55" s="157">
        <v>210</v>
      </c>
      <c r="N55" s="157">
        <v>55</v>
      </c>
      <c r="O55" s="176"/>
      <c r="P55" s="176"/>
      <c r="Q55" s="176"/>
      <c r="R55" s="176"/>
      <c r="S55" s="176"/>
      <c r="T55" s="176"/>
      <c r="U55" s="176"/>
      <c r="V55" s="156"/>
      <c r="W55" s="158">
        <f t="shared" si="2"/>
        <v>3250.87</v>
      </c>
    </row>
    <row r="56" spans="1:23" s="183" customFormat="1" ht="12.75" customHeight="1" x14ac:dyDescent="0.2">
      <c r="A56" s="420">
        <v>25</v>
      </c>
      <c r="B56" s="148" t="s">
        <v>463</v>
      </c>
      <c r="C56" s="424" t="s">
        <v>532</v>
      </c>
      <c r="D56" s="424">
        <v>557</v>
      </c>
      <c r="E56" s="444">
        <v>359487.14</v>
      </c>
      <c r="F56" s="177" t="s">
        <v>533</v>
      </c>
      <c r="G56" s="167" t="s">
        <v>460</v>
      </c>
      <c r="H56" s="168">
        <v>34240</v>
      </c>
      <c r="I56" s="168">
        <v>34240</v>
      </c>
      <c r="J56" s="168">
        <v>34240</v>
      </c>
      <c r="K56" s="168">
        <v>34240</v>
      </c>
      <c r="L56" s="168">
        <v>34240</v>
      </c>
      <c r="M56" s="168">
        <v>34240</v>
      </c>
      <c r="N56" s="168">
        <v>17087.150000000001</v>
      </c>
      <c r="O56" s="169"/>
      <c r="P56" s="169"/>
      <c r="Q56" s="169"/>
      <c r="R56" s="169"/>
      <c r="S56" s="169"/>
      <c r="T56" s="169"/>
      <c r="U56" s="169"/>
      <c r="V56" s="168"/>
      <c r="W56" s="151">
        <f t="shared" si="2"/>
        <v>222527.15</v>
      </c>
    </row>
    <row r="57" spans="1:23" s="152" customFormat="1" x14ac:dyDescent="0.2">
      <c r="A57" s="421"/>
      <c r="B57" s="153" t="s">
        <v>534</v>
      </c>
      <c r="C57" s="425"/>
      <c r="D57" s="425"/>
      <c r="E57" s="445"/>
      <c r="F57" s="170" t="s">
        <v>512</v>
      </c>
      <c r="G57" s="171">
        <v>2.5000000000000001E-3</v>
      </c>
      <c r="H57" s="174">
        <v>589.41</v>
      </c>
      <c r="I57" s="172">
        <v>670</v>
      </c>
      <c r="J57" s="172">
        <v>605</v>
      </c>
      <c r="K57" s="172">
        <v>470</v>
      </c>
      <c r="L57" s="172">
        <v>330</v>
      </c>
      <c r="M57" s="172">
        <v>190</v>
      </c>
      <c r="N57" s="172">
        <v>50</v>
      </c>
      <c r="O57" s="174"/>
      <c r="P57" s="174"/>
      <c r="Q57" s="173"/>
      <c r="R57" s="173"/>
      <c r="S57" s="173"/>
      <c r="T57" s="173"/>
      <c r="U57" s="173"/>
      <c r="V57" s="174"/>
      <c r="W57" s="158">
        <f t="shared" si="2"/>
        <v>2904.41</v>
      </c>
    </row>
    <row r="58" spans="1:23" s="152" customFormat="1" ht="12.75" customHeight="1" x14ac:dyDescent="0.2">
      <c r="A58" s="420">
        <v>26</v>
      </c>
      <c r="B58" s="148" t="s">
        <v>463</v>
      </c>
      <c r="C58" s="424" t="s">
        <v>515</v>
      </c>
      <c r="D58" s="424">
        <v>551</v>
      </c>
      <c r="E58" s="455">
        <v>250209.16</v>
      </c>
      <c r="F58" s="184" t="s">
        <v>535</v>
      </c>
      <c r="G58" s="148" t="s">
        <v>460</v>
      </c>
      <c r="H58" s="150">
        <v>22242.32</v>
      </c>
      <c r="I58" s="150">
        <v>22242.32</v>
      </c>
      <c r="J58" s="150">
        <v>22242.32</v>
      </c>
      <c r="K58" s="150">
        <v>22242.32</v>
      </c>
      <c r="L58" s="150">
        <v>22242.32</v>
      </c>
      <c r="M58" s="150">
        <v>22242.32</v>
      </c>
      <c r="N58" s="150">
        <v>22242.32</v>
      </c>
      <c r="O58" s="150">
        <v>5543.63</v>
      </c>
      <c r="P58" s="150"/>
      <c r="Q58" s="175"/>
      <c r="R58" s="175"/>
      <c r="S58" s="175"/>
      <c r="T58" s="175"/>
      <c r="U58" s="175"/>
      <c r="V58" s="150"/>
      <c r="W58" s="151">
        <f t="shared" si="2"/>
        <v>161239.87000000002</v>
      </c>
    </row>
    <row r="59" spans="1:23" s="152" customFormat="1" x14ac:dyDescent="0.2">
      <c r="A59" s="421"/>
      <c r="B59" s="153" t="s">
        <v>536</v>
      </c>
      <c r="C59" s="425"/>
      <c r="D59" s="425"/>
      <c r="E59" s="456"/>
      <c r="F59" s="185" t="s">
        <v>537</v>
      </c>
      <c r="G59" s="155">
        <v>2.5000000000000001E-3</v>
      </c>
      <c r="H59" s="156">
        <v>418.63</v>
      </c>
      <c r="I59" s="157">
        <v>495</v>
      </c>
      <c r="J59" s="157">
        <v>460</v>
      </c>
      <c r="K59" s="157">
        <v>375</v>
      </c>
      <c r="L59" s="157">
        <v>280</v>
      </c>
      <c r="M59" s="157">
        <v>190</v>
      </c>
      <c r="N59" s="157">
        <v>100</v>
      </c>
      <c r="O59" s="157">
        <v>20</v>
      </c>
      <c r="P59" s="176"/>
      <c r="Q59" s="176"/>
      <c r="R59" s="176"/>
      <c r="S59" s="176"/>
      <c r="T59" s="176"/>
      <c r="U59" s="176"/>
      <c r="V59" s="156"/>
      <c r="W59" s="158">
        <f t="shared" si="2"/>
        <v>2338.63</v>
      </c>
    </row>
    <row r="60" spans="1:23" s="152" customFormat="1" ht="12.75" customHeight="1" x14ac:dyDescent="0.2">
      <c r="A60" s="420">
        <v>27</v>
      </c>
      <c r="B60" s="148" t="s">
        <v>463</v>
      </c>
      <c r="C60" s="424" t="s">
        <v>509</v>
      </c>
      <c r="D60" s="424">
        <v>550</v>
      </c>
      <c r="E60" s="444">
        <v>76266.03</v>
      </c>
      <c r="F60" s="177" t="s">
        <v>535</v>
      </c>
      <c r="G60" s="167" t="s">
        <v>460</v>
      </c>
      <c r="H60" s="168">
        <v>6784.24</v>
      </c>
      <c r="I60" s="168">
        <v>6784.24</v>
      </c>
      <c r="J60" s="168">
        <v>6784.24</v>
      </c>
      <c r="K60" s="168">
        <v>6784.24</v>
      </c>
      <c r="L60" s="168">
        <v>6784.24</v>
      </c>
      <c r="M60" s="168">
        <v>6784.24</v>
      </c>
      <c r="N60" s="168">
        <v>6784.24</v>
      </c>
      <c r="O60" s="168">
        <v>1639.38</v>
      </c>
      <c r="P60" s="169"/>
      <c r="Q60" s="169"/>
      <c r="R60" s="169"/>
      <c r="S60" s="169"/>
      <c r="T60" s="169"/>
      <c r="U60" s="169"/>
      <c r="V60" s="168"/>
      <c r="W60" s="151">
        <f t="shared" si="2"/>
        <v>49129.05999999999</v>
      </c>
    </row>
    <row r="61" spans="1:23" s="152" customFormat="1" x14ac:dyDescent="0.2">
      <c r="A61" s="421"/>
      <c r="B61" s="153" t="s">
        <v>538</v>
      </c>
      <c r="C61" s="425"/>
      <c r="D61" s="425"/>
      <c r="E61" s="445"/>
      <c r="F61" s="170" t="s">
        <v>537</v>
      </c>
      <c r="G61" s="171">
        <v>2.5000000000000001E-3</v>
      </c>
      <c r="H61" s="174">
        <v>127.56</v>
      </c>
      <c r="I61" s="172">
        <v>155</v>
      </c>
      <c r="J61" s="172">
        <v>140</v>
      </c>
      <c r="K61" s="172">
        <v>115</v>
      </c>
      <c r="L61" s="172">
        <v>85</v>
      </c>
      <c r="M61" s="172">
        <v>60</v>
      </c>
      <c r="N61" s="172">
        <v>30</v>
      </c>
      <c r="O61" s="172">
        <v>5</v>
      </c>
      <c r="P61" s="173"/>
      <c r="Q61" s="173"/>
      <c r="R61" s="173"/>
      <c r="S61" s="173"/>
      <c r="T61" s="173"/>
      <c r="U61" s="173"/>
      <c r="V61" s="174"/>
      <c r="W61" s="158">
        <f t="shared" si="2"/>
        <v>717.56</v>
      </c>
    </row>
    <row r="62" spans="1:23" s="152" customFormat="1" ht="12.75" customHeight="1" x14ac:dyDescent="0.2">
      <c r="A62" s="420">
        <v>28</v>
      </c>
      <c r="B62" s="148" t="s">
        <v>463</v>
      </c>
      <c r="C62" s="424" t="s">
        <v>539</v>
      </c>
      <c r="D62" s="424">
        <v>552</v>
      </c>
      <c r="E62" s="422">
        <v>158629.16</v>
      </c>
      <c r="F62" s="149" t="s">
        <v>540</v>
      </c>
      <c r="G62" s="148" t="s">
        <v>460</v>
      </c>
      <c r="H62" s="150">
        <v>14103.52</v>
      </c>
      <c r="I62" s="150">
        <v>14103.52</v>
      </c>
      <c r="J62" s="150">
        <v>14103.52</v>
      </c>
      <c r="K62" s="150">
        <v>14103.52</v>
      </c>
      <c r="L62" s="150">
        <v>14103.52</v>
      </c>
      <c r="M62" s="150">
        <v>14103.52</v>
      </c>
      <c r="N62" s="150">
        <v>14103.52</v>
      </c>
      <c r="O62" s="150">
        <v>3490.46</v>
      </c>
      <c r="P62" s="175"/>
      <c r="Q62" s="175"/>
      <c r="R62" s="175"/>
      <c r="S62" s="175"/>
      <c r="T62" s="175"/>
      <c r="U62" s="175"/>
      <c r="V62" s="150"/>
      <c r="W62" s="151">
        <f t="shared" si="2"/>
        <v>102215.10000000002</v>
      </c>
    </row>
    <row r="63" spans="1:23" s="152" customFormat="1" x14ac:dyDescent="0.2">
      <c r="A63" s="421"/>
      <c r="B63" s="153" t="s">
        <v>541</v>
      </c>
      <c r="C63" s="425"/>
      <c r="D63" s="425"/>
      <c r="E63" s="423"/>
      <c r="F63" s="154" t="s">
        <v>537</v>
      </c>
      <c r="G63" s="155">
        <v>2.5000000000000001E-3</v>
      </c>
      <c r="H63" s="156">
        <v>252.55</v>
      </c>
      <c r="I63" s="157">
        <v>250</v>
      </c>
      <c r="J63" s="157">
        <v>295</v>
      </c>
      <c r="K63" s="157">
        <v>235</v>
      </c>
      <c r="L63" s="157">
        <v>180</v>
      </c>
      <c r="M63" s="157">
        <v>120</v>
      </c>
      <c r="N63" s="157">
        <v>65</v>
      </c>
      <c r="O63" s="157">
        <v>10</v>
      </c>
      <c r="P63" s="176"/>
      <c r="Q63" s="176"/>
      <c r="R63" s="176"/>
      <c r="S63" s="176"/>
      <c r="T63" s="176"/>
      <c r="U63" s="176"/>
      <c r="V63" s="156"/>
      <c r="W63" s="158">
        <f t="shared" si="2"/>
        <v>1407.55</v>
      </c>
    </row>
    <row r="64" spans="1:23" s="152" customFormat="1" ht="12.75" customHeight="1" x14ac:dyDescent="0.2">
      <c r="A64" s="420">
        <v>29</v>
      </c>
      <c r="B64" s="167" t="s">
        <v>463</v>
      </c>
      <c r="C64" s="446" t="s">
        <v>542</v>
      </c>
      <c r="D64" s="446">
        <v>553</v>
      </c>
      <c r="E64" s="444">
        <v>107926.42</v>
      </c>
      <c r="F64" s="177" t="s">
        <v>543</v>
      </c>
      <c r="G64" s="167" t="s">
        <v>460</v>
      </c>
      <c r="H64" s="168">
        <v>9595.84</v>
      </c>
      <c r="I64" s="168">
        <v>9595.84</v>
      </c>
      <c r="J64" s="168">
        <v>9595.84</v>
      </c>
      <c r="K64" s="168">
        <v>9595.84</v>
      </c>
      <c r="L64" s="168">
        <v>9595.84</v>
      </c>
      <c r="M64" s="168">
        <v>9595.84</v>
      </c>
      <c r="N64" s="168">
        <v>9595.84</v>
      </c>
      <c r="O64" s="168">
        <v>2372.17</v>
      </c>
      <c r="P64" s="168"/>
      <c r="Q64" s="169"/>
      <c r="R64" s="169"/>
      <c r="S64" s="169"/>
      <c r="T64" s="169"/>
      <c r="U64" s="169"/>
      <c r="V64" s="168"/>
      <c r="W64" s="178">
        <f t="shared" si="2"/>
        <v>69543.049999999988</v>
      </c>
    </row>
    <row r="65" spans="1:23" s="152" customFormat="1" x14ac:dyDescent="0.2">
      <c r="A65" s="421"/>
      <c r="B65" s="179" t="s">
        <v>544</v>
      </c>
      <c r="C65" s="447"/>
      <c r="D65" s="447"/>
      <c r="E65" s="445"/>
      <c r="F65" s="170" t="s">
        <v>537</v>
      </c>
      <c r="G65" s="171">
        <v>2.5000000000000001E-3</v>
      </c>
      <c r="H65" s="174">
        <v>171.82</v>
      </c>
      <c r="I65" s="172">
        <v>170</v>
      </c>
      <c r="J65" s="172">
        <v>200</v>
      </c>
      <c r="K65" s="172">
        <v>160</v>
      </c>
      <c r="L65" s="172">
        <v>125</v>
      </c>
      <c r="M65" s="172">
        <v>85</v>
      </c>
      <c r="N65" s="172">
        <v>45</v>
      </c>
      <c r="O65" s="172">
        <v>10</v>
      </c>
      <c r="P65" s="174"/>
      <c r="Q65" s="173"/>
      <c r="R65" s="173"/>
      <c r="S65" s="173"/>
      <c r="T65" s="173"/>
      <c r="U65" s="173"/>
      <c r="V65" s="174"/>
      <c r="W65" s="180">
        <f t="shared" si="2"/>
        <v>966.81999999999994</v>
      </c>
    </row>
    <row r="66" spans="1:23" s="152" customFormat="1" ht="12.75" customHeight="1" x14ac:dyDescent="0.2">
      <c r="A66" s="420">
        <v>30</v>
      </c>
      <c r="B66" s="148" t="s">
        <v>463</v>
      </c>
      <c r="C66" s="424" t="s">
        <v>545</v>
      </c>
      <c r="D66" s="424">
        <v>558</v>
      </c>
      <c r="E66" s="422">
        <v>296887.89</v>
      </c>
      <c r="F66" s="161" t="s">
        <v>546</v>
      </c>
      <c r="G66" s="148" t="s">
        <v>460</v>
      </c>
      <c r="H66" s="150">
        <v>26391.439999999999</v>
      </c>
      <c r="I66" s="150">
        <v>26391.439999999999</v>
      </c>
      <c r="J66" s="150">
        <v>26391.439999999999</v>
      </c>
      <c r="K66" s="150">
        <v>26391.439999999999</v>
      </c>
      <c r="L66" s="150">
        <v>26391.439999999999</v>
      </c>
      <c r="M66" s="150">
        <v>26391.439999999999</v>
      </c>
      <c r="N66" s="150">
        <v>26391.439999999999</v>
      </c>
      <c r="O66" s="150">
        <v>6582.07</v>
      </c>
      <c r="P66" s="175"/>
      <c r="Q66" s="175"/>
      <c r="R66" s="175"/>
      <c r="S66" s="175"/>
      <c r="T66" s="175"/>
      <c r="U66" s="175"/>
      <c r="V66" s="150"/>
      <c r="W66" s="151">
        <f t="shared" si="2"/>
        <v>191322.15</v>
      </c>
    </row>
    <row r="67" spans="1:23" s="152" customFormat="1" x14ac:dyDescent="0.2">
      <c r="A67" s="421"/>
      <c r="B67" s="153" t="s">
        <v>547</v>
      </c>
      <c r="C67" s="425"/>
      <c r="D67" s="425"/>
      <c r="E67" s="423"/>
      <c r="F67" s="162">
        <v>45371</v>
      </c>
      <c r="G67" s="155">
        <v>2.5000000000000001E-3</v>
      </c>
      <c r="H67" s="156">
        <v>472.72</v>
      </c>
      <c r="I67" s="157">
        <v>470</v>
      </c>
      <c r="J67" s="157">
        <v>550</v>
      </c>
      <c r="K67" s="157">
        <v>440</v>
      </c>
      <c r="L67" s="157">
        <v>335</v>
      </c>
      <c r="M67" s="157">
        <v>225</v>
      </c>
      <c r="N67" s="157">
        <v>120</v>
      </c>
      <c r="O67" s="157">
        <v>20</v>
      </c>
      <c r="P67" s="176"/>
      <c r="Q67" s="176"/>
      <c r="R67" s="176"/>
      <c r="S67" s="176"/>
      <c r="T67" s="176"/>
      <c r="U67" s="176"/>
      <c r="V67" s="156"/>
      <c r="W67" s="158">
        <f t="shared" si="2"/>
        <v>2632.7200000000003</v>
      </c>
    </row>
    <row r="68" spans="1:23" s="152" customFormat="1" ht="12.75" customHeight="1" x14ac:dyDescent="0.2">
      <c r="A68" s="420">
        <v>31</v>
      </c>
      <c r="B68" s="167" t="s">
        <v>463</v>
      </c>
      <c r="C68" s="446" t="s">
        <v>529</v>
      </c>
      <c r="D68" s="446">
        <v>554</v>
      </c>
      <c r="E68" s="444">
        <v>369101.98</v>
      </c>
      <c r="F68" s="166" t="s">
        <v>548</v>
      </c>
      <c r="G68" s="167" t="s">
        <v>460</v>
      </c>
      <c r="H68" s="168">
        <v>32811.440000000002</v>
      </c>
      <c r="I68" s="168">
        <v>32811.440000000002</v>
      </c>
      <c r="J68" s="168">
        <v>32811.440000000002</v>
      </c>
      <c r="K68" s="168">
        <v>32811.440000000002</v>
      </c>
      <c r="L68" s="168">
        <v>32811.440000000002</v>
      </c>
      <c r="M68" s="168">
        <v>32811.440000000002</v>
      </c>
      <c r="N68" s="168">
        <v>32811.440000000002</v>
      </c>
      <c r="O68" s="168">
        <v>8176.16</v>
      </c>
      <c r="P68" s="169"/>
      <c r="Q68" s="169"/>
      <c r="R68" s="169"/>
      <c r="S68" s="169"/>
      <c r="T68" s="169"/>
      <c r="U68" s="169"/>
      <c r="V68" s="168"/>
      <c r="W68" s="178">
        <f t="shared" si="2"/>
        <v>237856.24000000002</v>
      </c>
    </row>
    <row r="69" spans="1:23" s="152" customFormat="1" x14ac:dyDescent="0.2">
      <c r="A69" s="421"/>
      <c r="B69" s="179" t="s">
        <v>549</v>
      </c>
      <c r="C69" s="447"/>
      <c r="D69" s="447"/>
      <c r="E69" s="445"/>
      <c r="F69" s="186">
        <v>45371</v>
      </c>
      <c r="G69" s="171">
        <v>2.5000000000000001E-3</v>
      </c>
      <c r="H69" s="174">
        <v>587.75</v>
      </c>
      <c r="I69" s="172">
        <v>580</v>
      </c>
      <c r="J69" s="172">
        <v>680</v>
      </c>
      <c r="K69" s="172">
        <v>550</v>
      </c>
      <c r="L69" s="172">
        <v>415</v>
      </c>
      <c r="M69" s="172">
        <v>280</v>
      </c>
      <c r="N69" s="172">
        <v>150</v>
      </c>
      <c r="O69" s="172">
        <v>25</v>
      </c>
      <c r="P69" s="173"/>
      <c r="Q69" s="173"/>
      <c r="R69" s="173"/>
      <c r="S69" s="173"/>
      <c r="T69" s="173"/>
      <c r="U69" s="173"/>
      <c r="V69" s="174"/>
      <c r="W69" s="180">
        <f t="shared" si="2"/>
        <v>3267.75</v>
      </c>
    </row>
    <row r="70" spans="1:23" s="152" customFormat="1" ht="12.75" customHeight="1" x14ac:dyDescent="0.2">
      <c r="A70" s="420">
        <v>32</v>
      </c>
      <c r="B70" s="148" t="s">
        <v>463</v>
      </c>
      <c r="C70" s="424" t="s">
        <v>550</v>
      </c>
      <c r="D70" s="424">
        <v>555</v>
      </c>
      <c r="E70" s="422">
        <v>560799.54</v>
      </c>
      <c r="F70" s="161" t="s">
        <v>548</v>
      </c>
      <c r="G70" s="148" t="s">
        <v>460</v>
      </c>
      <c r="H70" s="150">
        <v>49851.72</v>
      </c>
      <c r="I70" s="150">
        <v>49851.72</v>
      </c>
      <c r="J70" s="150">
        <v>49851.72</v>
      </c>
      <c r="K70" s="150">
        <v>49851.72</v>
      </c>
      <c r="L70" s="150">
        <v>49851.72</v>
      </c>
      <c r="M70" s="150">
        <v>49851.72</v>
      </c>
      <c r="N70" s="150">
        <v>49851.72</v>
      </c>
      <c r="O70" s="150">
        <v>12430.6</v>
      </c>
      <c r="P70" s="175"/>
      <c r="Q70" s="175"/>
      <c r="R70" s="175"/>
      <c r="S70" s="175"/>
      <c r="T70" s="175"/>
      <c r="U70" s="175"/>
      <c r="V70" s="150"/>
      <c r="W70" s="151">
        <f t="shared" si="2"/>
        <v>361392.64000000001</v>
      </c>
    </row>
    <row r="71" spans="1:23" s="152" customFormat="1" x14ac:dyDescent="0.2">
      <c r="A71" s="421"/>
      <c r="B71" s="153" t="s">
        <v>551</v>
      </c>
      <c r="C71" s="425"/>
      <c r="D71" s="425"/>
      <c r="E71" s="423"/>
      <c r="F71" s="162">
        <v>45371</v>
      </c>
      <c r="G71" s="155">
        <v>2.5000000000000001E-3</v>
      </c>
      <c r="H71" s="156">
        <v>892.91</v>
      </c>
      <c r="I71" s="157">
        <v>880</v>
      </c>
      <c r="J71" s="157">
        <v>1035</v>
      </c>
      <c r="K71" s="157">
        <v>835</v>
      </c>
      <c r="L71" s="157">
        <v>630</v>
      </c>
      <c r="M71" s="157">
        <v>425</v>
      </c>
      <c r="N71" s="157">
        <v>225</v>
      </c>
      <c r="O71" s="157">
        <v>35</v>
      </c>
      <c r="P71" s="176"/>
      <c r="Q71" s="176"/>
      <c r="R71" s="176"/>
      <c r="S71" s="176"/>
      <c r="T71" s="176"/>
      <c r="U71" s="176"/>
      <c r="V71" s="156"/>
      <c r="W71" s="158">
        <f t="shared" si="2"/>
        <v>4957.91</v>
      </c>
    </row>
    <row r="72" spans="1:23" s="152" customFormat="1" ht="12.75" customHeight="1" x14ac:dyDescent="0.2">
      <c r="A72" s="420">
        <v>33</v>
      </c>
      <c r="B72" s="167" t="s">
        <v>463</v>
      </c>
      <c r="C72" s="446" t="s">
        <v>552</v>
      </c>
      <c r="D72" s="446">
        <v>568</v>
      </c>
      <c r="E72" s="444">
        <v>33093.08</v>
      </c>
      <c r="F72" s="177" t="s">
        <v>553</v>
      </c>
      <c r="G72" s="167" t="s">
        <v>460</v>
      </c>
      <c r="H72" s="168">
        <v>3153.08</v>
      </c>
      <c r="I72" s="168">
        <v>3153.08</v>
      </c>
      <c r="J72" s="168">
        <v>3153.08</v>
      </c>
      <c r="K72" s="168">
        <v>3153.08</v>
      </c>
      <c r="L72" s="168">
        <v>3153.08</v>
      </c>
      <c r="M72" s="168">
        <v>3153.08</v>
      </c>
      <c r="N72" s="168">
        <v>3153.08</v>
      </c>
      <c r="O72" s="168">
        <v>1562.28</v>
      </c>
      <c r="P72" s="187"/>
      <c r="Q72" s="169"/>
      <c r="R72" s="169"/>
      <c r="S72" s="169"/>
      <c r="T72" s="169"/>
      <c r="U72" s="169"/>
      <c r="V72" s="168"/>
      <c r="W72" s="178">
        <f t="shared" ref="W72:W135" si="3">SUM(H72:V72)</f>
        <v>23633.839999999997</v>
      </c>
    </row>
    <row r="73" spans="1:23" s="152" customFormat="1" x14ac:dyDescent="0.2">
      <c r="A73" s="421"/>
      <c r="B73" s="179" t="s">
        <v>554</v>
      </c>
      <c r="C73" s="447"/>
      <c r="D73" s="447"/>
      <c r="E73" s="445"/>
      <c r="F73" s="170" t="s">
        <v>555</v>
      </c>
      <c r="G73" s="171">
        <v>2.5000000000000001E-3</v>
      </c>
      <c r="H73" s="174">
        <v>60.73</v>
      </c>
      <c r="I73" s="172">
        <v>55</v>
      </c>
      <c r="J73" s="172">
        <v>70</v>
      </c>
      <c r="K73" s="172">
        <v>60</v>
      </c>
      <c r="L73" s="172">
        <v>45</v>
      </c>
      <c r="M73" s="172">
        <v>30</v>
      </c>
      <c r="N73" s="172">
        <v>20</v>
      </c>
      <c r="O73" s="172">
        <v>5</v>
      </c>
      <c r="P73" s="188"/>
      <c r="Q73" s="173"/>
      <c r="R73" s="173"/>
      <c r="S73" s="173"/>
      <c r="T73" s="173"/>
      <c r="U73" s="173"/>
      <c r="V73" s="174"/>
      <c r="W73" s="180">
        <f t="shared" si="3"/>
        <v>345.73</v>
      </c>
    </row>
    <row r="74" spans="1:23" s="152" customFormat="1" ht="12.75" customHeight="1" x14ac:dyDescent="0.2">
      <c r="A74" s="420">
        <v>34</v>
      </c>
      <c r="B74" s="148" t="s">
        <v>463</v>
      </c>
      <c r="C74" s="424" t="s">
        <v>556</v>
      </c>
      <c r="D74" s="424">
        <v>567</v>
      </c>
      <c r="E74" s="422">
        <v>313031.8</v>
      </c>
      <c r="F74" s="149" t="s">
        <v>553</v>
      </c>
      <c r="G74" s="189" t="s">
        <v>460</v>
      </c>
      <c r="H74" s="150">
        <v>27825.68</v>
      </c>
      <c r="I74" s="150">
        <v>27825.68</v>
      </c>
      <c r="J74" s="150">
        <v>27825.68</v>
      </c>
      <c r="K74" s="150">
        <v>27825.68</v>
      </c>
      <c r="L74" s="150">
        <v>27825.68</v>
      </c>
      <c r="M74" s="150">
        <v>27825.68</v>
      </c>
      <c r="N74" s="150">
        <v>27825.68</v>
      </c>
      <c r="O74" s="150">
        <v>20862.16</v>
      </c>
      <c r="P74" s="175"/>
      <c r="Q74" s="175"/>
      <c r="R74" s="175"/>
      <c r="S74" s="175"/>
      <c r="T74" s="175"/>
      <c r="U74" s="175"/>
      <c r="V74" s="150"/>
      <c r="W74" s="151">
        <f t="shared" si="3"/>
        <v>215641.91999999998</v>
      </c>
    </row>
    <row r="75" spans="1:23" s="152" customFormat="1" x14ac:dyDescent="0.2">
      <c r="A75" s="421"/>
      <c r="B75" s="153" t="s">
        <v>557</v>
      </c>
      <c r="C75" s="425"/>
      <c r="D75" s="425"/>
      <c r="E75" s="423"/>
      <c r="F75" s="154" t="s">
        <v>558</v>
      </c>
      <c r="G75" s="155">
        <v>2.5000000000000001E-3</v>
      </c>
      <c r="H75" s="156">
        <v>573.58000000000004</v>
      </c>
      <c r="I75" s="157">
        <v>670</v>
      </c>
      <c r="J75" s="157">
        <v>635</v>
      </c>
      <c r="K75" s="157">
        <v>525</v>
      </c>
      <c r="L75" s="157">
        <v>410</v>
      </c>
      <c r="M75" s="157">
        <v>295</v>
      </c>
      <c r="N75" s="157">
        <v>185</v>
      </c>
      <c r="O75" s="157">
        <v>70</v>
      </c>
      <c r="P75" s="176"/>
      <c r="Q75" s="176"/>
      <c r="R75" s="176"/>
      <c r="S75" s="176"/>
      <c r="T75" s="176"/>
      <c r="U75" s="176"/>
      <c r="V75" s="156"/>
      <c r="W75" s="158">
        <f t="shared" si="3"/>
        <v>3363.58</v>
      </c>
    </row>
    <row r="76" spans="1:23" s="152" customFormat="1" x14ac:dyDescent="0.2">
      <c r="A76" s="420">
        <v>35</v>
      </c>
      <c r="B76" s="167" t="s">
        <v>463</v>
      </c>
      <c r="C76" s="446" t="s">
        <v>550</v>
      </c>
      <c r="D76" s="446" t="s">
        <v>559</v>
      </c>
      <c r="E76" s="444">
        <v>3304011.86</v>
      </c>
      <c r="F76" s="177" t="s">
        <v>560</v>
      </c>
      <c r="G76" s="190" t="s">
        <v>460</v>
      </c>
      <c r="H76" s="168">
        <v>209685.76000000001</v>
      </c>
      <c r="I76" s="168">
        <v>209685.76000000001</v>
      </c>
      <c r="J76" s="168">
        <v>209685.76000000001</v>
      </c>
      <c r="K76" s="168">
        <v>209685.76000000001</v>
      </c>
      <c r="L76" s="168">
        <v>209685.76000000001</v>
      </c>
      <c r="M76" s="168">
        <v>209685.76000000001</v>
      </c>
      <c r="N76" s="168">
        <v>209685.76000000001</v>
      </c>
      <c r="O76" s="168">
        <v>209685.76000000001</v>
      </c>
      <c r="P76" s="168">
        <v>209685.76000000001</v>
      </c>
      <c r="Q76" s="168">
        <v>209685.76000000001</v>
      </c>
      <c r="R76" s="168">
        <v>209685.76000000001</v>
      </c>
      <c r="S76" s="168">
        <v>209685.76000000001</v>
      </c>
      <c r="T76" s="168">
        <v>157302.59</v>
      </c>
      <c r="U76" s="168"/>
      <c r="V76" s="168"/>
      <c r="W76" s="178">
        <f t="shared" si="3"/>
        <v>2673531.71</v>
      </c>
    </row>
    <row r="77" spans="1:23" s="152" customFormat="1" x14ac:dyDescent="0.2">
      <c r="A77" s="421"/>
      <c r="B77" s="179" t="s">
        <v>561</v>
      </c>
      <c r="C77" s="447"/>
      <c r="D77" s="447"/>
      <c r="E77" s="445"/>
      <c r="F77" s="170" t="s">
        <v>562</v>
      </c>
      <c r="G77" s="171">
        <v>2.5000000000000001E-3</v>
      </c>
      <c r="H77" s="174">
        <v>7171.5</v>
      </c>
      <c r="I77" s="172">
        <v>8900</v>
      </c>
      <c r="J77" s="172">
        <v>9015</v>
      </c>
      <c r="K77" s="172">
        <v>8185</v>
      </c>
      <c r="L77" s="172">
        <v>7315</v>
      </c>
      <c r="M77" s="172">
        <v>6460</v>
      </c>
      <c r="N77" s="172">
        <v>5610</v>
      </c>
      <c r="O77" s="172">
        <v>4775</v>
      </c>
      <c r="P77" s="172">
        <v>3910</v>
      </c>
      <c r="Q77" s="172">
        <v>3060</v>
      </c>
      <c r="R77" s="172">
        <v>2210</v>
      </c>
      <c r="S77" s="172">
        <v>1365</v>
      </c>
      <c r="T77" s="172">
        <v>510</v>
      </c>
      <c r="U77" s="172"/>
      <c r="V77" s="172"/>
      <c r="W77" s="180">
        <f t="shared" si="3"/>
        <v>68486.5</v>
      </c>
    </row>
    <row r="78" spans="1:23" s="152" customFormat="1" ht="12.75" customHeight="1" x14ac:dyDescent="0.2">
      <c r="A78" s="420">
        <v>36</v>
      </c>
      <c r="B78" s="148" t="s">
        <v>463</v>
      </c>
      <c r="C78" s="424" t="s">
        <v>513</v>
      </c>
      <c r="D78" s="424">
        <v>556</v>
      </c>
      <c r="E78" s="422">
        <v>115461.78</v>
      </c>
      <c r="F78" s="439" t="s">
        <v>563</v>
      </c>
      <c r="G78" s="189" t="s">
        <v>460</v>
      </c>
      <c r="H78" s="150">
        <v>10267.44</v>
      </c>
      <c r="I78" s="150">
        <v>10267.44</v>
      </c>
      <c r="J78" s="150">
        <v>10267.44</v>
      </c>
      <c r="K78" s="150">
        <v>10267.44</v>
      </c>
      <c r="L78" s="150">
        <v>10267.44</v>
      </c>
      <c r="M78" s="150">
        <v>10267.44</v>
      </c>
      <c r="N78" s="150">
        <v>10267.44</v>
      </c>
      <c r="O78" s="150">
        <v>2519.94</v>
      </c>
      <c r="P78" s="175"/>
      <c r="Q78" s="175"/>
      <c r="R78" s="175"/>
      <c r="S78" s="175"/>
      <c r="T78" s="175"/>
      <c r="U78" s="175"/>
      <c r="V78" s="150"/>
      <c r="W78" s="151">
        <f t="shared" si="3"/>
        <v>74392.02</v>
      </c>
    </row>
    <row r="79" spans="1:23" s="152" customFormat="1" x14ac:dyDescent="0.2">
      <c r="A79" s="421"/>
      <c r="B79" s="153" t="s">
        <v>564</v>
      </c>
      <c r="C79" s="425"/>
      <c r="D79" s="425"/>
      <c r="E79" s="423"/>
      <c r="F79" s="440"/>
      <c r="G79" s="155">
        <v>2.5000000000000001E-3</v>
      </c>
      <c r="H79" s="156">
        <v>183.83</v>
      </c>
      <c r="I79" s="157">
        <v>185</v>
      </c>
      <c r="J79" s="157">
        <v>215</v>
      </c>
      <c r="K79" s="157">
        <v>175</v>
      </c>
      <c r="L79" s="157">
        <v>130</v>
      </c>
      <c r="M79" s="157">
        <v>90</v>
      </c>
      <c r="N79" s="157">
        <v>50</v>
      </c>
      <c r="O79" s="157">
        <v>10</v>
      </c>
      <c r="P79" s="176"/>
      <c r="Q79" s="176"/>
      <c r="R79" s="176"/>
      <c r="S79" s="176"/>
      <c r="T79" s="176"/>
      <c r="U79" s="176"/>
      <c r="V79" s="156"/>
      <c r="W79" s="158">
        <f t="shared" si="3"/>
        <v>1038.83</v>
      </c>
    </row>
    <row r="80" spans="1:23" s="152" customFormat="1" ht="12.75" customHeight="1" x14ac:dyDescent="0.2">
      <c r="A80" s="420">
        <v>37</v>
      </c>
      <c r="B80" s="148" t="s">
        <v>463</v>
      </c>
      <c r="C80" s="424" t="s">
        <v>789</v>
      </c>
      <c r="D80" s="424">
        <v>560</v>
      </c>
      <c r="E80" s="422">
        <v>779949.97</v>
      </c>
      <c r="F80" s="439" t="s">
        <v>565</v>
      </c>
      <c r="G80" s="189" t="s">
        <v>460</v>
      </c>
      <c r="H80" s="150">
        <v>51052.639999999999</v>
      </c>
      <c r="I80" s="150">
        <v>51052.639999999999</v>
      </c>
      <c r="J80" s="150">
        <v>51052.639999999999</v>
      </c>
      <c r="K80" s="150">
        <v>51052.639999999999</v>
      </c>
      <c r="L80" s="150">
        <v>51052.639999999999</v>
      </c>
      <c r="M80" s="150">
        <v>51052.639999999999</v>
      </c>
      <c r="N80" s="150">
        <v>51052.639999999999</v>
      </c>
      <c r="O80" s="150">
        <v>51052.639999999999</v>
      </c>
      <c r="P80" s="150">
        <v>51052.639999999999</v>
      </c>
      <c r="Q80" s="150">
        <v>51052.639999999999</v>
      </c>
      <c r="R80" s="150">
        <v>51052.639999999999</v>
      </c>
      <c r="S80" s="150">
        <v>51052.639999999999</v>
      </c>
      <c r="T80" s="150">
        <v>12737.5</v>
      </c>
      <c r="U80" s="191"/>
      <c r="V80" s="150"/>
      <c r="W80" s="151">
        <f t="shared" si="3"/>
        <v>625369.18000000005</v>
      </c>
    </row>
    <row r="81" spans="1:23" s="152" customFormat="1" x14ac:dyDescent="0.2">
      <c r="A81" s="421"/>
      <c r="B81" s="153" t="s">
        <v>566</v>
      </c>
      <c r="C81" s="425"/>
      <c r="D81" s="425"/>
      <c r="E81" s="423"/>
      <c r="F81" s="440"/>
      <c r="G81" s="155">
        <v>2.5000000000000001E-3</v>
      </c>
      <c r="H81" s="156">
        <v>1561.48</v>
      </c>
      <c r="I81" s="157">
        <v>1650</v>
      </c>
      <c r="J81" s="157">
        <v>2095</v>
      </c>
      <c r="K81" s="157">
        <v>1890</v>
      </c>
      <c r="L81" s="157">
        <v>1680</v>
      </c>
      <c r="M81" s="157">
        <v>1470</v>
      </c>
      <c r="N81" s="157">
        <v>1265</v>
      </c>
      <c r="O81" s="157">
        <v>1060</v>
      </c>
      <c r="P81" s="157">
        <v>850</v>
      </c>
      <c r="Q81" s="157">
        <v>645</v>
      </c>
      <c r="R81" s="157">
        <v>435</v>
      </c>
      <c r="S81" s="157">
        <v>230</v>
      </c>
      <c r="T81" s="157">
        <v>40</v>
      </c>
      <c r="U81" s="192"/>
      <c r="V81" s="157"/>
      <c r="W81" s="158">
        <f t="shared" si="3"/>
        <v>14871.48</v>
      </c>
    </row>
    <row r="82" spans="1:23" s="152" customFormat="1" ht="12.75" customHeight="1" x14ac:dyDescent="0.2">
      <c r="A82" s="420">
        <v>38</v>
      </c>
      <c r="B82" s="148" t="s">
        <v>463</v>
      </c>
      <c r="C82" s="424" t="s">
        <v>567</v>
      </c>
      <c r="D82" s="424">
        <v>561</v>
      </c>
      <c r="E82" s="422">
        <v>238645.9</v>
      </c>
      <c r="F82" s="439" t="s">
        <v>568</v>
      </c>
      <c r="G82" s="189" t="s">
        <v>460</v>
      </c>
      <c r="H82" s="150">
        <v>21212.16</v>
      </c>
      <c r="I82" s="150">
        <v>21212.16</v>
      </c>
      <c r="J82" s="150">
        <v>21212.16</v>
      </c>
      <c r="K82" s="150">
        <v>21212.16</v>
      </c>
      <c r="L82" s="150">
        <v>21212.16</v>
      </c>
      <c r="M82" s="150">
        <v>21212.16</v>
      </c>
      <c r="N82" s="150">
        <v>21212.16</v>
      </c>
      <c r="O82" s="150">
        <v>5312.12</v>
      </c>
      <c r="P82" s="191"/>
      <c r="Q82" s="191"/>
      <c r="R82" s="175"/>
      <c r="S82" s="175"/>
      <c r="T82" s="175"/>
      <c r="U82" s="175"/>
      <c r="V82" s="150"/>
      <c r="W82" s="151">
        <f t="shared" si="3"/>
        <v>153797.24</v>
      </c>
    </row>
    <row r="83" spans="1:23" s="152" customFormat="1" x14ac:dyDescent="0.2">
      <c r="A83" s="421"/>
      <c r="B83" s="153" t="s">
        <v>569</v>
      </c>
      <c r="C83" s="425"/>
      <c r="D83" s="425"/>
      <c r="E83" s="423"/>
      <c r="F83" s="440"/>
      <c r="G83" s="155">
        <v>2.5000000000000001E-3</v>
      </c>
      <c r="H83" s="156">
        <v>380.04</v>
      </c>
      <c r="I83" s="157">
        <v>375</v>
      </c>
      <c r="J83" s="157">
        <v>440</v>
      </c>
      <c r="K83" s="157">
        <v>355</v>
      </c>
      <c r="L83" s="157">
        <v>270</v>
      </c>
      <c r="M83" s="157">
        <v>185</v>
      </c>
      <c r="N83" s="157">
        <v>95</v>
      </c>
      <c r="O83" s="157">
        <v>15</v>
      </c>
      <c r="P83" s="193"/>
      <c r="Q83" s="193"/>
      <c r="R83" s="176"/>
      <c r="S83" s="176"/>
      <c r="T83" s="176"/>
      <c r="U83" s="176"/>
      <c r="V83" s="156"/>
      <c r="W83" s="158">
        <f t="shared" si="3"/>
        <v>2115.04</v>
      </c>
    </row>
    <row r="84" spans="1:23" s="152" customFormat="1" ht="12.75" customHeight="1" x14ac:dyDescent="0.2">
      <c r="A84" s="420">
        <v>39</v>
      </c>
      <c r="B84" s="167" t="s">
        <v>463</v>
      </c>
      <c r="C84" s="446" t="s">
        <v>523</v>
      </c>
      <c r="D84" s="446">
        <v>559</v>
      </c>
      <c r="E84" s="444">
        <v>600458.34</v>
      </c>
      <c r="F84" s="448" t="s">
        <v>570</v>
      </c>
      <c r="G84" s="190" t="s">
        <v>460</v>
      </c>
      <c r="H84" s="168">
        <v>39282.639999999999</v>
      </c>
      <c r="I84" s="168">
        <v>39282.639999999999</v>
      </c>
      <c r="J84" s="168">
        <v>39282.639999999999</v>
      </c>
      <c r="K84" s="168">
        <v>39282.639999999999</v>
      </c>
      <c r="L84" s="168">
        <v>39282.639999999999</v>
      </c>
      <c r="M84" s="168">
        <v>39282.639999999999</v>
      </c>
      <c r="N84" s="168">
        <v>39282.639999999999</v>
      </c>
      <c r="O84" s="168">
        <v>39282.639999999999</v>
      </c>
      <c r="P84" s="168">
        <v>39282.639999999999</v>
      </c>
      <c r="Q84" s="168">
        <v>39282.639999999999</v>
      </c>
      <c r="R84" s="168">
        <v>39282.639999999999</v>
      </c>
      <c r="S84" s="168">
        <v>39282.400000000001</v>
      </c>
      <c r="T84" s="168">
        <v>9795.8799999999992</v>
      </c>
      <c r="U84" s="168"/>
      <c r="V84" s="168"/>
      <c r="W84" s="178">
        <f t="shared" si="3"/>
        <v>481187.32000000012</v>
      </c>
    </row>
    <row r="85" spans="1:23" s="152" customFormat="1" x14ac:dyDescent="0.2">
      <c r="A85" s="421"/>
      <c r="B85" s="179" t="s">
        <v>571</v>
      </c>
      <c r="C85" s="447"/>
      <c r="D85" s="447"/>
      <c r="E85" s="445"/>
      <c r="F85" s="449"/>
      <c r="G85" s="171">
        <v>2.5000000000000001E-3</v>
      </c>
      <c r="H85" s="174">
        <v>1201.53</v>
      </c>
      <c r="I85" s="172">
        <v>1270</v>
      </c>
      <c r="J85" s="172">
        <v>1610</v>
      </c>
      <c r="K85" s="172">
        <v>1455</v>
      </c>
      <c r="L85" s="172">
        <v>1290</v>
      </c>
      <c r="M85" s="172">
        <v>1135</v>
      </c>
      <c r="N85" s="172">
        <v>975</v>
      </c>
      <c r="O85" s="172">
        <v>815</v>
      </c>
      <c r="P85" s="172">
        <v>655</v>
      </c>
      <c r="Q85" s="172">
        <v>495</v>
      </c>
      <c r="R85" s="172">
        <v>335</v>
      </c>
      <c r="S85" s="172">
        <v>180</v>
      </c>
      <c r="T85" s="172">
        <v>30</v>
      </c>
      <c r="U85" s="172"/>
      <c r="V85" s="172"/>
      <c r="W85" s="180">
        <f t="shared" si="3"/>
        <v>11446.529999999999</v>
      </c>
    </row>
    <row r="86" spans="1:23" s="152" customFormat="1" ht="12.75" customHeight="1" x14ac:dyDescent="0.2">
      <c r="A86" s="420">
        <v>40</v>
      </c>
      <c r="B86" s="148" t="s">
        <v>463</v>
      </c>
      <c r="C86" s="424" t="s">
        <v>572</v>
      </c>
      <c r="D86" s="424">
        <v>562</v>
      </c>
      <c r="E86" s="422">
        <v>183148.91</v>
      </c>
      <c r="F86" s="439" t="s">
        <v>573</v>
      </c>
      <c r="G86" s="189" t="s">
        <v>460</v>
      </c>
      <c r="H86" s="150">
        <v>16283.36</v>
      </c>
      <c r="I86" s="150">
        <v>16283.36</v>
      </c>
      <c r="J86" s="150">
        <v>16283.36</v>
      </c>
      <c r="K86" s="150">
        <v>16283.36</v>
      </c>
      <c r="L86" s="150">
        <v>16283.36</v>
      </c>
      <c r="M86" s="150">
        <v>16283.36</v>
      </c>
      <c r="N86" s="150">
        <v>16283.36</v>
      </c>
      <c r="O86" s="150">
        <v>4031.97</v>
      </c>
      <c r="P86" s="191"/>
      <c r="Q86" s="191"/>
      <c r="R86" s="175"/>
      <c r="S86" s="175"/>
      <c r="T86" s="175"/>
      <c r="U86" s="175"/>
      <c r="V86" s="150"/>
      <c r="W86" s="151">
        <f t="shared" si="3"/>
        <v>118015.49</v>
      </c>
    </row>
    <row r="87" spans="1:23" s="152" customFormat="1" x14ac:dyDescent="0.2">
      <c r="A87" s="421"/>
      <c r="B87" s="153" t="s">
        <v>574</v>
      </c>
      <c r="C87" s="425"/>
      <c r="D87" s="425"/>
      <c r="E87" s="423"/>
      <c r="F87" s="440"/>
      <c r="G87" s="155">
        <v>2.5000000000000001E-3</v>
      </c>
      <c r="H87" s="156">
        <v>291.62</v>
      </c>
      <c r="I87" s="157">
        <v>290</v>
      </c>
      <c r="J87" s="157">
        <v>340</v>
      </c>
      <c r="K87" s="157">
        <v>275</v>
      </c>
      <c r="L87" s="157">
        <v>205</v>
      </c>
      <c r="M87" s="157">
        <v>140</v>
      </c>
      <c r="N87" s="157">
        <v>75</v>
      </c>
      <c r="O87" s="157">
        <v>15</v>
      </c>
      <c r="P87" s="193"/>
      <c r="Q87" s="193"/>
      <c r="R87" s="176"/>
      <c r="S87" s="176"/>
      <c r="T87" s="176"/>
      <c r="U87" s="176"/>
      <c r="V87" s="156"/>
      <c r="W87" s="158">
        <f t="shared" si="3"/>
        <v>1631.62</v>
      </c>
    </row>
    <row r="88" spans="1:23" s="152" customFormat="1" ht="12.75" customHeight="1" x14ac:dyDescent="0.2">
      <c r="A88" s="420">
        <v>41</v>
      </c>
      <c r="B88" s="167" t="s">
        <v>463</v>
      </c>
      <c r="C88" s="446" t="s">
        <v>575</v>
      </c>
      <c r="D88" s="446">
        <v>565</v>
      </c>
      <c r="E88" s="444">
        <v>506634.23999999999</v>
      </c>
      <c r="F88" s="448" t="s">
        <v>576</v>
      </c>
      <c r="G88" s="190" t="s">
        <v>460</v>
      </c>
      <c r="H88" s="168">
        <v>45036.72</v>
      </c>
      <c r="I88" s="168">
        <v>45036.72</v>
      </c>
      <c r="J88" s="168">
        <v>45036.72</v>
      </c>
      <c r="K88" s="168">
        <v>45036.72</v>
      </c>
      <c r="L88" s="168">
        <v>45036.72</v>
      </c>
      <c r="M88" s="168">
        <v>45036.72</v>
      </c>
      <c r="N88" s="168">
        <v>45036.72</v>
      </c>
      <c r="O88" s="168">
        <v>11230.3</v>
      </c>
      <c r="P88" s="168"/>
      <c r="Q88" s="168"/>
      <c r="R88" s="168"/>
      <c r="S88" s="168"/>
      <c r="T88" s="168"/>
      <c r="U88" s="169"/>
      <c r="V88" s="168"/>
      <c r="W88" s="178">
        <f t="shared" si="3"/>
        <v>326487.34000000003</v>
      </c>
    </row>
    <row r="89" spans="1:23" s="152" customFormat="1" x14ac:dyDescent="0.2">
      <c r="A89" s="421"/>
      <c r="B89" s="179" t="s">
        <v>577</v>
      </c>
      <c r="C89" s="447"/>
      <c r="D89" s="447"/>
      <c r="E89" s="445"/>
      <c r="F89" s="449"/>
      <c r="G89" s="171">
        <v>2.5000000000000001E-3</v>
      </c>
      <c r="H89" s="174">
        <v>831.73</v>
      </c>
      <c r="I89" s="172">
        <v>700</v>
      </c>
      <c r="J89" s="172">
        <v>935</v>
      </c>
      <c r="K89" s="172">
        <v>755</v>
      </c>
      <c r="L89" s="172">
        <v>570</v>
      </c>
      <c r="M89" s="172">
        <v>385</v>
      </c>
      <c r="N89" s="172">
        <v>205</v>
      </c>
      <c r="O89" s="172">
        <v>35</v>
      </c>
      <c r="P89" s="174"/>
      <c r="Q89" s="174"/>
      <c r="R89" s="174"/>
      <c r="S89" s="174"/>
      <c r="T89" s="174"/>
      <c r="U89" s="173"/>
      <c r="V89" s="174"/>
      <c r="W89" s="180">
        <f t="shared" si="3"/>
        <v>4416.7299999999996</v>
      </c>
    </row>
    <row r="90" spans="1:23" s="152" customFormat="1" ht="12.75" customHeight="1" x14ac:dyDescent="0.2">
      <c r="A90" s="420">
        <v>42</v>
      </c>
      <c r="B90" s="148" t="s">
        <v>463</v>
      </c>
      <c r="C90" s="424" t="s">
        <v>578</v>
      </c>
      <c r="D90" s="424">
        <v>564</v>
      </c>
      <c r="E90" s="422">
        <v>562230.54</v>
      </c>
      <c r="F90" s="439" t="s">
        <v>579</v>
      </c>
      <c r="G90" s="189" t="s">
        <v>460</v>
      </c>
      <c r="H90" s="150">
        <v>36448.28</v>
      </c>
      <c r="I90" s="150">
        <v>36448.28</v>
      </c>
      <c r="J90" s="150">
        <v>36448.28</v>
      </c>
      <c r="K90" s="150">
        <v>36448.28</v>
      </c>
      <c r="L90" s="150">
        <v>36448.28</v>
      </c>
      <c r="M90" s="150">
        <v>36448.28</v>
      </c>
      <c r="N90" s="150">
        <v>36448.28</v>
      </c>
      <c r="O90" s="150">
        <v>36448.28</v>
      </c>
      <c r="P90" s="150">
        <v>36448.28</v>
      </c>
      <c r="Q90" s="150">
        <v>36448.28</v>
      </c>
      <c r="R90" s="150">
        <v>36448.28</v>
      </c>
      <c r="S90" s="150">
        <v>36448.28</v>
      </c>
      <c r="T90" s="150">
        <v>9092.02</v>
      </c>
      <c r="U90" s="191"/>
      <c r="V90" s="150"/>
      <c r="W90" s="151">
        <f t="shared" si="3"/>
        <v>446471.38000000012</v>
      </c>
    </row>
    <row r="91" spans="1:23" s="152" customFormat="1" x14ac:dyDescent="0.2">
      <c r="A91" s="421"/>
      <c r="B91" s="153" t="s">
        <v>580</v>
      </c>
      <c r="C91" s="425"/>
      <c r="D91" s="425"/>
      <c r="E91" s="423"/>
      <c r="F91" s="440"/>
      <c r="G91" s="155">
        <v>2.5000000000000001E-3</v>
      </c>
      <c r="H91" s="156">
        <v>1148.5</v>
      </c>
      <c r="I91" s="157">
        <v>1030</v>
      </c>
      <c r="J91" s="157">
        <v>1500</v>
      </c>
      <c r="K91" s="157">
        <v>1350</v>
      </c>
      <c r="L91" s="157">
        <v>1200</v>
      </c>
      <c r="M91" s="157">
        <v>1050</v>
      </c>
      <c r="N91" s="157">
        <v>905</v>
      </c>
      <c r="O91" s="157">
        <v>760</v>
      </c>
      <c r="P91" s="157">
        <v>610</v>
      </c>
      <c r="Q91" s="157">
        <v>460</v>
      </c>
      <c r="R91" s="157">
        <v>310</v>
      </c>
      <c r="S91" s="157">
        <v>165</v>
      </c>
      <c r="T91" s="157">
        <v>30</v>
      </c>
      <c r="U91" s="192"/>
      <c r="V91" s="157"/>
      <c r="W91" s="158">
        <f t="shared" si="3"/>
        <v>10518.5</v>
      </c>
    </row>
    <row r="92" spans="1:23" s="152" customFormat="1" ht="12.75" customHeight="1" x14ac:dyDescent="0.2">
      <c r="A92" s="420">
        <v>43</v>
      </c>
      <c r="B92" s="167" t="s">
        <v>463</v>
      </c>
      <c r="C92" s="446" t="s">
        <v>581</v>
      </c>
      <c r="D92" s="446">
        <v>563</v>
      </c>
      <c r="E92" s="444">
        <v>140213.39000000001</v>
      </c>
      <c r="F92" s="448" t="s">
        <v>576</v>
      </c>
      <c r="G92" s="190" t="s">
        <v>460</v>
      </c>
      <c r="H92" s="168">
        <v>12464.36</v>
      </c>
      <c r="I92" s="168">
        <v>12464.36</v>
      </c>
      <c r="J92" s="168">
        <v>12464.36</v>
      </c>
      <c r="K92" s="168">
        <v>12464.36</v>
      </c>
      <c r="L92" s="168">
        <v>12464.36</v>
      </c>
      <c r="M92" s="168">
        <v>12464.36</v>
      </c>
      <c r="N92" s="168">
        <v>12464.36</v>
      </c>
      <c r="O92" s="168">
        <v>3105.43</v>
      </c>
      <c r="P92" s="168"/>
      <c r="Q92" s="168"/>
      <c r="R92" s="168"/>
      <c r="S92" s="168"/>
      <c r="T92" s="168"/>
      <c r="U92" s="169"/>
      <c r="V92" s="168"/>
      <c r="W92" s="178">
        <f t="shared" si="3"/>
        <v>90355.95</v>
      </c>
    </row>
    <row r="93" spans="1:23" s="152" customFormat="1" x14ac:dyDescent="0.2">
      <c r="A93" s="421"/>
      <c r="B93" s="179" t="s">
        <v>582</v>
      </c>
      <c r="C93" s="447"/>
      <c r="D93" s="447"/>
      <c r="E93" s="445"/>
      <c r="F93" s="449"/>
      <c r="G93" s="171">
        <v>2.5000000000000001E-3</v>
      </c>
      <c r="H93" s="174">
        <v>230.16</v>
      </c>
      <c r="I93" s="172">
        <v>195</v>
      </c>
      <c r="J93" s="172">
        <v>260</v>
      </c>
      <c r="K93" s="172">
        <v>210</v>
      </c>
      <c r="L93" s="172">
        <v>160</v>
      </c>
      <c r="M93" s="172">
        <v>110</v>
      </c>
      <c r="N93" s="172">
        <v>60</v>
      </c>
      <c r="O93" s="172">
        <v>10</v>
      </c>
      <c r="P93" s="174"/>
      <c r="Q93" s="173"/>
      <c r="R93" s="173"/>
      <c r="S93" s="173"/>
      <c r="T93" s="173"/>
      <c r="U93" s="173"/>
      <c r="V93" s="174"/>
      <c r="W93" s="180">
        <f t="shared" si="3"/>
        <v>1235.1599999999999</v>
      </c>
    </row>
    <row r="94" spans="1:23" s="152" customFormat="1" ht="12.75" customHeight="1" x14ac:dyDescent="0.2">
      <c r="A94" s="420">
        <v>44</v>
      </c>
      <c r="B94" s="148" t="s">
        <v>463</v>
      </c>
      <c r="C94" s="424" t="s">
        <v>583</v>
      </c>
      <c r="D94" s="424">
        <v>593</v>
      </c>
      <c r="E94" s="422">
        <v>178581.82</v>
      </c>
      <c r="F94" s="439" t="s">
        <v>584</v>
      </c>
      <c r="G94" s="189" t="s">
        <v>460</v>
      </c>
      <c r="H94" s="150"/>
      <c r="I94" s="150"/>
      <c r="J94" s="150"/>
      <c r="K94" s="150"/>
      <c r="L94" s="150">
        <v>15737.42</v>
      </c>
      <c r="M94" s="150">
        <v>15873.56</v>
      </c>
      <c r="N94" s="150">
        <v>15873.56</v>
      </c>
      <c r="O94" s="150">
        <v>15873.56</v>
      </c>
      <c r="P94" s="150">
        <v>3972.68</v>
      </c>
      <c r="Q94" s="150"/>
      <c r="R94" s="175"/>
      <c r="S94" s="175"/>
      <c r="T94" s="175"/>
      <c r="U94" s="175"/>
      <c r="V94" s="150"/>
      <c r="W94" s="151">
        <f t="shared" si="3"/>
        <v>67330.78</v>
      </c>
    </row>
    <row r="95" spans="1:23" s="152" customFormat="1" x14ac:dyDescent="0.2">
      <c r="A95" s="421"/>
      <c r="B95" s="153" t="s">
        <v>585</v>
      </c>
      <c r="C95" s="425"/>
      <c r="D95" s="425"/>
      <c r="E95" s="423"/>
      <c r="F95" s="440"/>
      <c r="G95" s="155">
        <v>2.5000000000000001E-3</v>
      </c>
      <c r="H95" s="156">
        <v>171.84</v>
      </c>
      <c r="I95" s="157">
        <v>225</v>
      </c>
      <c r="J95" s="157">
        <v>275</v>
      </c>
      <c r="K95" s="157">
        <v>275</v>
      </c>
      <c r="L95" s="157">
        <v>260</v>
      </c>
      <c r="M95" s="157">
        <v>200</v>
      </c>
      <c r="N95" s="157">
        <v>135</v>
      </c>
      <c r="O95" s="157">
        <v>75</v>
      </c>
      <c r="P95" s="157">
        <v>15</v>
      </c>
      <c r="Q95" s="156"/>
      <c r="R95" s="176"/>
      <c r="S95" s="176"/>
      <c r="T95" s="176"/>
      <c r="U95" s="176"/>
      <c r="V95" s="156"/>
      <c r="W95" s="158">
        <f t="shared" si="3"/>
        <v>1631.8400000000001</v>
      </c>
    </row>
    <row r="96" spans="1:23" s="152" customFormat="1" ht="12.75" customHeight="1" x14ac:dyDescent="0.2">
      <c r="A96" s="420">
        <v>45</v>
      </c>
      <c r="B96" s="148" t="s">
        <v>463</v>
      </c>
      <c r="C96" s="424" t="s">
        <v>586</v>
      </c>
      <c r="D96" s="424">
        <v>594</v>
      </c>
      <c r="E96" s="444">
        <v>75804.92</v>
      </c>
      <c r="F96" s="448" t="s">
        <v>587</v>
      </c>
      <c r="G96" s="190" t="s">
        <v>460</v>
      </c>
      <c r="H96" s="168">
        <v>6738.72</v>
      </c>
      <c r="I96" s="168">
        <v>6738.72</v>
      </c>
      <c r="J96" s="168">
        <v>6738.72</v>
      </c>
      <c r="K96" s="168">
        <v>6738.72</v>
      </c>
      <c r="L96" s="168">
        <v>6738.72</v>
      </c>
      <c r="M96" s="168">
        <v>6738.72</v>
      </c>
      <c r="N96" s="168">
        <v>6738.72</v>
      </c>
      <c r="O96" s="168">
        <v>6738.72</v>
      </c>
      <c r="P96" s="168">
        <v>3369.37</v>
      </c>
      <c r="Q96" s="168"/>
      <c r="R96" s="169"/>
      <c r="S96" s="169"/>
      <c r="T96" s="169"/>
      <c r="U96" s="169"/>
      <c r="V96" s="168"/>
      <c r="W96" s="151">
        <f t="shared" si="3"/>
        <v>57279.130000000005</v>
      </c>
    </row>
    <row r="97" spans="1:23" s="152" customFormat="1" x14ac:dyDescent="0.2">
      <c r="A97" s="421"/>
      <c r="B97" s="153" t="s">
        <v>588</v>
      </c>
      <c r="C97" s="425"/>
      <c r="D97" s="425"/>
      <c r="E97" s="445"/>
      <c r="F97" s="449"/>
      <c r="G97" s="171">
        <v>2.5000000000000001E-3</v>
      </c>
      <c r="H97" s="174">
        <v>143.49</v>
      </c>
      <c r="I97" s="172">
        <v>165</v>
      </c>
      <c r="J97" s="172">
        <v>175</v>
      </c>
      <c r="K97" s="172">
        <v>150</v>
      </c>
      <c r="L97" s="172">
        <v>120</v>
      </c>
      <c r="M97" s="172">
        <v>95</v>
      </c>
      <c r="N97" s="172">
        <v>65</v>
      </c>
      <c r="O97" s="172">
        <v>40</v>
      </c>
      <c r="P97" s="172">
        <v>10</v>
      </c>
      <c r="Q97" s="173"/>
      <c r="R97" s="173"/>
      <c r="S97" s="173"/>
      <c r="T97" s="173"/>
      <c r="U97" s="173"/>
      <c r="V97" s="174"/>
      <c r="W97" s="158">
        <f t="shared" si="3"/>
        <v>963.49</v>
      </c>
    </row>
    <row r="98" spans="1:23" s="152" customFormat="1" ht="12.75" customHeight="1" x14ac:dyDescent="0.2">
      <c r="A98" s="420">
        <v>46</v>
      </c>
      <c r="B98" s="148" t="s">
        <v>463</v>
      </c>
      <c r="C98" s="424" t="s">
        <v>589</v>
      </c>
      <c r="D98" s="424">
        <v>597</v>
      </c>
      <c r="E98" s="422">
        <v>912733.07</v>
      </c>
      <c r="F98" s="439" t="s">
        <v>590</v>
      </c>
      <c r="G98" s="189" t="s">
        <v>460</v>
      </c>
      <c r="H98" s="150">
        <v>81132.160000000003</v>
      </c>
      <c r="I98" s="150">
        <v>81132.160000000003</v>
      </c>
      <c r="J98" s="150">
        <v>81132.160000000003</v>
      </c>
      <c r="K98" s="150">
        <v>81132.160000000003</v>
      </c>
      <c r="L98" s="150">
        <v>81132.160000000003</v>
      </c>
      <c r="M98" s="150">
        <v>81132.160000000003</v>
      </c>
      <c r="N98" s="150">
        <v>81132.160000000003</v>
      </c>
      <c r="O98" s="150">
        <v>81132.160000000003</v>
      </c>
      <c r="P98" s="150">
        <v>40562.36</v>
      </c>
      <c r="Q98" s="175"/>
      <c r="R98" s="175"/>
      <c r="S98" s="175"/>
      <c r="T98" s="175"/>
      <c r="U98" s="175"/>
      <c r="V98" s="150"/>
      <c r="W98" s="151">
        <f t="shared" si="3"/>
        <v>689619.64000000013</v>
      </c>
    </row>
    <row r="99" spans="1:23" s="152" customFormat="1" x14ac:dyDescent="0.2">
      <c r="A99" s="421"/>
      <c r="B99" s="153" t="s">
        <v>591</v>
      </c>
      <c r="C99" s="425"/>
      <c r="D99" s="425"/>
      <c r="E99" s="423"/>
      <c r="F99" s="440"/>
      <c r="G99" s="155">
        <v>2.5000000000000001E-3</v>
      </c>
      <c r="H99" s="156">
        <v>1742.4</v>
      </c>
      <c r="I99" s="157">
        <v>1950</v>
      </c>
      <c r="J99" s="157">
        <v>2090</v>
      </c>
      <c r="K99" s="157">
        <v>1765</v>
      </c>
      <c r="L99" s="157">
        <v>1430</v>
      </c>
      <c r="M99" s="157">
        <v>1105</v>
      </c>
      <c r="N99" s="157">
        <v>775</v>
      </c>
      <c r="O99" s="157">
        <v>445</v>
      </c>
      <c r="P99" s="157">
        <v>120</v>
      </c>
      <c r="Q99" s="176"/>
      <c r="R99" s="176"/>
      <c r="S99" s="176"/>
      <c r="T99" s="176"/>
      <c r="U99" s="176"/>
      <c r="V99" s="156"/>
      <c r="W99" s="158">
        <f t="shared" si="3"/>
        <v>11422.4</v>
      </c>
    </row>
    <row r="100" spans="1:23" s="152" customFormat="1" ht="12.75" customHeight="1" x14ac:dyDescent="0.2">
      <c r="A100" s="420">
        <v>47</v>
      </c>
      <c r="B100" s="167" t="s">
        <v>463</v>
      </c>
      <c r="C100" s="446" t="s">
        <v>592</v>
      </c>
      <c r="D100" s="446">
        <v>598</v>
      </c>
      <c r="E100" s="444">
        <v>156218.53</v>
      </c>
      <c r="F100" s="448" t="s">
        <v>593</v>
      </c>
      <c r="G100" s="190" t="s">
        <v>460</v>
      </c>
      <c r="H100" s="168">
        <v>13887.24</v>
      </c>
      <c r="I100" s="168">
        <v>13887.24</v>
      </c>
      <c r="J100" s="168">
        <v>13887.24</v>
      </c>
      <c r="K100" s="168">
        <v>13887.24</v>
      </c>
      <c r="L100" s="168">
        <v>13887.24</v>
      </c>
      <c r="M100" s="168">
        <v>13887.24</v>
      </c>
      <c r="N100" s="168">
        <v>13887.24</v>
      </c>
      <c r="O100" s="168">
        <v>13887.24</v>
      </c>
      <c r="P100" s="168">
        <v>6930.8</v>
      </c>
      <c r="Q100" s="169"/>
      <c r="R100" s="169"/>
      <c r="S100" s="169"/>
      <c r="T100" s="169"/>
      <c r="U100" s="169"/>
      <c r="V100" s="168"/>
      <c r="W100" s="178">
        <f t="shared" si="3"/>
        <v>118028.72000000002</v>
      </c>
    </row>
    <row r="101" spans="1:23" s="152" customFormat="1" x14ac:dyDescent="0.2">
      <c r="A101" s="421"/>
      <c r="B101" s="179" t="s">
        <v>594</v>
      </c>
      <c r="C101" s="447"/>
      <c r="D101" s="447"/>
      <c r="E101" s="445"/>
      <c r="F101" s="449"/>
      <c r="G101" s="171">
        <v>2.5000000000000001E-3</v>
      </c>
      <c r="H101" s="174">
        <v>292.77</v>
      </c>
      <c r="I101" s="172">
        <v>300</v>
      </c>
      <c r="J101" s="172">
        <v>360</v>
      </c>
      <c r="K101" s="172">
        <v>305</v>
      </c>
      <c r="L101" s="172">
        <v>245</v>
      </c>
      <c r="M101" s="172">
        <v>190</v>
      </c>
      <c r="N101" s="172">
        <v>135</v>
      </c>
      <c r="O101" s="172">
        <v>80</v>
      </c>
      <c r="P101" s="172">
        <v>20</v>
      </c>
      <c r="Q101" s="173"/>
      <c r="R101" s="173"/>
      <c r="S101" s="173"/>
      <c r="T101" s="173"/>
      <c r="U101" s="173"/>
      <c r="V101" s="174"/>
      <c r="W101" s="180">
        <f t="shared" si="3"/>
        <v>1927.77</v>
      </c>
    </row>
    <row r="102" spans="1:23" s="152" customFormat="1" ht="12.75" customHeight="1" x14ac:dyDescent="0.2">
      <c r="A102" s="420">
        <v>48</v>
      </c>
      <c r="B102" s="148" t="s">
        <v>463</v>
      </c>
      <c r="C102" s="424" t="s">
        <v>595</v>
      </c>
      <c r="D102" s="424">
        <v>599</v>
      </c>
      <c r="E102" s="422">
        <v>142226.65</v>
      </c>
      <c r="F102" s="439" t="s">
        <v>596</v>
      </c>
      <c r="G102" s="189" t="s">
        <v>460</v>
      </c>
      <c r="H102" s="150">
        <v>12931.04</v>
      </c>
      <c r="I102" s="150">
        <v>12931.04</v>
      </c>
      <c r="J102" s="150">
        <v>12931.04</v>
      </c>
      <c r="K102" s="150">
        <v>12931.04</v>
      </c>
      <c r="L102" s="150">
        <v>12931.04</v>
      </c>
      <c r="M102" s="150">
        <v>12931.04</v>
      </c>
      <c r="N102" s="150">
        <v>12931.04</v>
      </c>
      <c r="O102" s="150">
        <v>12931.04</v>
      </c>
      <c r="P102" s="150">
        <v>6465.71</v>
      </c>
      <c r="Q102" s="175"/>
      <c r="R102" s="175"/>
      <c r="S102" s="175"/>
      <c r="T102" s="175"/>
      <c r="U102" s="175"/>
      <c r="V102" s="150"/>
      <c r="W102" s="151">
        <f t="shared" si="3"/>
        <v>109914.03000000001</v>
      </c>
    </row>
    <row r="103" spans="1:23" s="152" customFormat="1" x14ac:dyDescent="0.2">
      <c r="A103" s="421"/>
      <c r="B103" s="153" t="s">
        <v>597</v>
      </c>
      <c r="C103" s="425"/>
      <c r="D103" s="425"/>
      <c r="E103" s="423"/>
      <c r="F103" s="440"/>
      <c r="G103" s="155">
        <v>2.5000000000000001E-3</v>
      </c>
      <c r="H103" s="156">
        <v>293.79000000000002</v>
      </c>
      <c r="I103" s="157">
        <v>245</v>
      </c>
      <c r="J103" s="157">
        <v>335</v>
      </c>
      <c r="K103" s="157">
        <v>285</v>
      </c>
      <c r="L103" s="157">
        <v>230</v>
      </c>
      <c r="M103" s="157">
        <v>180</v>
      </c>
      <c r="N103" s="157">
        <v>125</v>
      </c>
      <c r="O103" s="157">
        <v>75</v>
      </c>
      <c r="P103" s="157">
        <v>20</v>
      </c>
      <c r="Q103" s="176"/>
      <c r="R103" s="176"/>
      <c r="S103" s="176"/>
      <c r="T103" s="176"/>
      <c r="U103" s="176"/>
      <c r="V103" s="156"/>
      <c r="W103" s="158">
        <f t="shared" si="3"/>
        <v>1788.79</v>
      </c>
    </row>
    <row r="104" spans="1:23" s="152" customFormat="1" ht="12.75" customHeight="1" x14ac:dyDescent="0.2">
      <c r="A104" s="420">
        <v>49</v>
      </c>
      <c r="B104" s="148" t="s">
        <v>463</v>
      </c>
      <c r="C104" s="424" t="s">
        <v>513</v>
      </c>
      <c r="D104" s="424">
        <v>600</v>
      </c>
      <c r="E104" s="422">
        <v>29053.99</v>
      </c>
      <c r="F104" s="439" t="s">
        <v>596</v>
      </c>
      <c r="G104" s="189" t="s">
        <v>460</v>
      </c>
      <c r="H104" s="150">
        <v>2583.92</v>
      </c>
      <c r="I104" s="150">
        <v>2583.92</v>
      </c>
      <c r="J104" s="150">
        <v>2583.92</v>
      </c>
      <c r="K104" s="150">
        <v>2583.92</v>
      </c>
      <c r="L104" s="150">
        <v>2583.92</v>
      </c>
      <c r="M104" s="150">
        <v>2583.92</v>
      </c>
      <c r="N104" s="150">
        <v>2583.92</v>
      </c>
      <c r="O104" s="150">
        <v>2583.92</v>
      </c>
      <c r="P104" s="150">
        <v>1292.1300000000001</v>
      </c>
      <c r="Q104" s="175"/>
      <c r="R104" s="175"/>
      <c r="S104" s="175"/>
      <c r="T104" s="175"/>
      <c r="U104" s="175"/>
      <c r="V104" s="150"/>
      <c r="W104" s="151">
        <f t="shared" si="3"/>
        <v>21963.49</v>
      </c>
    </row>
    <row r="105" spans="1:23" s="152" customFormat="1" x14ac:dyDescent="0.2">
      <c r="A105" s="421"/>
      <c r="B105" s="153" t="s">
        <v>598</v>
      </c>
      <c r="C105" s="425"/>
      <c r="D105" s="425"/>
      <c r="E105" s="423"/>
      <c r="F105" s="440"/>
      <c r="G105" s="155">
        <v>2.5000000000000001E-3</v>
      </c>
      <c r="H105" s="156">
        <v>58.71</v>
      </c>
      <c r="I105" s="157">
        <v>50</v>
      </c>
      <c r="J105" s="157">
        <v>70</v>
      </c>
      <c r="K105" s="157">
        <v>60</v>
      </c>
      <c r="L105" s="157">
        <v>50</v>
      </c>
      <c r="M105" s="157">
        <v>40</v>
      </c>
      <c r="N105" s="157">
        <v>25</v>
      </c>
      <c r="O105" s="157">
        <v>15</v>
      </c>
      <c r="P105" s="157">
        <v>5</v>
      </c>
      <c r="Q105" s="176"/>
      <c r="R105" s="176"/>
      <c r="S105" s="176"/>
      <c r="T105" s="176"/>
      <c r="U105" s="176"/>
      <c r="V105" s="156"/>
      <c r="W105" s="158">
        <f t="shared" si="3"/>
        <v>373.71000000000004</v>
      </c>
    </row>
    <row r="106" spans="1:23" s="152" customFormat="1" ht="12.75" customHeight="1" x14ac:dyDescent="0.2">
      <c r="A106" s="420">
        <v>50</v>
      </c>
      <c r="B106" s="167" t="s">
        <v>463</v>
      </c>
      <c r="C106" s="446" t="s">
        <v>599</v>
      </c>
      <c r="D106" s="446">
        <v>602</v>
      </c>
      <c r="E106" s="444">
        <v>28919.87</v>
      </c>
      <c r="F106" s="448" t="s">
        <v>600</v>
      </c>
      <c r="G106" s="190" t="s">
        <v>460</v>
      </c>
      <c r="H106" s="168">
        <v>2572.56</v>
      </c>
      <c r="I106" s="168">
        <v>2572.56</v>
      </c>
      <c r="J106" s="168">
        <v>2572.56</v>
      </c>
      <c r="K106" s="168">
        <v>2572.56</v>
      </c>
      <c r="L106" s="168">
        <v>2572.56</v>
      </c>
      <c r="M106" s="168">
        <v>2572.56</v>
      </c>
      <c r="N106" s="168">
        <v>2572.56</v>
      </c>
      <c r="O106" s="168">
        <v>2572.56</v>
      </c>
      <c r="P106" s="168">
        <v>2572.56</v>
      </c>
      <c r="Q106" s="168">
        <v>621.71</v>
      </c>
      <c r="R106" s="169"/>
      <c r="S106" s="169"/>
      <c r="T106" s="169"/>
      <c r="U106" s="169"/>
      <c r="V106" s="168"/>
      <c r="W106" s="178">
        <f t="shared" si="3"/>
        <v>23774.75</v>
      </c>
    </row>
    <row r="107" spans="1:23" s="152" customFormat="1" x14ac:dyDescent="0.2">
      <c r="A107" s="421"/>
      <c r="B107" s="179" t="s">
        <v>601</v>
      </c>
      <c r="C107" s="447"/>
      <c r="D107" s="447"/>
      <c r="E107" s="445"/>
      <c r="F107" s="449"/>
      <c r="G107" s="171">
        <v>2.5000000000000001E-3</v>
      </c>
      <c r="H107" s="174">
        <v>62.57</v>
      </c>
      <c r="I107" s="172">
        <v>80</v>
      </c>
      <c r="J107" s="172">
        <v>75</v>
      </c>
      <c r="K107" s="172">
        <v>65</v>
      </c>
      <c r="L107" s="172">
        <v>55</v>
      </c>
      <c r="M107" s="172">
        <v>45</v>
      </c>
      <c r="N107" s="172">
        <v>35</v>
      </c>
      <c r="O107" s="172">
        <v>25</v>
      </c>
      <c r="P107" s="172">
        <v>15</v>
      </c>
      <c r="Q107" s="172">
        <v>5</v>
      </c>
      <c r="R107" s="173"/>
      <c r="S107" s="173"/>
      <c r="T107" s="173"/>
      <c r="U107" s="173"/>
      <c r="V107" s="174"/>
      <c r="W107" s="180">
        <f t="shared" si="3"/>
        <v>462.57</v>
      </c>
    </row>
    <row r="108" spans="1:23" s="152" customFormat="1" ht="12.75" customHeight="1" x14ac:dyDescent="0.2">
      <c r="A108" s="420">
        <v>51</v>
      </c>
      <c r="B108" s="148" t="s">
        <v>463</v>
      </c>
      <c r="C108" s="424" t="s">
        <v>602</v>
      </c>
      <c r="D108" s="424">
        <v>608</v>
      </c>
      <c r="E108" s="422">
        <v>8466400.9299999997</v>
      </c>
      <c r="F108" s="439" t="s">
        <v>603</v>
      </c>
      <c r="G108" s="189" t="s">
        <v>460</v>
      </c>
      <c r="H108" s="191"/>
      <c r="I108" s="194">
        <v>376286</v>
      </c>
      <c r="J108" s="194">
        <v>752572</v>
      </c>
      <c r="K108" s="194">
        <v>752572</v>
      </c>
      <c r="L108" s="194">
        <v>752572</v>
      </c>
      <c r="M108" s="194">
        <v>752572</v>
      </c>
      <c r="N108" s="194">
        <v>752572</v>
      </c>
      <c r="O108" s="194">
        <v>752572</v>
      </c>
      <c r="P108" s="194">
        <v>752572</v>
      </c>
      <c r="Q108" s="194">
        <v>498911.08</v>
      </c>
      <c r="R108" s="175"/>
      <c r="S108" s="175"/>
      <c r="T108" s="175"/>
      <c r="U108" s="175"/>
      <c r="V108" s="150"/>
      <c r="W108" s="151">
        <f t="shared" si="3"/>
        <v>6143201.0800000001</v>
      </c>
    </row>
    <row r="109" spans="1:23" s="152" customFormat="1" x14ac:dyDescent="0.2">
      <c r="A109" s="421"/>
      <c r="B109" s="153" t="s">
        <v>604</v>
      </c>
      <c r="C109" s="425"/>
      <c r="D109" s="425"/>
      <c r="E109" s="423"/>
      <c r="F109" s="440"/>
      <c r="G109" s="155">
        <v>2.5000000000000001E-3</v>
      </c>
      <c r="H109" s="156">
        <v>15571.3</v>
      </c>
      <c r="I109" s="195">
        <v>17910</v>
      </c>
      <c r="J109" s="195">
        <v>22920</v>
      </c>
      <c r="K109" s="195">
        <v>19925</v>
      </c>
      <c r="L109" s="195">
        <v>16815</v>
      </c>
      <c r="M109" s="195">
        <v>13765</v>
      </c>
      <c r="N109" s="195">
        <v>10710</v>
      </c>
      <c r="O109" s="195">
        <v>7680</v>
      </c>
      <c r="P109" s="195">
        <v>4610</v>
      </c>
      <c r="Q109" s="195">
        <v>1565</v>
      </c>
      <c r="R109" s="176"/>
      <c r="S109" s="176"/>
      <c r="T109" s="176"/>
      <c r="U109" s="176"/>
      <c r="V109" s="156"/>
      <c r="W109" s="158">
        <f t="shared" si="3"/>
        <v>131471.29999999999</v>
      </c>
    </row>
    <row r="110" spans="1:23" s="152" customFormat="1" x14ac:dyDescent="0.2">
      <c r="A110" s="420">
        <v>52</v>
      </c>
      <c r="B110" s="167" t="s">
        <v>463</v>
      </c>
      <c r="C110" s="446" t="s">
        <v>605</v>
      </c>
      <c r="D110" s="446">
        <v>609</v>
      </c>
      <c r="E110" s="444">
        <v>351453.61</v>
      </c>
      <c r="F110" s="448" t="s">
        <v>606</v>
      </c>
      <c r="G110" s="190" t="s">
        <v>460</v>
      </c>
      <c r="H110" s="168"/>
      <c r="I110" s="168"/>
      <c r="J110" s="168"/>
      <c r="K110" s="168">
        <v>16815.830000000002</v>
      </c>
      <c r="L110" s="168">
        <v>31303.16</v>
      </c>
      <c r="M110" s="168">
        <v>31303.16</v>
      </c>
      <c r="N110" s="168">
        <v>31303.16</v>
      </c>
      <c r="O110" s="168">
        <v>31303.16</v>
      </c>
      <c r="P110" s="168">
        <v>31303.16</v>
      </c>
      <c r="Q110" s="168">
        <v>30596.12</v>
      </c>
      <c r="R110" s="168"/>
      <c r="S110" s="169"/>
      <c r="T110" s="169"/>
      <c r="U110" s="169"/>
      <c r="V110" s="168"/>
      <c r="W110" s="178">
        <f t="shared" si="3"/>
        <v>203927.75</v>
      </c>
    </row>
    <row r="111" spans="1:23" s="152" customFormat="1" x14ac:dyDescent="0.2">
      <c r="A111" s="421"/>
      <c r="B111" s="179" t="s">
        <v>607</v>
      </c>
      <c r="C111" s="447"/>
      <c r="D111" s="447"/>
      <c r="E111" s="445"/>
      <c r="F111" s="449"/>
      <c r="G111" s="171">
        <v>2.5000000000000001E-3</v>
      </c>
      <c r="H111" s="174">
        <v>550.6</v>
      </c>
      <c r="I111" s="172">
        <v>520</v>
      </c>
      <c r="J111" s="172">
        <v>830</v>
      </c>
      <c r="K111" s="172">
        <v>830</v>
      </c>
      <c r="L111" s="172">
        <v>740</v>
      </c>
      <c r="M111" s="172">
        <v>615</v>
      </c>
      <c r="N111" s="172">
        <v>490</v>
      </c>
      <c r="O111" s="172">
        <v>360</v>
      </c>
      <c r="P111" s="172">
        <v>235</v>
      </c>
      <c r="Q111" s="172">
        <v>105</v>
      </c>
      <c r="R111" s="172">
        <v>10</v>
      </c>
      <c r="S111" s="173"/>
      <c r="T111" s="173"/>
      <c r="U111" s="173"/>
      <c r="V111" s="174"/>
      <c r="W111" s="180">
        <f t="shared" si="3"/>
        <v>5285.6</v>
      </c>
    </row>
    <row r="112" spans="1:23" s="152" customFormat="1" ht="12.75" customHeight="1" x14ac:dyDescent="0.2">
      <c r="A112" s="420">
        <v>53</v>
      </c>
      <c r="B112" s="148" t="s">
        <v>463</v>
      </c>
      <c r="C112" s="424" t="s">
        <v>608</v>
      </c>
      <c r="D112" s="424">
        <v>607</v>
      </c>
      <c r="E112" s="422">
        <v>278882.87</v>
      </c>
      <c r="F112" s="439" t="s">
        <v>609</v>
      </c>
      <c r="G112" s="189" t="s">
        <v>460</v>
      </c>
      <c r="H112" s="150">
        <v>5077.5200000000004</v>
      </c>
      <c r="I112" s="150">
        <v>24792.12</v>
      </c>
      <c r="J112" s="150">
        <v>24792.12</v>
      </c>
      <c r="K112" s="150">
        <v>24792.12</v>
      </c>
      <c r="L112" s="150">
        <v>24792.12</v>
      </c>
      <c r="M112" s="150">
        <v>24792.12</v>
      </c>
      <c r="N112" s="150">
        <v>24792.12</v>
      </c>
      <c r="O112" s="150">
        <v>24792.12</v>
      </c>
      <c r="P112" s="150">
        <v>24792.12</v>
      </c>
      <c r="Q112" s="150">
        <v>18565.62</v>
      </c>
      <c r="R112" s="175"/>
      <c r="S112" s="175"/>
      <c r="T112" s="175"/>
      <c r="U112" s="175"/>
      <c r="V112" s="150"/>
      <c r="W112" s="151">
        <f t="shared" si="3"/>
        <v>221980.09999999998</v>
      </c>
    </row>
    <row r="113" spans="1:23" s="152" customFormat="1" x14ac:dyDescent="0.2">
      <c r="A113" s="421"/>
      <c r="B113" s="153" t="s">
        <v>610</v>
      </c>
      <c r="C113" s="425"/>
      <c r="D113" s="425"/>
      <c r="E113" s="423"/>
      <c r="F113" s="440"/>
      <c r="G113" s="155">
        <v>2.5000000000000001E-3</v>
      </c>
      <c r="H113" s="156">
        <v>562.66</v>
      </c>
      <c r="I113" s="157">
        <v>620</v>
      </c>
      <c r="J113" s="157">
        <v>765</v>
      </c>
      <c r="K113" s="157">
        <v>665</v>
      </c>
      <c r="L113" s="157">
        <v>565</v>
      </c>
      <c r="M113" s="157">
        <v>465</v>
      </c>
      <c r="N113" s="157">
        <v>365</v>
      </c>
      <c r="O113" s="157">
        <v>265</v>
      </c>
      <c r="P113" s="157">
        <v>165</v>
      </c>
      <c r="Q113" s="157">
        <v>60</v>
      </c>
      <c r="R113" s="176"/>
      <c r="S113" s="176"/>
      <c r="T113" s="176"/>
      <c r="U113" s="176"/>
      <c r="V113" s="156"/>
      <c r="W113" s="158">
        <f t="shared" si="3"/>
        <v>4497.66</v>
      </c>
    </row>
    <row r="114" spans="1:23" s="152" customFormat="1" ht="12.75" customHeight="1" x14ac:dyDescent="0.2">
      <c r="A114" s="420">
        <v>54</v>
      </c>
      <c r="B114" s="167" t="s">
        <v>463</v>
      </c>
      <c r="C114" s="453" t="s">
        <v>611</v>
      </c>
      <c r="D114" s="446">
        <v>606</v>
      </c>
      <c r="E114" s="444">
        <v>3464498.58</v>
      </c>
      <c r="F114" s="448" t="s">
        <v>612</v>
      </c>
      <c r="G114" s="190" t="s">
        <v>460</v>
      </c>
      <c r="H114" s="168"/>
      <c r="I114" s="168"/>
      <c r="J114" s="168">
        <v>103995.57</v>
      </c>
      <c r="K114" s="168">
        <v>287772</v>
      </c>
      <c r="L114" s="168">
        <v>287772</v>
      </c>
      <c r="M114" s="168">
        <v>287772</v>
      </c>
      <c r="N114" s="168">
        <v>287772</v>
      </c>
      <c r="O114" s="168">
        <v>287772</v>
      </c>
      <c r="P114" s="168">
        <v>287772</v>
      </c>
      <c r="Q114" s="168">
        <v>215809.66</v>
      </c>
      <c r="R114" s="169"/>
      <c r="S114" s="169"/>
      <c r="T114" s="169"/>
      <c r="U114" s="169"/>
      <c r="V114" s="168"/>
      <c r="W114" s="178">
        <f t="shared" si="3"/>
        <v>2046437.23</v>
      </c>
    </row>
    <row r="115" spans="1:23" s="152" customFormat="1" x14ac:dyDescent="0.2">
      <c r="A115" s="421"/>
      <c r="B115" s="179" t="s">
        <v>613</v>
      </c>
      <c r="C115" s="454"/>
      <c r="D115" s="447"/>
      <c r="E115" s="445"/>
      <c r="F115" s="449"/>
      <c r="G115" s="171">
        <v>2.5000000000000001E-3</v>
      </c>
      <c r="H115" s="174">
        <v>5187.1499999999996</v>
      </c>
      <c r="I115" s="172">
        <v>5975</v>
      </c>
      <c r="J115" s="172">
        <v>8300</v>
      </c>
      <c r="K115" s="172">
        <v>7720</v>
      </c>
      <c r="L115" s="172">
        <v>6535</v>
      </c>
      <c r="M115" s="172">
        <v>5365</v>
      </c>
      <c r="N115" s="172">
        <v>4200</v>
      </c>
      <c r="O115" s="172">
        <v>3040</v>
      </c>
      <c r="P115" s="172">
        <v>1865</v>
      </c>
      <c r="Q115" s="172">
        <v>700</v>
      </c>
      <c r="R115" s="173"/>
      <c r="S115" s="173"/>
      <c r="T115" s="173"/>
      <c r="U115" s="173"/>
      <c r="V115" s="174"/>
      <c r="W115" s="180">
        <f t="shared" si="3"/>
        <v>48887.15</v>
      </c>
    </row>
    <row r="116" spans="1:23" s="152" customFormat="1" ht="12.75" customHeight="1" x14ac:dyDescent="0.2">
      <c r="A116" s="420">
        <v>55</v>
      </c>
      <c r="B116" s="148" t="s">
        <v>463</v>
      </c>
      <c r="C116" s="453" t="s">
        <v>614</v>
      </c>
      <c r="D116" s="424">
        <v>610</v>
      </c>
      <c r="E116" s="422">
        <v>115821.77</v>
      </c>
      <c r="F116" s="439" t="s">
        <v>615</v>
      </c>
      <c r="G116" s="189" t="s">
        <v>460</v>
      </c>
      <c r="H116" s="150">
        <v>5941.92</v>
      </c>
      <c r="I116" s="150">
        <v>5941.92</v>
      </c>
      <c r="J116" s="150">
        <v>5941.92</v>
      </c>
      <c r="K116" s="150">
        <v>5941.92</v>
      </c>
      <c r="L116" s="150">
        <v>5941.92</v>
      </c>
      <c r="M116" s="150">
        <v>5941.92</v>
      </c>
      <c r="N116" s="150">
        <v>5941.92</v>
      </c>
      <c r="O116" s="150">
        <v>5941.92</v>
      </c>
      <c r="P116" s="150">
        <v>5941.92</v>
      </c>
      <c r="Q116" s="150">
        <v>5941.92</v>
      </c>
      <c r="R116" s="150">
        <v>5941.92</v>
      </c>
      <c r="S116" s="150">
        <v>5941.92</v>
      </c>
      <c r="T116" s="150">
        <v>5941.92</v>
      </c>
      <c r="U116" s="150">
        <v>5941.92</v>
      </c>
      <c r="V116" s="150">
        <v>14854.66</v>
      </c>
      <c r="W116" s="151">
        <f t="shared" si="3"/>
        <v>98041.54</v>
      </c>
    </row>
    <row r="117" spans="1:23" s="152" customFormat="1" x14ac:dyDescent="0.2">
      <c r="A117" s="421"/>
      <c r="B117" s="153" t="s">
        <v>616</v>
      </c>
      <c r="C117" s="454"/>
      <c r="D117" s="425"/>
      <c r="E117" s="423"/>
      <c r="F117" s="440"/>
      <c r="G117" s="155">
        <v>2.5000000000000001E-3</v>
      </c>
      <c r="H117" s="156">
        <v>248.22</v>
      </c>
      <c r="I117" s="157">
        <v>300</v>
      </c>
      <c r="J117" s="157">
        <v>350</v>
      </c>
      <c r="K117" s="157">
        <v>325</v>
      </c>
      <c r="L117" s="157">
        <v>300</v>
      </c>
      <c r="M117" s="157">
        <v>275</v>
      </c>
      <c r="N117" s="157">
        <v>250</v>
      </c>
      <c r="O117" s="157">
        <v>230</v>
      </c>
      <c r="P117" s="157">
        <v>205</v>
      </c>
      <c r="Q117" s="157">
        <v>180</v>
      </c>
      <c r="R117" s="157">
        <v>155</v>
      </c>
      <c r="S117" s="157">
        <v>130</v>
      </c>
      <c r="T117" s="157">
        <v>105</v>
      </c>
      <c r="U117" s="157">
        <v>85</v>
      </c>
      <c r="V117" s="157">
        <v>100</v>
      </c>
      <c r="W117" s="158">
        <f t="shared" si="3"/>
        <v>3238.2200000000003</v>
      </c>
    </row>
    <row r="118" spans="1:23" s="152" customFormat="1" ht="12.75" customHeight="1" x14ac:dyDescent="0.2">
      <c r="A118" s="420">
        <v>56</v>
      </c>
      <c r="B118" s="167" t="s">
        <v>463</v>
      </c>
      <c r="C118" s="453" t="s">
        <v>617</v>
      </c>
      <c r="D118" s="446">
        <v>611</v>
      </c>
      <c r="E118" s="444">
        <v>202299.65</v>
      </c>
      <c r="F118" s="448" t="s">
        <v>618</v>
      </c>
      <c r="G118" s="190" t="s">
        <v>460</v>
      </c>
      <c r="H118" s="168"/>
      <c r="I118" s="168"/>
      <c r="J118" s="168"/>
      <c r="K118" s="168"/>
      <c r="L118" s="168"/>
      <c r="M118" s="168"/>
      <c r="N118" s="168"/>
      <c r="O118" s="168">
        <v>2615.2800000000002</v>
      </c>
      <c r="P118" s="168">
        <v>11400.04</v>
      </c>
      <c r="Q118" s="168">
        <v>11400.04</v>
      </c>
      <c r="R118" s="168">
        <v>11400.04</v>
      </c>
      <c r="S118" s="168">
        <v>11400.04</v>
      </c>
      <c r="T118" s="168">
        <v>11400.04</v>
      </c>
      <c r="U118" s="168">
        <v>11400.04</v>
      </c>
      <c r="V118" s="168">
        <v>31350.22</v>
      </c>
      <c r="W118" s="178">
        <f t="shared" si="3"/>
        <v>102365.74</v>
      </c>
    </row>
    <row r="119" spans="1:23" s="152" customFormat="1" x14ac:dyDescent="0.2">
      <c r="A119" s="421"/>
      <c r="B119" s="179" t="s">
        <v>619</v>
      </c>
      <c r="C119" s="454"/>
      <c r="D119" s="447"/>
      <c r="E119" s="445"/>
      <c r="F119" s="449"/>
      <c r="G119" s="171">
        <v>2.5000000000000001E-3</v>
      </c>
      <c r="H119" s="174">
        <v>259.47000000000003</v>
      </c>
      <c r="I119" s="172">
        <v>300</v>
      </c>
      <c r="J119" s="172">
        <v>420</v>
      </c>
      <c r="K119" s="172">
        <v>420</v>
      </c>
      <c r="L119" s="172">
        <v>420</v>
      </c>
      <c r="M119" s="172">
        <v>420</v>
      </c>
      <c r="N119" s="172">
        <v>420</v>
      </c>
      <c r="O119" s="172">
        <v>420</v>
      </c>
      <c r="P119" s="172">
        <v>400</v>
      </c>
      <c r="Q119" s="172">
        <v>355</v>
      </c>
      <c r="R119" s="172">
        <v>305</v>
      </c>
      <c r="S119" s="172">
        <v>260</v>
      </c>
      <c r="T119" s="172">
        <v>215</v>
      </c>
      <c r="U119" s="172">
        <v>170</v>
      </c>
      <c r="V119" s="172">
        <v>225</v>
      </c>
      <c r="W119" s="180">
        <f t="shared" si="3"/>
        <v>5009.47</v>
      </c>
    </row>
    <row r="120" spans="1:23" s="152" customFormat="1" ht="12.75" customHeight="1" x14ac:dyDescent="0.2">
      <c r="A120" s="420">
        <v>57</v>
      </c>
      <c r="B120" s="148" t="s">
        <v>463</v>
      </c>
      <c r="C120" s="424" t="s">
        <v>620</v>
      </c>
      <c r="D120" s="424">
        <v>612</v>
      </c>
      <c r="E120" s="422">
        <v>836018.63</v>
      </c>
      <c r="F120" s="439" t="s">
        <v>621</v>
      </c>
      <c r="G120" s="189" t="s">
        <v>460</v>
      </c>
      <c r="H120" s="150">
        <v>8727.67</v>
      </c>
      <c r="I120" s="150">
        <v>26008</v>
      </c>
      <c r="J120" s="150">
        <v>26008</v>
      </c>
      <c r="K120" s="150">
        <v>26008</v>
      </c>
      <c r="L120" s="150">
        <v>26008</v>
      </c>
      <c r="M120" s="150">
        <v>26008</v>
      </c>
      <c r="N120" s="150">
        <v>26008</v>
      </c>
      <c r="O120" s="150">
        <v>26008</v>
      </c>
      <c r="P120" s="150">
        <v>26008</v>
      </c>
      <c r="Q120" s="150">
        <v>26008</v>
      </c>
      <c r="R120" s="150">
        <v>26008</v>
      </c>
      <c r="S120" s="150">
        <v>26008</v>
      </c>
      <c r="T120" s="150">
        <v>26008</v>
      </c>
      <c r="U120" s="150">
        <v>26008</v>
      </c>
      <c r="V120" s="150">
        <v>71522</v>
      </c>
      <c r="W120" s="151">
        <f t="shared" si="3"/>
        <v>418353.67</v>
      </c>
    </row>
    <row r="121" spans="1:23" s="152" customFormat="1" x14ac:dyDescent="0.2">
      <c r="A121" s="421"/>
      <c r="B121" s="153" t="s">
        <v>622</v>
      </c>
      <c r="C121" s="425"/>
      <c r="D121" s="425"/>
      <c r="E121" s="423"/>
      <c r="F121" s="440"/>
      <c r="G121" s="155">
        <v>2.5000000000000001E-3</v>
      </c>
      <c r="H121" s="156">
        <v>1063.25</v>
      </c>
      <c r="I121" s="157">
        <v>1180</v>
      </c>
      <c r="J121" s="157">
        <v>1540</v>
      </c>
      <c r="K121" s="157">
        <v>1440</v>
      </c>
      <c r="L121" s="157">
        <v>1330</v>
      </c>
      <c r="M121" s="157">
        <v>1225</v>
      </c>
      <c r="N121" s="157">
        <v>1120</v>
      </c>
      <c r="O121" s="157">
        <v>1015</v>
      </c>
      <c r="P121" s="157">
        <v>910</v>
      </c>
      <c r="Q121" s="157">
        <v>805</v>
      </c>
      <c r="R121" s="157">
        <v>700</v>
      </c>
      <c r="S121" s="157">
        <v>595</v>
      </c>
      <c r="T121" s="157">
        <v>485</v>
      </c>
      <c r="U121" s="157">
        <v>380</v>
      </c>
      <c r="V121" s="157">
        <v>510</v>
      </c>
      <c r="W121" s="158">
        <f t="shared" si="3"/>
        <v>14298.25</v>
      </c>
    </row>
    <row r="122" spans="1:23" s="152" customFormat="1" ht="12.75" customHeight="1" x14ac:dyDescent="0.2">
      <c r="A122" s="420">
        <v>58</v>
      </c>
      <c r="B122" s="167" t="s">
        <v>463</v>
      </c>
      <c r="C122" s="446" t="s">
        <v>623</v>
      </c>
      <c r="D122" s="446">
        <v>613</v>
      </c>
      <c r="E122" s="444">
        <v>375727.8</v>
      </c>
      <c r="F122" s="448" t="s">
        <v>624</v>
      </c>
      <c r="G122" s="190" t="s">
        <v>460</v>
      </c>
      <c r="H122" s="168"/>
      <c r="I122" s="168"/>
      <c r="J122" s="168"/>
      <c r="K122" s="168"/>
      <c r="L122" s="168">
        <v>8153.54</v>
      </c>
      <c r="M122" s="168">
        <v>21781.32</v>
      </c>
      <c r="N122" s="168">
        <v>21781.32</v>
      </c>
      <c r="O122" s="168">
        <v>21781.32</v>
      </c>
      <c r="P122" s="168">
        <v>21781.32</v>
      </c>
      <c r="Q122" s="168">
        <v>21781.32</v>
      </c>
      <c r="R122" s="168">
        <v>21781.32</v>
      </c>
      <c r="S122" s="168">
        <v>21781.32</v>
      </c>
      <c r="T122" s="168">
        <v>21781.32</v>
      </c>
      <c r="U122" s="168">
        <v>21781.32</v>
      </c>
      <c r="V122" s="168">
        <v>59898.65</v>
      </c>
      <c r="W122" s="178">
        <f t="shared" si="3"/>
        <v>264084.07000000007</v>
      </c>
    </row>
    <row r="123" spans="1:23" s="152" customFormat="1" x14ac:dyDescent="0.2">
      <c r="A123" s="421"/>
      <c r="B123" s="179" t="s">
        <v>625</v>
      </c>
      <c r="C123" s="447"/>
      <c r="D123" s="447"/>
      <c r="E123" s="445"/>
      <c r="F123" s="449"/>
      <c r="G123" s="171">
        <v>2.5000000000000001E-3</v>
      </c>
      <c r="H123" s="174">
        <v>669.38</v>
      </c>
      <c r="I123" s="172">
        <v>775</v>
      </c>
      <c r="J123" s="172">
        <v>1075</v>
      </c>
      <c r="K123" s="172">
        <v>1075</v>
      </c>
      <c r="L123" s="172">
        <v>1075</v>
      </c>
      <c r="M123" s="172">
        <v>1025</v>
      </c>
      <c r="N123" s="172">
        <v>940</v>
      </c>
      <c r="O123" s="172">
        <v>855</v>
      </c>
      <c r="P123" s="172">
        <v>760</v>
      </c>
      <c r="Q123" s="172">
        <v>675</v>
      </c>
      <c r="R123" s="172">
        <v>585</v>
      </c>
      <c r="S123" s="172">
        <v>500</v>
      </c>
      <c r="T123" s="172">
        <v>410</v>
      </c>
      <c r="U123" s="172">
        <v>320</v>
      </c>
      <c r="V123" s="172">
        <v>425</v>
      </c>
      <c r="W123" s="180">
        <f t="shared" si="3"/>
        <v>11164.380000000001</v>
      </c>
    </row>
    <row r="124" spans="1:23" s="152" customFormat="1" ht="12.75" customHeight="1" x14ac:dyDescent="0.2">
      <c r="A124" s="420">
        <v>59</v>
      </c>
      <c r="B124" s="148" t="s">
        <v>463</v>
      </c>
      <c r="C124" s="424" t="s">
        <v>626</v>
      </c>
      <c r="D124" s="424">
        <v>614</v>
      </c>
      <c r="E124" s="422">
        <v>284574.36</v>
      </c>
      <c r="F124" s="439" t="s">
        <v>627</v>
      </c>
      <c r="G124" s="189" t="s">
        <v>460</v>
      </c>
      <c r="H124" s="150">
        <v>16499.64</v>
      </c>
      <c r="I124" s="150">
        <v>16499.64</v>
      </c>
      <c r="J124" s="150">
        <v>16499.64</v>
      </c>
      <c r="K124" s="150">
        <v>16499.64</v>
      </c>
      <c r="L124" s="150">
        <v>16499.64</v>
      </c>
      <c r="M124" s="150">
        <v>16499.64</v>
      </c>
      <c r="N124" s="150">
        <v>16499.64</v>
      </c>
      <c r="O124" s="150">
        <v>16499.64</v>
      </c>
      <c r="P124" s="150">
        <v>16499.64</v>
      </c>
      <c r="Q124" s="150">
        <v>16499.64</v>
      </c>
      <c r="R124" s="150">
        <v>16499.64</v>
      </c>
      <c r="S124" s="150">
        <v>16499.64</v>
      </c>
      <c r="T124" s="150">
        <v>16499.64</v>
      </c>
      <c r="U124" s="150">
        <v>16499.64</v>
      </c>
      <c r="V124" s="150">
        <v>45373.69</v>
      </c>
      <c r="W124" s="151">
        <f t="shared" si="3"/>
        <v>276368.65000000008</v>
      </c>
    </row>
    <row r="125" spans="1:23" s="152" customFormat="1" x14ac:dyDescent="0.2">
      <c r="A125" s="421"/>
      <c r="B125" s="153" t="s">
        <v>628</v>
      </c>
      <c r="C125" s="425"/>
      <c r="D125" s="425"/>
      <c r="E125" s="423"/>
      <c r="F125" s="440"/>
      <c r="G125" s="155">
        <v>2.5000000000000001E-3</v>
      </c>
      <c r="H125" s="156">
        <v>692.89</v>
      </c>
      <c r="I125" s="157">
        <v>750</v>
      </c>
      <c r="J125" s="157">
        <v>980</v>
      </c>
      <c r="K125" s="157">
        <v>915</v>
      </c>
      <c r="L125" s="157">
        <v>845</v>
      </c>
      <c r="M125" s="157">
        <v>780</v>
      </c>
      <c r="N125" s="157">
        <v>710</v>
      </c>
      <c r="O125" s="157">
        <v>645</v>
      </c>
      <c r="P125" s="157">
        <v>580</v>
      </c>
      <c r="Q125" s="157">
        <v>510</v>
      </c>
      <c r="R125" s="157">
        <v>445</v>
      </c>
      <c r="S125" s="157">
        <v>380</v>
      </c>
      <c r="T125" s="157">
        <v>310</v>
      </c>
      <c r="U125" s="157">
        <v>245</v>
      </c>
      <c r="V125" s="157">
        <v>325</v>
      </c>
      <c r="W125" s="158">
        <f t="shared" si="3"/>
        <v>9112.89</v>
      </c>
    </row>
    <row r="126" spans="1:23" s="152" customFormat="1" ht="12.75" customHeight="1" x14ac:dyDescent="0.2">
      <c r="A126" s="420">
        <v>60</v>
      </c>
      <c r="B126" s="167" t="s">
        <v>463</v>
      </c>
      <c r="C126" s="446" t="s">
        <v>629</v>
      </c>
      <c r="D126" s="446">
        <v>615</v>
      </c>
      <c r="E126" s="444">
        <v>2902426.28</v>
      </c>
      <c r="F126" s="448" t="s">
        <v>630</v>
      </c>
      <c r="G126" s="190" t="s">
        <v>460</v>
      </c>
      <c r="H126" s="150">
        <v>62000</v>
      </c>
      <c r="I126" s="163">
        <v>20000</v>
      </c>
      <c r="J126" s="163">
        <v>20000</v>
      </c>
      <c r="K126" s="163">
        <v>100000</v>
      </c>
      <c r="L126" s="163">
        <v>20000</v>
      </c>
      <c r="M126" s="163">
        <v>117840</v>
      </c>
      <c r="N126" s="163">
        <v>117840</v>
      </c>
      <c r="O126" s="163">
        <v>117840</v>
      </c>
      <c r="P126" s="163">
        <v>117840</v>
      </c>
      <c r="Q126" s="163">
        <v>117840</v>
      </c>
      <c r="R126" s="163">
        <v>117840</v>
      </c>
      <c r="S126" s="163">
        <v>117840</v>
      </c>
      <c r="T126" s="163">
        <v>117840</v>
      </c>
      <c r="U126" s="163">
        <v>117840</v>
      </c>
      <c r="V126" s="163">
        <v>353360.82</v>
      </c>
      <c r="W126" s="178">
        <f t="shared" si="3"/>
        <v>1635920.82</v>
      </c>
    </row>
    <row r="127" spans="1:23" s="152" customFormat="1" x14ac:dyDescent="0.2">
      <c r="A127" s="421"/>
      <c r="B127" s="179" t="s">
        <v>631</v>
      </c>
      <c r="C127" s="447"/>
      <c r="D127" s="447"/>
      <c r="E127" s="445"/>
      <c r="F127" s="449"/>
      <c r="G127" s="171">
        <v>2.5000000000000001E-3</v>
      </c>
      <c r="H127" s="156">
        <v>4411.51</v>
      </c>
      <c r="I127" s="157">
        <v>3990</v>
      </c>
      <c r="J127" s="157">
        <v>6290</v>
      </c>
      <c r="K127" s="157">
        <v>6160</v>
      </c>
      <c r="L127" s="157">
        <v>5825</v>
      </c>
      <c r="M127" s="157">
        <v>5640</v>
      </c>
      <c r="N127" s="157">
        <v>5185</v>
      </c>
      <c r="O127" s="157">
        <v>4720</v>
      </c>
      <c r="P127" s="157">
        <v>4230</v>
      </c>
      <c r="Q127" s="157">
        <v>3750</v>
      </c>
      <c r="R127" s="157">
        <v>3275</v>
      </c>
      <c r="S127" s="157">
        <v>2805</v>
      </c>
      <c r="T127" s="157">
        <v>2320</v>
      </c>
      <c r="U127" s="157">
        <v>1840</v>
      </c>
      <c r="V127" s="157">
        <v>2675</v>
      </c>
      <c r="W127" s="180">
        <f t="shared" si="3"/>
        <v>63116.51</v>
      </c>
    </row>
    <row r="128" spans="1:23" s="152" customFormat="1" ht="12.75" customHeight="1" x14ac:dyDescent="0.2">
      <c r="A128" s="420">
        <v>61</v>
      </c>
      <c r="B128" s="148" t="s">
        <v>463</v>
      </c>
      <c r="C128" s="424" t="s">
        <v>632</v>
      </c>
      <c r="D128" s="424">
        <v>616</v>
      </c>
      <c r="E128" s="422">
        <v>1166021.49</v>
      </c>
      <c r="F128" s="439" t="s">
        <v>633</v>
      </c>
      <c r="G128" s="189" t="s">
        <v>460</v>
      </c>
      <c r="H128" s="150">
        <v>65692</v>
      </c>
      <c r="I128" s="150">
        <v>65692</v>
      </c>
      <c r="J128" s="150">
        <v>65692</v>
      </c>
      <c r="K128" s="150">
        <v>65692</v>
      </c>
      <c r="L128" s="150">
        <v>65692</v>
      </c>
      <c r="M128" s="150">
        <v>65692</v>
      </c>
      <c r="N128" s="150">
        <v>65692</v>
      </c>
      <c r="O128" s="150">
        <v>65692</v>
      </c>
      <c r="P128" s="150">
        <v>65692</v>
      </c>
      <c r="Q128" s="150">
        <v>65692</v>
      </c>
      <c r="R128" s="150">
        <v>65692</v>
      </c>
      <c r="S128" s="150">
        <v>65692</v>
      </c>
      <c r="T128" s="150">
        <v>65692</v>
      </c>
      <c r="U128" s="150">
        <v>65692</v>
      </c>
      <c r="V128" s="150">
        <v>213499</v>
      </c>
      <c r="W128" s="151">
        <f t="shared" si="3"/>
        <v>1133187</v>
      </c>
    </row>
    <row r="129" spans="1:23" s="152" customFormat="1" x14ac:dyDescent="0.2">
      <c r="A129" s="421"/>
      <c r="B129" s="153" t="s">
        <v>634</v>
      </c>
      <c r="C129" s="425"/>
      <c r="D129" s="425"/>
      <c r="E129" s="423"/>
      <c r="F129" s="440"/>
      <c r="G129" s="155">
        <v>2.5000000000000001E-3</v>
      </c>
      <c r="H129" s="156">
        <v>3210.38</v>
      </c>
      <c r="I129" s="157">
        <v>3875</v>
      </c>
      <c r="J129" s="157">
        <v>4025</v>
      </c>
      <c r="K129" s="157">
        <v>3770</v>
      </c>
      <c r="L129" s="157">
        <v>3490</v>
      </c>
      <c r="M129" s="157">
        <v>3225</v>
      </c>
      <c r="N129" s="157">
        <v>2960</v>
      </c>
      <c r="O129" s="157">
        <v>2700</v>
      </c>
      <c r="P129" s="157">
        <v>2425</v>
      </c>
      <c r="Q129" s="157">
        <v>2160</v>
      </c>
      <c r="R129" s="157">
        <v>1895</v>
      </c>
      <c r="S129" s="157">
        <v>1630</v>
      </c>
      <c r="T129" s="157">
        <v>1360</v>
      </c>
      <c r="U129" s="157">
        <v>1095</v>
      </c>
      <c r="V129" s="157">
        <v>1720</v>
      </c>
      <c r="W129" s="158">
        <f t="shared" si="3"/>
        <v>39540.380000000005</v>
      </c>
    </row>
    <row r="130" spans="1:23" s="197" customFormat="1" ht="12.75" customHeight="1" x14ac:dyDescent="0.2">
      <c r="A130" s="420">
        <v>62</v>
      </c>
      <c r="B130" s="196" t="s">
        <v>463</v>
      </c>
      <c r="C130" s="407" t="s">
        <v>635</v>
      </c>
      <c r="D130" s="424">
        <v>617</v>
      </c>
      <c r="E130" s="444">
        <v>828989.55</v>
      </c>
      <c r="F130" s="451" t="s">
        <v>636</v>
      </c>
      <c r="G130" s="190" t="s">
        <v>460</v>
      </c>
      <c r="H130" s="168">
        <v>1885.53</v>
      </c>
      <c r="I130" s="168">
        <v>10204</v>
      </c>
      <c r="J130" s="168">
        <v>10204</v>
      </c>
      <c r="K130" s="168">
        <v>10204</v>
      </c>
      <c r="L130" s="168">
        <v>10204</v>
      </c>
      <c r="M130" s="168">
        <v>10204</v>
      </c>
      <c r="N130" s="168">
        <v>10204</v>
      </c>
      <c r="O130" s="168">
        <v>10204</v>
      </c>
      <c r="P130" s="168">
        <v>10204</v>
      </c>
      <c r="Q130" s="168">
        <v>10204</v>
      </c>
      <c r="R130" s="168">
        <v>10204</v>
      </c>
      <c r="S130" s="168">
        <v>10204</v>
      </c>
      <c r="T130" s="168">
        <v>10204</v>
      </c>
      <c r="U130" s="168">
        <v>10204</v>
      </c>
      <c r="V130" s="168">
        <v>33163</v>
      </c>
      <c r="W130" s="151">
        <f t="shared" si="3"/>
        <v>167700.53</v>
      </c>
    </row>
    <row r="131" spans="1:23" s="197" customFormat="1" x14ac:dyDescent="0.2">
      <c r="A131" s="421"/>
      <c r="B131" s="198" t="s">
        <v>637</v>
      </c>
      <c r="C131" s="408"/>
      <c r="D131" s="425"/>
      <c r="E131" s="445"/>
      <c r="F131" s="452"/>
      <c r="G131" s="171">
        <v>2.5000000000000001E-3</v>
      </c>
      <c r="H131" s="174">
        <v>447.09</v>
      </c>
      <c r="I131" s="172">
        <v>605</v>
      </c>
      <c r="J131" s="172">
        <v>625</v>
      </c>
      <c r="K131" s="172">
        <v>585</v>
      </c>
      <c r="L131" s="172">
        <v>545</v>
      </c>
      <c r="M131" s="172">
        <v>505</v>
      </c>
      <c r="N131" s="172">
        <v>460</v>
      </c>
      <c r="O131" s="172">
        <v>420</v>
      </c>
      <c r="P131" s="172">
        <v>380</v>
      </c>
      <c r="Q131" s="172">
        <v>340</v>
      </c>
      <c r="R131" s="172">
        <v>295</v>
      </c>
      <c r="S131" s="172">
        <v>255</v>
      </c>
      <c r="T131" s="172">
        <v>215</v>
      </c>
      <c r="U131" s="172">
        <v>170</v>
      </c>
      <c r="V131" s="172">
        <v>270</v>
      </c>
      <c r="W131" s="158">
        <f t="shared" si="3"/>
        <v>6117.09</v>
      </c>
    </row>
    <row r="132" spans="1:23" s="197" customFormat="1" ht="12.75" customHeight="1" x14ac:dyDescent="0.2">
      <c r="A132" s="420">
        <v>63</v>
      </c>
      <c r="B132" s="148" t="s">
        <v>463</v>
      </c>
      <c r="C132" s="407" t="s">
        <v>638</v>
      </c>
      <c r="D132" s="424">
        <v>618</v>
      </c>
      <c r="E132" s="422">
        <v>1579220.53</v>
      </c>
      <c r="F132" s="416" t="s">
        <v>639</v>
      </c>
      <c r="G132" s="189" t="s">
        <v>460</v>
      </c>
      <c r="H132" s="199"/>
      <c r="I132" s="199"/>
      <c r="J132" s="199"/>
      <c r="K132" s="199"/>
      <c r="L132" s="199"/>
      <c r="M132" s="199"/>
      <c r="N132" s="199"/>
      <c r="O132" s="199">
        <v>31184.06</v>
      </c>
      <c r="P132" s="199">
        <v>62848</v>
      </c>
      <c r="Q132" s="199">
        <v>62848</v>
      </c>
      <c r="R132" s="199">
        <v>62848</v>
      </c>
      <c r="S132" s="199">
        <v>62848</v>
      </c>
      <c r="T132" s="199">
        <v>62848</v>
      </c>
      <c r="U132" s="199">
        <v>62848</v>
      </c>
      <c r="V132" s="199">
        <v>204256</v>
      </c>
      <c r="W132" s="151">
        <f t="shared" si="3"/>
        <v>612528.06000000006</v>
      </c>
    </row>
    <row r="133" spans="1:23" s="197" customFormat="1" x14ac:dyDescent="0.2">
      <c r="A133" s="421"/>
      <c r="B133" s="153" t="s">
        <v>640</v>
      </c>
      <c r="C133" s="408"/>
      <c r="D133" s="425"/>
      <c r="E133" s="423"/>
      <c r="F133" s="417"/>
      <c r="G133" s="155">
        <v>2.5000000000000001E-3</v>
      </c>
      <c r="H133" s="341">
        <v>1627.45</v>
      </c>
      <c r="I133" s="200">
        <v>2250</v>
      </c>
      <c r="J133" s="200">
        <v>2485</v>
      </c>
      <c r="K133" s="200">
        <v>2495</v>
      </c>
      <c r="L133" s="200">
        <v>2485</v>
      </c>
      <c r="M133" s="200">
        <v>2485</v>
      </c>
      <c r="N133" s="200">
        <v>2485</v>
      </c>
      <c r="O133" s="200">
        <v>2490</v>
      </c>
      <c r="P133" s="200">
        <v>2320</v>
      </c>
      <c r="Q133" s="200">
        <v>2065</v>
      </c>
      <c r="R133" s="200">
        <v>1810</v>
      </c>
      <c r="S133" s="200">
        <v>1560</v>
      </c>
      <c r="T133" s="200">
        <v>1300</v>
      </c>
      <c r="U133" s="200">
        <v>1045</v>
      </c>
      <c r="V133" s="200">
        <v>1650</v>
      </c>
      <c r="W133" s="158">
        <f t="shared" si="3"/>
        <v>30552.45</v>
      </c>
    </row>
    <row r="134" spans="1:23" s="197" customFormat="1" ht="12.75" customHeight="1" x14ac:dyDescent="0.2">
      <c r="A134" s="420">
        <v>64</v>
      </c>
      <c r="B134" s="148" t="s">
        <v>463</v>
      </c>
      <c r="C134" s="407" t="s">
        <v>641</v>
      </c>
      <c r="D134" s="424">
        <v>619</v>
      </c>
      <c r="E134" s="422">
        <v>459602.93</v>
      </c>
      <c r="F134" s="416" t="s">
        <v>642</v>
      </c>
      <c r="G134" s="189" t="s">
        <v>460</v>
      </c>
      <c r="H134" s="201"/>
      <c r="I134" s="201"/>
      <c r="J134" s="201"/>
      <c r="K134" s="201"/>
      <c r="L134" s="201"/>
      <c r="M134" s="201"/>
      <c r="N134" s="201"/>
      <c r="O134" s="201"/>
      <c r="P134" s="201">
        <v>22331.439999999999</v>
      </c>
      <c r="Q134" s="201">
        <v>26264</v>
      </c>
      <c r="R134" s="201">
        <v>26264</v>
      </c>
      <c r="S134" s="201">
        <v>26264</v>
      </c>
      <c r="T134" s="201">
        <v>26264</v>
      </c>
      <c r="U134" s="201">
        <v>26264</v>
      </c>
      <c r="V134" s="201">
        <v>91924</v>
      </c>
      <c r="W134" s="151">
        <f t="shared" si="3"/>
        <v>245575.44</v>
      </c>
    </row>
    <row r="135" spans="1:23" s="197" customFormat="1" x14ac:dyDescent="0.2">
      <c r="A135" s="421"/>
      <c r="B135" s="153" t="s">
        <v>643</v>
      </c>
      <c r="C135" s="408"/>
      <c r="D135" s="425"/>
      <c r="E135" s="423"/>
      <c r="F135" s="417"/>
      <c r="G135" s="155">
        <v>2.5000000000000001E-3</v>
      </c>
      <c r="H135" s="342">
        <v>630.35</v>
      </c>
      <c r="I135" s="202">
        <v>810</v>
      </c>
      <c r="J135" s="202">
        <v>1000</v>
      </c>
      <c r="K135" s="202">
        <v>1000</v>
      </c>
      <c r="L135" s="202">
        <v>1000</v>
      </c>
      <c r="M135" s="202">
        <v>1000</v>
      </c>
      <c r="N135" s="202">
        <v>1000</v>
      </c>
      <c r="O135" s="202">
        <v>1000</v>
      </c>
      <c r="P135" s="202">
        <v>985</v>
      </c>
      <c r="Q135" s="202">
        <v>890</v>
      </c>
      <c r="R135" s="202">
        <v>785</v>
      </c>
      <c r="S135" s="202">
        <v>680</v>
      </c>
      <c r="T135" s="202">
        <v>570</v>
      </c>
      <c r="U135" s="202">
        <v>465</v>
      </c>
      <c r="V135" s="202">
        <v>790</v>
      </c>
      <c r="W135" s="158">
        <f t="shared" si="3"/>
        <v>12605.35</v>
      </c>
    </row>
    <row r="136" spans="1:23" s="197" customFormat="1" ht="12.75" customHeight="1" x14ac:dyDescent="0.2">
      <c r="A136" s="420">
        <v>65</v>
      </c>
      <c r="B136" s="167" t="s">
        <v>463</v>
      </c>
      <c r="C136" s="442" t="s">
        <v>644</v>
      </c>
      <c r="D136" s="446">
        <v>621</v>
      </c>
      <c r="E136" s="444">
        <v>6577048</v>
      </c>
      <c r="F136" s="451" t="s">
        <v>645</v>
      </c>
      <c r="G136" s="190" t="s">
        <v>460</v>
      </c>
      <c r="H136" s="203">
        <v>180000.16</v>
      </c>
      <c r="I136" s="204">
        <v>100000</v>
      </c>
      <c r="J136" s="204">
        <v>100000</v>
      </c>
      <c r="K136" s="204">
        <v>200000</v>
      </c>
      <c r="L136" s="204">
        <v>200000</v>
      </c>
      <c r="M136" s="204">
        <v>252660</v>
      </c>
      <c r="N136" s="204">
        <v>252660</v>
      </c>
      <c r="O136" s="204">
        <v>252660</v>
      </c>
      <c r="P136" s="204">
        <v>252660</v>
      </c>
      <c r="Q136" s="204">
        <v>252660</v>
      </c>
      <c r="R136" s="204">
        <v>252660</v>
      </c>
      <c r="S136" s="204">
        <v>252660</v>
      </c>
      <c r="T136" s="204">
        <v>252660</v>
      </c>
      <c r="U136" s="204">
        <v>252660</v>
      </c>
      <c r="V136" s="204">
        <v>884240</v>
      </c>
      <c r="W136" s="178">
        <f t="shared" ref="W136:W157" si="4">SUM(H136:V136)</f>
        <v>3938180.16</v>
      </c>
    </row>
    <row r="137" spans="1:23" s="197" customFormat="1" x14ac:dyDescent="0.2">
      <c r="A137" s="421"/>
      <c r="B137" s="153" t="s">
        <v>646</v>
      </c>
      <c r="C137" s="408"/>
      <c r="D137" s="425"/>
      <c r="E137" s="445"/>
      <c r="F137" s="452"/>
      <c r="G137" s="155">
        <v>2.5000000000000001E-3</v>
      </c>
      <c r="H137" s="343">
        <v>10057.700000000001</v>
      </c>
      <c r="I137" s="205">
        <v>12335</v>
      </c>
      <c r="J137" s="205">
        <v>14775</v>
      </c>
      <c r="K137" s="205">
        <v>14325</v>
      </c>
      <c r="L137" s="205">
        <v>13495</v>
      </c>
      <c r="M137" s="205">
        <v>12640</v>
      </c>
      <c r="N137" s="205">
        <v>11630</v>
      </c>
      <c r="O137" s="205">
        <v>10635</v>
      </c>
      <c r="P137" s="205">
        <v>9580</v>
      </c>
      <c r="Q137" s="205">
        <v>8555</v>
      </c>
      <c r="R137" s="205">
        <v>7530</v>
      </c>
      <c r="S137" s="205">
        <v>6525</v>
      </c>
      <c r="T137" s="205">
        <v>5480</v>
      </c>
      <c r="U137" s="205">
        <v>4455</v>
      </c>
      <c r="V137" s="205">
        <v>7580</v>
      </c>
      <c r="W137" s="158">
        <f t="shared" si="4"/>
        <v>149597.70000000001</v>
      </c>
    </row>
    <row r="138" spans="1:23" s="197" customFormat="1" ht="12.75" customHeight="1" x14ac:dyDescent="0.2">
      <c r="A138" s="420">
        <v>66</v>
      </c>
      <c r="B138" s="167" t="s">
        <v>463</v>
      </c>
      <c r="C138" s="442" t="s">
        <v>647</v>
      </c>
      <c r="D138" s="446">
        <v>622</v>
      </c>
      <c r="E138" s="422">
        <v>561890</v>
      </c>
      <c r="F138" s="416" t="s">
        <v>648</v>
      </c>
      <c r="G138" s="190" t="s">
        <v>460</v>
      </c>
      <c r="H138" s="201">
        <v>32108</v>
      </c>
      <c r="I138" s="206">
        <v>32108</v>
      </c>
      <c r="J138" s="206">
        <v>32108</v>
      </c>
      <c r="K138" s="206">
        <v>32108</v>
      </c>
      <c r="L138" s="206">
        <v>32108</v>
      </c>
      <c r="M138" s="206">
        <v>32108</v>
      </c>
      <c r="N138" s="206">
        <v>32108</v>
      </c>
      <c r="O138" s="206">
        <v>32108</v>
      </c>
      <c r="P138" s="206">
        <v>32108</v>
      </c>
      <c r="Q138" s="206">
        <v>32108</v>
      </c>
      <c r="R138" s="206">
        <v>32108</v>
      </c>
      <c r="S138" s="206">
        <v>32108</v>
      </c>
      <c r="T138" s="206">
        <v>32108</v>
      </c>
      <c r="U138" s="206">
        <v>32108</v>
      </c>
      <c r="V138" s="206">
        <v>112378</v>
      </c>
      <c r="W138" s="178">
        <f t="shared" si="4"/>
        <v>561890</v>
      </c>
    </row>
    <row r="139" spans="1:23" s="197" customFormat="1" x14ac:dyDescent="0.2">
      <c r="A139" s="421"/>
      <c r="B139" s="179" t="s">
        <v>649</v>
      </c>
      <c r="C139" s="443"/>
      <c r="D139" s="447"/>
      <c r="E139" s="423"/>
      <c r="F139" s="417"/>
      <c r="G139" s="171">
        <v>2.5000000000000001E-3</v>
      </c>
      <c r="H139" s="342">
        <v>1405.45</v>
      </c>
      <c r="I139" s="202">
        <v>1530</v>
      </c>
      <c r="J139" s="202">
        <v>2000</v>
      </c>
      <c r="K139" s="202">
        <v>1875</v>
      </c>
      <c r="L139" s="202">
        <v>1740</v>
      </c>
      <c r="M139" s="202">
        <v>1610</v>
      </c>
      <c r="N139" s="202">
        <v>1480</v>
      </c>
      <c r="O139" s="202">
        <v>1355</v>
      </c>
      <c r="P139" s="202">
        <v>1220</v>
      </c>
      <c r="Q139" s="202">
        <v>1090</v>
      </c>
      <c r="R139" s="202">
        <v>960</v>
      </c>
      <c r="S139" s="202">
        <v>830</v>
      </c>
      <c r="T139" s="202">
        <v>700</v>
      </c>
      <c r="U139" s="202">
        <v>570</v>
      </c>
      <c r="V139" s="202">
        <v>965</v>
      </c>
      <c r="W139" s="180">
        <f t="shared" si="4"/>
        <v>19330.45</v>
      </c>
    </row>
    <row r="140" spans="1:23" s="152" customFormat="1" ht="12.75" customHeight="1" x14ac:dyDescent="0.2">
      <c r="A140" s="420">
        <v>67</v>
      </c>
      <c r="B140" s="148" t="s">
        <v>463</v>
      </c>
      <c r="C140" s="424" t="s">
        <v>650</v>
      </c>
      <c r="D140" s="424">
        <v>623</v>
      </c>
      <c r="E140" s="422">
        <v>483802.31</v>
      </c>
      <c r="F140" s="439" t="s">
        <v>651</v>
      </c>
      <c r="G140" s="189" t="s">
        <v>460</v>
      </c>
      <c r="H140" s="150">
        <v>27197.31</v>
      </c>
      <c r="I140" s="150">
        <v>27260</v>
      </c>
      <c r="J140" s="150">
        <v>27260</v>
      </c>
      <c r="K140" s="150">
        <v>27260</v>
      </c>
      <c r="L140" s="150">
        <v>27260</v>
      </c>
      <c r="M140" s="150">
        <v>27260</v>
      </c>
      <c r="N140" s="150">
        <v>27260</v>
      </c>
      <c r="O140" s="150">
        <v>27260</v>
      </c>
      <c r="P140" s="150">
        <v>27260</v>
      </c>
      <c r="Q140" s="150">
        <v>27260</v>
      </c>
      <c r="R140" s="150">
        <v>27260</v>
      </c>
      <c r="S140" s="150">
        <v>27260</v>
      </c>
      <c r="T140" s="150">
        <v>27260</v>
      </c>
      <c r="U140" s="150">
        <v>27260</v>
      </c>
      <c r="V140" s="150">
        <v>102225</v>
      </c>
      <c r="W140" s="151">
        <f t="shared" si="4"/>
        <v>483802.31</v>
      </c>
    </row>
    <row r="141" spans="1:23" s="152" customFormat="1" x14ac:dyDescent="0.2">
      <c r="A141" s="421"/>
      <c r="B141" s="153" t="s">
        <v>652</v>
      </c>
      <c r="C141" s="425"/>
      <c r="D141" s="425"/>
      <c r="E141" s="423"/>
      <c r="F141" s="440"/>
      <c r="G141" s="155">
        <v>2.5000000000000001E-3</v>
      </c>
      <c r="H141" s="156">
        <v>1210.45</v>
      </c>
      <c r="I141" s="157">
        <v>1320</v>
      </c>
      <c r="J141" s="157">
        <v>1725</v>
      </c>
      <c r="K141" s="157">
        <v>1620</v>
      </c>
      <c r="L141" s="157">
        <v>1505</v>
      </c>
      <c r="M141" s="157">
        <v>1395</v>
      </c>
      <c r="N141" s="157">
        <v>1285</v>
      </c>
      <c r="O141" s="157">
        <v>1175</v>
      </c>
      <c r="P141" s="157">
        <v>1065</v>
      </c>
      <c r="Q141" s="157">
        <v>955</v>
      </c>
      <c r="R141" s="157">
        <v>840</v>
      </c>
      <c r="S141" s="157">
        <v>735</v>
      </c>
      <c r="T141" s="157">
        <v>620</v>
      </c>
      <c r="U141" s="157">
        <v>510</v>
      </c>
      <c r="V141" s="157">
        <v>925</v>
      </c>
      <c r="W141" s="158">
        <f t="shared" si="4"/>
        <v>16885.45</v>
      </c>
    </row>
    <row r="142" spans="1:23" s="152" customFormat="1" ht="12.75" customHeight="1" x14ac:dyDescent="0.2">
      <c r="A142" s="420">
        <v>68</v>
      </c>
      <c r="B142" s="148" t="s">
        <v>463</v>
      </c>
      <c r="C142" s="424" t="s">
        <v>653</v>
      </c>
      <c r="D142" s="424" t="s">
        <v>654</v>
      </c>
      <c r="E142" s="422">
        <v>177632.15</v>
      </c>
      <c r="F142" s="439" t="s">
        <v>655</v>
      </c>
      <c r="G142" s="189" t="s">
        <v>460</v>
      </c>
      <c r="H142" s="150">
        <v>9998.15</v>
      </c>
      <c r="I142" s="150">
        <v>10008</v>
      </c>
      <c r="J142" s="150">
        <v>10008</v>
      </c>
      <c r="K142" s="150">
        <v>10008</v>
      </c>
      <c r="L142" s="150">
        <v>10008</v>
      </c>
      <c r="M142" s="150">
        <v>10008</v>
      </c>
      <c r="N142" s="150">
        <v>10008</v>
      </c>
      <c r="O142" s="150">
        <v>10008</v>
      </c>
      <c r="P142" s="150">
        <v>10008</v>
      </c>
      <c r="Q142" s="150">
        <v>10008</v>
      </c>
      <c r="R142" s="150">
        <v>10008</v>
      </c>
      <c r="S142" s="150">
        <v>10008</v>
      </c>
      <c r="T142" s="150">
        <v>10008</v>
      </c>
      <c r="U142" s="150">
        <v>10008</v>
      </c>
      <c r="V142" s="150">
        <v>37530</v>
      </c>
      <c r="W142" s="151">
        <f t="shared" si="4"/>
        <v>177632.15</v>
      </c>
    </row>
    <row r="143" spans="1:23" s="152" customFormat="1" x14ac:dyDescent="0.2">
      <c r="A143" s="421"/>
      <c r="B143" s="153" t="s">
        <v>656</v>
      </c>
      <c r="C143" s="425"/>
      <c r="D143" s="425"/>
      <c r="E143" s="423"/>
      <c r="F143" s="440"/>
      <c r="G143" s="155">
        <v>2.5000000000000001E-3</v>
      </c>
      <c r="H143" s="156">
        <v>444.4</v>
      </c>
      <c r="I143" s="157">
        <v>490</v>
      </c>
      <c r="J143" s="157">
        <v>635</v>
      </c>
      <c r="K143" s="157">
        <v>595</v>
      </c>
      <c r="L143" s="157">
        <v>555</v>
      </c>
      <c r="M143" s="157">
        <v>515</v>
      </c>
      <c r="N143" s="157">
        <v>475</v>
      </c>
      <c r="O143" s="157">
        <v>435</v>
      </c>
      <c r="P143" s="157">
        <v>390</v>
      </c>
      <c r="Q143" s="157">
        <v>350</v>
      </c>
      <c r="R143" s="157">
        <v>310</v>
      </c>
      <c r="S143" s="157">
        <v>270</v>
      </c>
      <c r="T143" s="157">
        <v>230</v>
      </c>
      <c r="U143" s="157">
        <v>190</v>
      </c>
      <c r="V143" s="157">
        <v>340</v>
      </c>
      <c r="W143" s="158">
        <f t="shared" si="4"/>
        <v>6224.4</v>
      </c>
    </row>
    <row r="144" spans="1:23" s="152" customFormat="1" ht="15" customHeight="1" x14ac:dyDescent="0.2">
      <c r="A144" s="420">
        <v>69</v>
      </c>
      <c r="B144" s="167" t="s">
        <v>463</v>
      </c>
      <c r="C144" s="446" t="s">
        <v>657</v>
      </c>
      <c r="D144" s="446">
        <v>626</v>
      </c>
      <c r="E144" s="444">
        <v>658464</v>
      </c>
      <c r="F144" s="448" t="s">
        <v>658</v>
      </c>
      <c r="G144" s="190" t="s">
        <v>460</v>
      </c>
      <c r="H144" s="168">
        <v>19083</v>
      </c>
      <c r="I144" s="207">
        <v>38172</v>
      </c>
      <c r="J144" s="207">
        <v>38172</v>
      </c>
      <c r="K144" s="207">
        <v>38172</v>
      </c>
      <c r="L144" s="207">
        <v>38172</v>
      </c>
      <c r="M144" s="207">
        <v>38172</v>
      </c>
      <c r="N144" s="207">
        <v>38172</v>
      </c>
      <c r="O144" s="207">
        <v>38172</v>
      </c>
      <c r="P144" s="207">
        <v>38172</v>
      </c>
      <c r="Q144" s="207">
        <v>38172</v>
      </c>
      <c r="R144" s="207">
        <v>38172</v>
      </c>
      <c r="S144" s="207">
        <v>38172</v>
      </c>
      <c r="T144" s="207">
        <v>38172</v>
      </c>
      <c r="U144" s="207">
        <v>38172</v>
      </c>
      <c r="V144" s="207">
        <v>143145</v>
      </c>
      <c r="W144" s="178">
        <f t="shared" si="4"/>
        <v>658464</v>
      </c>
    </row>
    <row r="145" spans="1:23" s="152" customFormat="1" x14ac:dyDescent="0.2">
      <c r="A145" s="421"/>
      <c r="B145" s="179" t="s">
        <v>659</v>
      </c>
      <c r="C145" s="447"/>
      <c r="D145" s="447"/>
      <c r="E145" s="445"/>
      <c r="F145" s="449"/>
      <c r="G145" s="171">
        <v>2.5000000000000001E-3</v>
      </c>
      <c r="H145" s="174">
        <v>1666.48</v>
      </c>
      <c r="I145" s="172">
        <v>1845</v>
      </c>
      <c r="J145" s="172">
        <v>2415</v>
      </c>
      <c r="K145" s="172">
        <v>2270</v>
      </c>
      <c r="L145" s="172">
        <v>2105</v>
      </c>
      <c r="M145" s="172">
        <v>1950</v>
      </c>
      <c r="N145" s="172">
        <v>1800</v>
      </c>
      <c r="O145" s="172">
        <v>1645</v>
      </c>
      <c r="P145" s="172">
        <v>1490</v>
      </c>
      <c r="Q145" s="172">
        <v>1335</v>
      </c>
      <c r="R145" s="172">
        <v>1180</v>
      </c>
      <c r="S145" s="172">
        <v>1025</v>
      </c>
      <c r="T145" s="172">
        <v>870</v>
      </c>
      <c r="U145" s="172">
        <v>715</v>
      </c>
      <c r="V145" s="172">
        <v>1300</v>
      </c>
      <c r="W145" s="180">
        <f t="shared" si="4"/>
        <v>23611.48</v>
      </c>
    </row>
    <row r="146" spans="1:23" s="197" customFormat="1" ht="12.75" customHeight="1" x14ac:dyDescent="0.2">
      <c r="A146" s="420">
        <v>70</v>
      </c>
      <c r="B146" s="148" t="s">
        <v>463</v>
      </c>
      <c r="C146" s="407" t="s">
        <v>660</v>
      </c>
      <c r="D146" s="424">
        <v>627</v>
      </c>
      <c r="E146" s="422">
        <v>401001</v>
      </c>
      <c r="F146" s="439" t="s">
        <v>661</v>
      </c>
      <c r="G146" s="208" t="s">
        <v>460</v>
      </c>
      <c r="H146" s="199">
        <v>11429</v>
      </c>
      <c r="I146" s="199">
        <v>22916</v>
      </c>
      <c r="J146" s="199">
        <v>22916</v>
      </c>
      <c r="K146" s="199">
        <v>22916</v>
      </c>
      <c r="L146" s="199">
        <v>22916</v>
      </c>
      <c r="M146" s="199">
        <v>22916</v>
      </c>
      <c r="N146" s="199">
        <v>22916</v>
      </c>
      <c r="O146" s="199">
        <v>22916</v>
      </c>
      <c r="P146" s="199">
        <v>22916</v>
      </c>
      <c r="Q146" s="199">
        <v>22916</v>
      </c>
      <c r="R146" s="199">
        <v>22916</v>
      </c>
      <c r="S146" s="199">
        <v>22916</v>
      </c>
      <c r="T146" s="199">
        <v>22916</v>
      </c>
      <c r="U146" s="199">
        <v>22916</v>
      </c>
      <c r="V146" s="199">
        <v>91664</v>
      </c>
      <c r="W146" s="151">
        <f t="shared" si="4"/>
        <v>401001</v>
      </c>
    </row>
    <row r="147" spans="1:23" s="197" customFormat="1" x14ac:dyDescent="0.2">
      <c r="A147" s="421"/>
      <c r="B147" s="153" t="s">
        <v>662</v>
      </c>
      <c r="C147" s="408"/>
      <c r="D147" s="425"/>
      <c r="E147" s="423"/>
      <c r="F147" s="440"/>
      <c r="G147" s="209">
        <v>2.5000000000000001E-3</v>
      </c>
      <c r="H147" s="341">
        <v>1082.51</v>
      </c>
      <c r="I147" s="210">
        <v>980</v>
      </c>
      <c r="J147" s="210">
        <v>1475</v>
      </c>
      <c r="K147" s="210">
        <v>1385</v>
      </c>
      <c r="L147" s="210">
        <v>1290</v>
      </c>
      <c r="M147" s="210">
        <v>1195</v>
      </c>
      <c r="N147" s="210">
        <v>1105</v>
      </c>
      <c r="O147" s="210">
        <v>1015</v>
      </c>
      <c r="P147" s="210">
        <v>920</v>
      </c>
      <c r="Q147" s="210">
        <v>825</v>
      </c>
      <c r="R147" s="210">
        <v>730</v>
      </c>
      <c r="S147" s="210">
        <v>640</v>
      </c>
      <c r="T147" s="210">
        <v>545</v>
      </c>
      <c r="U147" s="210">
        <v>455</v>
      </c>
      <c r="V147" s="210">
        <v>880</v>
      </c>
      <c r="W147" s="158">
        <f t="shared" si="4"/>
        <v>14522.51</v>
      </c>
    </row>
    <row r="148" spans="1:23" s="197" customFormat="1" ht="12.75" customHeight="1" x14ac:dyDescent="0.2">
      <c r="A148" s="420">
        <v>71</v>
      </c>
      <c r="B148" s="167" t="s">
        <v>463</v>
      </c>
      <c r="C148" s="442" t="s">
        <v>657</v>
      </c>
      <c r="D148" s="446">
        <v>628</v>
      </c>
      <c r="E148" s="444">
        <v>119421</v>
      </c>
      <c r="F148" s="450" t="s">
        <v>663</v>
      </c>
      <c r="G148" s="211" t="s">
        <v>460</v>
      </c>
      <c r="H148" s="201">
        <v>3363</v>
      </c>
      <c r="I148" s="206">
        <v>6728</v>
      </c>
      <c r="J148" s="206">
        <v>6728</v>
      </c>
      <c r="K148" s="206">
        <v>6728</v>
      </c>
      <c r="L148" s="206">
        <v>6728</v>
      </c>
      <c r="M148" s="206">
        <v>6728</v>
      </c>
      <c r="N148" s="206">
        <v>6728</v>
      </c>
      <c r="O148" s="206">
        <v>6728</v>
      </c>
      <c r="P148" s="206">
        <v>6728</v>
      </c>
      <c r="Q148" s="206">
        <v>6728</v>
      </c>
      <c r="R148" s="206">
        <v>6728</v>
      </c>
      <c r="S148" s="206">
        <v>6728</v>
      </c>
      <c r="T148" s="206">
        <v>6728</v>
      </c>
      <c r="U148" s="206">
        <v>6728</v>
      </c>
      <c r="V148" s="206">
        <v>28594</v>
      </c>
      <c r="W148" s="178">
        <f t="shared" si="4"/>
        <v>119421</v>
      </c>
    </row>
    <row r="149" spans="1:23" s="197" customFormat="1" x14ac:dyDescent="0.2">
      <c r="A149" s="421"/>
      <c r="B149" s="179" t="s">
        <v>664</v>
      </c>
      <c r="C149" s="443"/>
      <c r="D149" s="447"/>
      <c r="E149" s="445"/>
      <c r="F149" s="449"/>
      <c r="G149" s="212">
        <v>2.5000000000000001E-3</v>
      </c>
      <c r="H149" s="342">
        <v>340.11</v>
      </c>
      <c r="I149" s="213">
        <v>425</v>
      </c>
      <c r="J149" s="213">
        <v>440</v>
      </c>
      <c r="K149" s="213">
        <v>415</v>
      </c>
      <c r="L149" s="213">
        <v>385</v>
      </c>
      <c r="M149" s="213">
        <v>360</v>
      </c>
      <c r="N149" s="213">
        <v>335</v>
      </c>
      <c r="O149" s="213">
        <v>305</v>
      </c>
      <c r="P149" s="213">
        <v>280</v>
      </c>
      <c r="Q149" s="213">
        <v>250</v>
      </c>
      <c r="R149" s="213">
        <v>225</v>
      </c>
      <c r="S149" s="213">
        <v>195</v>
      </c>
      <c r="T149" s="213">
        <v>170</v>
      </c>
      <c r="U149" s="213">
        <v>140</v>
      </c>
      <c r="V149" s="213">
        <v>290</v>
      </c>
      <c r="W149" s="180">
        <f t="shared" si="4"/>
        <v>4555.1100000000006</v>
      </c>
    </row>
    <row r="150" spans="1:23" s="197" customFormat="1" ht="12.75" customHeight="1" x14ac:dyDescent="0.2">
      <c r="A150" s="420">
        <v>72</v>
      </c>
      <c r="B150" s="148" t="s">
        <v>463</v>
      </c>
      <c r="C150" s="407" t="s">
        <v>665</v>
      </c>
      <c r="D150" s="424">
        <v>629</v>
      </c>
      <c r="E150" s="422">
        <v>463710</v>
      </c>
      <c r="F150" s="439" t="s">
        <v>666</v>
      </c>
      <c r="G150" s="208" t="s">
        <v>460</v>
      </c>
      <c r="H150" s="199"/>
      <c r="I150" s="199">
        <v>11835.18</v>
      </c>
      <c r="J150" s="199">
        <v>25412</v>
      </c>
      <c r="K150" s="199">
        <v>25412</v>
      </c>
      <c r="L150" s="199">
        <v>25412</v>
      </c>
      <c r="M150" s="199">
        <v>25412</v>
      </c>
      <c r="N150" s="199">
        <v>25412</v>
      </c>
      <c r="O150" s="199">
        <v>25412</v>
      </c>
      <c r="P150" s="199">
        <v>25412</v>
      </c>
      <c r="Q150" s="199">
        <v>25412</v>
      </c>
      <c r="R150" s="199">
        <v>25412</v>
      </c>
      <c r="S150" s="199">
        <v>25412</v>
      </c>
      <c r="T150" s="199">
        <v>25412</v>
      </c>
      <c r="U150" s="199">
        <v>25412</v>
      </c>
      <c r="V150" s="199">
        <v>108001</v>
      </c>
      <c r="W150" s="151">
        <f t="shared" si="4"/>
        <v>424780.18</v>
      </c>
    </row>
    <row r="151" spans="1:23" s="197" customFormat="1" x14ac:dyDescent="0.2">
      <c r="A151" s="421"/>
      <c r="B151" s="153" t="s">
        <v>667</v>
      </c>
      <c r="C151" s="408"/>
      <c r="D151" s="425"/>
      <c r="E151" s="423"/>
      <c r="F151" s="440"/>
      <c r="G151" s="209">
        <v>2.5000000000000001E-3</v>
      </c>
      <c r="H151" s="341">
        <v>1211.3800000000001</v>
      </c>
      <c r="I151" s="210">
        <v>1560</v>
      </c>
      <c r="J151" s="210">
        <v>1660</v>
      </c>
      <c r="K151" s="210">
        <v>1565</v>
      </c>
      <c r="L151" s="210">
        <v>1455</v>
      </c>
      <c r="M151" s="210">
        <v>1350</v>
      </c>
      <c r="N151" s="210">
        <v>1250</v>
      </c>
      <c r="O151" s="210">
        <v>1150</v>
      </c>
      <c r="P151" s="210">
        <v>1045</v>
      </c>
      <c r="Q151" s="210">
        <v>940</v>
      </c>
      <c r="R151" s="210">
        <v>835</v>
      </c>
      <c r="S151" s="210">
        <v>735</v>
      </c>
      <c r="T151" s="210">
        <v>630</v>
      </c>
      <c r="U151" s="210">
        <v>530</v>
      </c>
      <c r="V151" s="210">
        <v>1090</v>
      </c>
      <c r="W151" s="158">
        <f t="shared" si="4"/>
        <v>17006.38</v>
      </c>
    </row>
    <row r="152" spans="1:23" s="197" customFormat="1" ht="12.75" customHeight="1" x14ac:dyDescent="0.2">
      <c r="A152" s="420">
        <v>73</v>
      </c>
      <c r="B152" s="167" t="s">
        <v>463</v>
      </c>
      <c r="C152" s="442" t="s">
        <v>668</v>
      </c>
      <c r="D152" s="442">
        <v>630</v>
      </c>
      <c r="E152" s="444">
        <v>162998</v>
      </c>
      <c r="F152" s="448" t="s">
        <v>669</v>
      </c>
      <c r="G152" s="214" t="s">
        <v>460</v>
      </c>
      <c r="H152" s="215"/>
      <c r="I152" s="216"/>
      <c r="J152" s="216"/>
      <c r="K152" s="216"/>
      <c r="L152" s="216"/>
      <c r="M152" s="216"/>
      <c r="N152" s="217">
        <v>968.39</v>
      </c>
      <c r="O152" s="217">
        <v>9316</v>
      </c>
      <c r="P152" s="217">
        <v>9316</v>
      </c>
      <c r="Q152" s="217">
        <v>9316</v>
      </c>
      <c r="R152" s="217">
        <v>9316</v>
      </c>
      <c r="S152" s="217">
        <v>9316</v>
      </c>
      <c r="T152" s="217">
        <v>9316</v>
      </c>
      <c r="U152" s="217">
        <v>9316</v>
      </c>
      <c r="V152" s="217">
        <v>41922</v>
      </c>
      <c r="W152" s="178">
        <f t="shared" si="4"/>
        <v>108102.39</v>
      </c>
    </row>
    <row r="153" spans="1:23" s="197" customFormat="1" x14ac:dyDescent="0.2">
      <c r="A153" s="421"/>
      <c r="B153" s="179" t="s">
        <v>670</v>
      </c>
      <c r="C153" s="443"/>
      <c r="D153" s="443"/>
      <c r="E153" s="445"/>
      <c r="F153" s="449"/>
      <c r="G153" s="212">
        <v>2.5000000000000001E-3</v>
      </c>
      <c r="H153" s="344">
        <v>277.45999999999998</v>
      </c>
      <c r="I153" s="218">
        <v>360</v>
      </c>
      <c r="J153" s="218">
        <v>440</v>
      </c>
      <c r="K153" s="213">
        <v>440</v>
      </c>
      <c r="L153" s="218">
        <v>440</v>
      </c>
      <c r="M153" s="218">
        <v>440</v>
      </c>
      <c r="N153" s="218">
        <v>440</v>
      </c>
      <c r="O153" s="218">
        <v>430</v>
      </c>
      <c r="P153" s="218">
        <v>395</v>
      </c>
      <c r="Q153" s="218">
        <v>355</v>
      </c>
      <c r="R153" s="218">
        <v>320</v>
      </c>
      <c r="S153" s="218">
        <v>280</v>
      </c>
      <c r="T153" s="218">
        <v>240</v>
      </c>
      <c r="U153" s="218">
        <v>205</v>
      </c>
      <c r="V153" s="218">
        <v>445</v>
      </c>
      <c r="W153" s="180">
        <f t="shared" si="4"/>
        <v>5507.46</v>
      </c>
    </row>
    <row r="154" spans="1:23" s="197" customFormat="1" ht="12.75" customHeight="1" x14ac:dyDescent="0.2">
      <c r="A154" s="420">
        <v>74</v>
      </c>
      <c r="B154" s="148" t="s">
        <v>671</v>
      </c>
      <c r="C154" s="407" t="s">
        <v>672</v>
      </c>
      <c r="D154" s="407">
        <v>631</v>
      </c>
      <c r="E154" s="422">
        <v>89504</v>
      </c>
      <c r="F154" s="439" t="s">
        <v>673</v>
      </c>
      <c r="G154" s="208" t="s">
        <v>460</v>
      </c>
      <c r="H154" s="219"/>
      <c r="I154" s="219">
        <v>5090</v>
      </c>
      <c r="J154" s="219">
        <v>5116</v>
      </c>
      <c r="K154" s="219">
        <v>5116</v>
      </c>
      <c r="L154" s="219">
        <v>5116</v>
      </c>
      <c r="M154" s="219">
        <v>5116</v>
      </c>
      <c r="N154" s="219">
        <v>5116</v>
      </c>
      <c r="O154" s="219">
        <v>5116</v>
      </c>
      <c r="P154" s="219">
        <v>5116</v>
      </c>
      <c r="Q154" s="219">
        <v>5116</v>
      </c>
      <c r="R154" s="219">
        <v>5116</v>
      </c>
      <c r="S154" s="219">
        <v>5116</v>
      </c>
      <c r="T154" s="219">
        <v>5116</v>
      </c>
      <c r="U154" s="219">
        <v>5116</v>
      </c>
      <c r="V154" s="219">
        <v>23021.759999999998</v>
      </c>
      <c r="W154" s="151">
        <f t="shared" si="4"/>
        <v>89503.76</v>
      </c>
    </row>
    <row r="155" spans="1:23" s="197" customFormat="1" x14ac:dyDescent="0.2">
      <c r="A155" s="421"/>
      <c r="B155" s="153" t="s">
        <v>674</v>
      </c>
      <c r="C155" s="408"/>
      <c r="D155" s="408"/>
      <c r="E155" s="423"/>
      <c r="F155" s="440"/>
      <c r="G155" s="209">
        <v>2.5000000000000001E-3</v>
      </c>
      <c r="H155" s="345">
        <v>226.86</v>
      </c>
      <c r="I155" s="220">
        <v>295</v>
      </c>
      <c r="J155" s="220">
        <v>340</v>
      </c>
      <c r="K155" s="210">
        <v>320</v>
      </c>
      <c r="L155" s="220">
        <v>300</v>
      </c>
      <c r="M155" s="220">
        <v>280</v>
      </c>
      <c r="N155" s="220">
        <v>260</v>
      </c>
      <c r="O155" s="220">
        <v>240</v>
      </c>
      <c r="P155" s="220">
        <v>215</v>
      </c>
      <c r="Q155" s="220">
        <v>195</v>
      </c>
      <c r="R155" s="220">
        <v>175</v>
      </c>
      <c r="S155" s="220">
        <v>155</v>
      </c>
      <c r="T155" s="220">
        <v>135</v>
      </c>
      <c r="U155" s="220">
        <v>115</v>
      </c>
      <c r="V155" s="220">
        <v>240</v>
      </c>
      <c r="W155" s="158">
        <f t="shared" si="4"/>
        <v>3491.86</v>
      </c>
    </row>
    <row r="156" spans="1:23" s="197" customFormat="1" x14ac:dyDescent="0.2">
      <c r="A156" s="420">
        <v>75</v>
      </c>
      <c r="B156" s="167" t="s">
        <v>463</v>
      </c>
      <c r="C156" s="442" t="s">
        <v>675</v>
      </c>
      <c r="D156" s="442">
        <v>632</v>
      </c>
      <c r="E156" s="444">
        <v>1331708.19</v>
      </c>
      <c r="F156" s="446" t="s">
        <v>676</v>
      </c>
      <c r="G156" s="211" t="s">
        <v>460</v>
      </c>
      <c r="H156" s="201">
        <v>0</v>
      </c>
      <c r="I156" s="201">
        <v>2665.48</v>
      </c>
      <c r="J156" s="206">
        <v>4000</v>
      </c>
      <c r="K156" s="206">
        <v>4000</v>
      </c>
      <c r="L156" s="206">
        <v>4000</v>
      </c>
      <c r="M156" s="206">
        <v>20000</v>
      </c>
      <c r="N156" s="206">
        <v>20000</v>
      </c>
      <c r="O156" s="206">
        <v>20000</v>
      </c>
      <c r="P156" s="206">
        <v>20000</v>
      </c>
      <c r="Q156" s="206">
        <v>50000</v>
      </c>
      <c r="R156" s="206">
        <v>79000</v>
      </c>
      <c r="S156" s="206">
        <v>79000</v>
      </c>
      <c r="T156" s="206">
        <v>79000</v>
      </c>
      <c r="U156" s="206">
        <v>79000</v>
      </c>
      <c r="V156" s="201">
        <v>375250</v>
      </c>
      <c r="W156" s="178">
        <f t="shared" si="4"/>
        <v>835915.48</v>
      </c>
    </row>
    <row r="157" spans="1:23" s="197" customFormat="1" x14ac:dyDescent="0.2">
      <c r="A157" s="441"/>
      <c r="B157" s="179" t="s">
        <v>677</v>
      </c>
      <c r="C157" s="443"/>
      <c r="D157" s="443"/>
      <c r="E157" s="445"/>
      <c r="F157" s="447"/>
      <c r="G157" s="212">
        <v>2.5000000000000001E-3</v>
      </c>
      <c r="H157" s="342">
        <v>2229</v>
      </c>
      <c r="I157" s="213">
        <v>2440</v>
      </c>
      <c r="J157" s="213">
        <v>3380</v>
      </c>
      <c r="K157" s="213">
        <v>3370</v>
      </c>
      <c r="L157" s="213">
        <v>3345</v>
      </c>
      <c r="M157" s="213">
        <v>3315</v>
      </c>
      <c r="N157" s="213">
        <v>3240</v>
      </c>
      <c r="O157" s="213">
        <v>3165</v>
      </c>
      <c r="P157" s="213">
        <v>3075</v>
      </c>
      <c r="Q157" s="213">
        <v>2970</v>
      </c>
      <c r="R157" s="213">
        <v>2750</v>
      </c>
      <c r="S157" s="213">
        <v>2445</v>
      </c>
      <c r="T157" s="213">
        <v>2115</v>
      </c>
      <c r="U157" s="213">
        <v>1795</v>
      </c>
      <c r="V157" s="213">
        <f>4165-5</f>
        <v>4160</v>
      </c>
      <c r="W157" s="180">
        <f t="shared" si="4"/>
        <v>43794</v>
      </c>
    </row>
    <row r="158" spans="1:23" s="197" customFormat="1" x14ac:dyDescent="0.2">
      <c r="A158" s="420">
        <v>76</v>
      </c>
      <c r="B158" s="312" t="s">
        <v>463</v>
      </c>
      <c r="C158" s="437" t="s">
        <v>732</v>
      </c>
      <c r="D158" s="407">
        <v>633</v>
      </c>
      <c r="E158" s="422">
        <v>8339124</v>
      </c>
      <c r="F158" s="424" t="s">
        <v>776</v>
      </c>
      <c r="G158" s="208" t="s">
        <v>460</v>
      </c>
      <c r="H158" s="336"/>
      <c r="I158" s="314"/>
      <c r="J158" s="314"/>
      <c r="K158" s="314">
        <v>750</v>
      </c>
      <c r="L158" s="314">
        <v>1000</v>
      </c>
      <c r="M158" s="314">
        <v>5000</v>
      </c>
      <c r="N158" s="314">
        <v>5000</v>
      </c>
      <c r="O158" s="314">
        <v>16000</v>
      </c>
      <c r="P158" s="314">
        <v>40000</v>
      </c>
      <c r="Q158" s="314">
        <v>100000</v>
      </c>
      <c r="R158" s="314">
        <v>403524</v>
      </c>
      <c r="S158" s="314">
        <v>403524</v>
      </c>
      <c r="T158" s="314">
        <v>403524</v>
      </c>
      <c r="U158" s="314">
        <v>403524</v>
      </c>
      <c r="V158" s="314">
        <v>6557278</v>
      </c>
      <c r="W158" s="151">
        <f t="shared" ref="W158:W159" si="5">SUM(H158:V158)</f>
        <v>8339124</v>
      </c>
    </row>
    <row r="159" spans="1:23" s="197" customFormat="1" x14ac:dyDescent="0.2">
      <c r="A159" s="421"/>
      <c r="B159" s="313" t="s">
        <v>775</v>
      </c>
      <c r="C159" s="408"/>
      <c r="D159" s="408"/>
      <c r="E159" s="423"/>
      <c r="F159" s="425"/>
      <c r="G159" s="209">
        <v>2.5000000000000001E-3</v>
      </c>
      <c r="H159" s="339">
        <v>73.64</v>
      </c>
      <c r="I159" s="315">
        <v>17900</v>
      </c>
      <c r="J159" s="315">
        <v>21130</v>
      </c>
      <c r="K159" s="315">
        <v>21200</v>
      </c>
      <c r="L159" s="315">
        <v>21140</v>
      </c>
      <c r="M159" s="315">
        <v>21135</v>
      </c>
      <c r="N159" s="315">
        <v>21120</v>
      </c>
      <c r="O159" s="315">
        <v>21160</v>
      </c>
      <c r="P159" s="315">
        <v>21050</v>
      </c>
      <c r="Q159" s="315">
        <v>20920</v>
      </c>
      <c r="R159" s="315">
        <v>20515</v>
      </c>
      <c r="S159" s="315">
        <v>19590</v>
      </c>
      <c r="T159" s="315">
        <v>18510</v>
      </c>
      <c r="U159" s="315">
        <v>17490</v>
      </c>
      <c r="V159" s="315">
        <v>140955</v>
      </c>
      <c r="W159" s="158">
        <f t="shared" si="5"/>
        <v>403888.64000000001</v>
      </c>
    </row>
    <row r="160" spans="1:23" s="197" customFormat="1" x14ac:dyDescent="0.2">
      <c r="A160" s="420">
        <v>77</v>
      </c>
      <c r="B160" s="312" t="s">
        <v>463</v>
      </c>
      <c r="C160" s="437" t="s">
        <v>780</v>
      </c>
      <c r="D160" s="407">
        <v>634</v>
      </c>
      <c r="E160" s="422">
        <v>206622</v>
      </c>
      <c r="F160" s="424" t="s">
        <v>777</v>
      </c>
      <c r="G160" s="208" t="s">
        <v>460</v>
      </c>
      <c r="H160" s="336">
        <v>0</v>
      </c>
      <c r="I160" s="314">
        <v>0</v>
      </c>
      <c r="J160" s="314">
        <v>0</v>
      </c>
      <c r="K160" s="314">
        <v>1000</v>
      </c>
      <c r="L160" s="314">
        <v>1000</v>
      </c>
      <c r="M160" s="314">
        <v>13640</v>
      </c>
      <c r="N160" s="314">
        <v>13640</v>
      </c>
      <c r="O160" s="314">
        <v>13640</v>
      </c>
      <c r="P160" s="314">
        <v>13640</v>
      </c>
      <c r="Q160" s="314">
        <v>13640</v>
      </c>
      <c r="R160" s="314">
        <v>13640</v>
      </c>
      <c r="S160" s="314">
        <v>13640</v>
      </c>
      <c r="T160" s="314">
        <v>13640</v>
      </c>
      <c r="U160" s="314">
        <v>13640</v>
      </c>
      <c r="V160" s="314">
        <v>81862</v>
      </c>
      <c r="W160" s="151">
        <f>SUM(H160:V160)</f>
        <v>206622</v>
      </c>
    </row>
    <row r="161" spans="1:23" s="197" customFormat="1" x14ac:dyDescent="0.2">
      <c r="A161" s="421"/>
      <c r="B161" s="335" t="s">
        <v>820</v>
      </c>
      <c r="C161" s="408"/>
      <c r="D161" s="408"/>
      <c r="E161" s="423"/>
      <c r="F161" s="425"/>
      <c r="G161" s="209">
        <v>2.5000000000000001E-3</v>
      </c>
      <c r="H161" s="339">
        <v>51.76</v>
      </c>
      <c r="I161" s="315">
        <v>525</v>
      </c>
      <c r="J161" s="315">
        <v>525</v>
      </c>
      <c r="K161" s="315">
        <v>525</v>
      </c>
      <c r="L161" s="315">
        <v>525</v>
      </c>
      <c r="M161" s="315">
        <v>515</v>
      </c>
      <c r="N161" s="315">
        <v>480</v>
      </c>
      <c r="O161" s="315">
        <v>450</v>
      </c>
      <c r="P161" s="315">
        <v>410</v>
      </c>
      <c r="Q161" s="315">
        <v>380</v>
      </c>
      <c r="R161" s="315">
        <v>345</v>
      </c>
      <c r="S161" s="315">
        <v>310</v>
      </c>
      <c r="T161" s="315">
        <v>275</v>
      </c>
      <c r="U161" s="315">
        <v>240</v>
      </c>
      <c r="V161" s="315">
        <v>700</v>
      </c>
      <c r="W161" s="158">
        <f>SUM(H161:V161)</f>
        <v>6256.76</v>
      </c>
    </row>
    <row r="162" spans="1:23" s="197" customFormat="1" x14ac:dyDescent="0.2">
      <c r="A162" s="420">
        <v>78</v>
      </c>
      <c r="B162" s="312" t="s">
        <v>463</v>
      </c>
      <c r="C162" s="407" t="s">
        <v>821</v>
      </c>
      <c r="D162" s="407">
        <v>635</v>
      </c>
      <c r="E162" s="422">
        <v>317562</v>
      </c>
      <c r="F162" s="424" t="s">
        <v>778</v>
      </c>
      <c r="G162" s="208" t="s">
        <v>460</v>
      </c>
      <c r="H162" s="336">
        <v>0</v>
      </c>
      <c r="I162" s="314">
        <v>0</v>
      </c>
      <c r="J162" s="314">
        <v>0</v>
      </c>
      <c r="K162" s="314">
        <v>750</v>
      </c>
      <c r="L162" s="314">
        <v>1000</v>
      </c>
      <c r="M162" s="314">
        <v>5000</v>
      </c>
      <c r="N162" s="314">
        <v>5000</v>
      </c>
      <c r="O162" s="314">
        <v>10000</v>
      </c>
      <c r="P162" s="314">
        <v>24632</v>
      </c>
      <c r="Q162" s="314">
        <v>24632</v>
      </c>
      <c r="R162" s="314">
        <v>24632</v>
      </c>
      <c r="S162" s="314">
        <v>24632</v>
      </c>
      <c r="T162" s="314">
        <v>24632</v>
      </c>
      <c r="U162" s="314">
        <v>24632</v>
      </c>
      <c r="V162" s="314">
        <v>148020</v>
      </c>
      <c r="W162" s="151">
        <f t="shared" ref="W162:W163" si="6">SUM(H162:V162)</f>
        <v>317562</v>
      </c>
    </row>
    <row r="163" spans="1:23" s="197" customFormat="1" x14ac:dyDescent="0.2">
      <c r="A163" s="421"/>
      <c r="B163" s="335" t="s">
        <v>822</v>
      </c>
      <c r="C163" s="408"/>
      <c r="D163" s="408"/>
      <c r="E163" s="423"/>
      <c r="F163" s="425"/>
      <c r="G163" s="209">
        <v>2.5000000000000001E-3</v>
      </c>
      <c r="H163" s="339">
        <v>105.77</v>
      </c>
      <c r="I163" s="315">
        <v>805</v>
      </c>
      <c r="J163" s="315">
        <v>805</v>
      </c>
      <c r="K163" s="315">
        <v>810</v>
      </c>
      <c r="L163" s="315">
        <v>805</v>
      </c>
      <c r="M163" s="315">
        <v>800</v>
      </c>
      <c r="N163" s="315">
        <v>790</v>
      </c>
      <c r="O163" s="315">
        <v>775</v>
      </c>
      <c r="P163" s="315">
        <v>740</v>
      </c>
      <c r="Q163" s="315">
        <v>680</v>
      </c>
      <c r="R163" s="315">
        <v>620</v>
      </c>
      <c r="S163" s="315">
        <v>555</v>
      </c>
      <c r="T163" s="315">
        <v>495</v>
      </c>
      <c r="U163" s="315">
        <v>430</v>
      </c>
      <c r="V163" s="315">
        <v>1265</v>
      </c>
      <c r="W163" s="158">
        <f t="shared" si="6"/>
        <v>10480.77</v>
      </c>
    </row>
    <row r="164" spans="1:23" s="197" customFormat="1" x14ac:dyDescent="0.2">
      <c r="A164" s="420">
        <v>79</v>
      </c>
      <c r="B164" s="312" t="s">
        <v>463</v>
      </c>
      <c r="C164" s="407" t="s">
        <v>779</v>
      </c>
      <c r="D164" s="407">
        <v>636</v>
      </c>
      <c r="E164" s="422">
        <v>69989</v>
      </c>
      <c r="F164" s="424" t="s">
        <v>778</v>
      </c>
      <c r="G164" s="208" t="s">
        <v>460</v>
      </c>
      <c r="H164" s="336">
        <v>0</v>
      </c>
      <c r="I164" s="314">
        <v>0</v>
      </c>
      <c r="J164" s="314">
        <v>0</v>
      </c>
      <c r="K164" s="314">
        <v>1000</v>
      </c>
      <c r="L164" s="314">
        <v>1000</v>
      </c>
      <c r="M164" s="314">
        <v>1000</v>
      </c>
      <c r="N164" s="314">
        <v>2000</v>
      </c>
      <c r="O164" s="314">
        <v>2000</v>
      </c>
      <c r="P164" s="314">
        <v>5000</v>
      </c>
      <c r="Q164" s="314">
        <v>5272</v>
      </c>
      <c r="R164" s="314">
        <v>5272</v>
      </c>
      <c r="S164" s="314">
        <v>5272</v>
      </c>
      <c r="T164" s="314">
        <v>5272</v>
      </c>
      <c r="U164" s="314">
        <v>5272</v>
      </c>
      <c r="V164" s="314">
        <v>31629</v>
      </c>
      <c r="W164" s="151">
        <f t="shared" ref="W164:W165" si="7">SUM(H164:V164)</f>
        <v>69989</v>
      </c>
    </row>
    <row r="165" spans="1:23" s="197" customFormat="1" x14ac:dyDescent="0.2">
      <c r="A165" s="421"/>
      <c r="B165" s="333" t="s">
        <v>816</v>
      </c>
      <c r="C165" s="408"/>
      <c r="D165" s="408"/>
      <c r="E165" s="423"/>
      <c r="F165" s="425"/>
      <c r="G165" s="209">
        <v>2.5000000000000001E-3</v>
      </c>
      <c r="H165" s="339">
        <v>21.39</v>
      </c>
      <c r="I165" s="315">
        <v>180</v>
      </c>
      <c r="J165" s="315">
        <v>180</v>
      </c>
      <c r="K165" s="315">
        <v>180</v>
      </c>
      <c r="L165" s="315">
        <v>175</v>
      </c>
      <c r="M165" s="315">
        <v>175</v>
      </c>
      <c r="N165" s="315">
        <v>170</v>
      </c>
      <c r="O165" s="315">
        <v>165</v>
      </c>
      <c r="P165" s="315">
        <v>160</v>
      </c>
      <c r="Q165" s="315">
        <v>145</v>
      </c>
      <c r="R165" s="315">
        <v>135</v>
      </c>
      <c r="S165" s="315">
        <v>120</v>
      </c>
      <c r="T165" s="315">
        <v>105</v>
      </c>
      <c r="U165" s="315">
        <v>95</v>
      </c>
      <c r="V165" s="315">
        <v>270</v>
      </c>
      <c r="W165" s="158">
        <f t="shared" si="7"/>
        <v>2276.39</v>
      </c>
    </row>
    <row r="166" spans="1:23" s="197" customFormat="1" x14ac:dyDescent="0.2">
      <c r="A166" s="427">
        <v>80</v>
      </c>
      <c r="B166" s="337" t="s">
        <v>463</v>
      </c>
      <c r="C166" s="407" t="s">
        <v>782</v>
      </c>
      <c r="D166" s="407">
        <v>637</v>
      </c>
      <c r="E166" s="422">
        <v>212555.77</v>
      </c>
      <c r="F166" s="424" t="s">
        <v>819</v>
      </c>
      <c r="G166" s="208" t="s">
        <v>460</v>
      </c>
      <c r="H166" s="336">
        <v>0</v>
      </c>
      <c r="I166" s="314">
        <v>0</v>
      </c>
      <c r="J166" s="314">
        <v>0</v>
      </c>
      <c r="K166" s="314">
        <v>750</v>
      </c>
      <c r="L166" s="314">
        <v>1000</v>
      </c>
      <c r="M166" s="314">
        <v>1000</v>
      </c>
      <c r="N166" s="314">
        <v>2000</v>
      </c>
      <c r="O166" s="314">
        <v>2000</v>
      </c>
      <c r="P166" s="314">
        <v>2000</v>
      </c>
      <c r="Q166" s="314">
        <v>5000</v>
      </c>
      <c r="R166" s="314">
        <v>19920</v>
      </c>
      <c r="S166" s="314">
        <v>19920</v>
      </c>
      <c r="T166" s="314">
        <v>19920</v>
      </c>
      <c r="U166" s="314">
        <v>19920</v>
      </c>
      <c r="V166" s="336">
        <f>119126-0.23</f>
        <v>119125.77</v>
      </c>
      <c r="W166" s="151">
        <f t="shared" ref="W166:W169" si="8">SUM(H166:V166)</f>
        <v>212555.77000000002</v>
      </c>
    </row>
    <row r="167" spans="1:23" s="197" customFormat="1" x14ac:dyDescent="0.2">
      <c r="A167" s="428"/>
      <c r="B167" s="338" t="s">
        <v>815</v>
      </c>
      <c r="C167" s="408"/>
      <c r="D167" s="408"/>
      <c r="E167" s="423"/>
      <c r="F167" s="425"/>
      <c r="G167" s="209">
        <v>2.5000000000000001E-3</v>
      </c>
      <c r="H167" s="339">
        <v>41.58</v>
      </c>
      <c r="I167" s="315">
        <v>540</v>
      </c>
      <c r="J167" s="315">
        <v>540</v>
      </c>
      <c r="K167" s="315">
        <v>545</v>
      </c>
      <c r="L167" s="315">
        <v>540</v>
      </c>
      <c r="M167" s="315">
        <v>535</v>
      </c>
      <c r="N167" s="315">
        <v>535</v>
      </c>
      <c r="O167" s="315">
        <v>530</v>
      </c>
      <c r="P167" s="315">
        <v>525</v>
      </c>
      <c r="Q167" s="315">
        <v>515</v>
      </c>
      <c r="R167" s="315">
        <v>500</v>
      </c>
      <c r="S167" s="315">
        <v>450</v>
      </c>
      <c r="T167" s="315">
        <v>400</v>
      </c>
      <c r="U167" s="315">
        <v>345</v>
      </c>
      <c r="V167" s="315">
        <v>1015</v>
      </c>
      <c r="W167" s="158">
        <f t="shared" si="8"/>
        <v>7556.58</v>
      </c>
    </row>
    <row r="168" spans="1:23" s="197" customFormat="1" ht="20.25" customHeight="1" x14ac:dyDescent="0.2">
      <c r="A168" s="435">
        <v>81</v>
      </c>
      <c r="B168" s="334" t="s">
        <v>463</v>
      </c>
      <c r="C168" s="407" t="s">
        <v>812</v>
      </c>
      <c r="D168" s="407">
        <v>638</v>
      </c>
      <c r="E168" s="422">
        <v>1496459</v>
      </c>
      <c r="F168" s="424" t="s">
        <v>818</v>
      </c>
      <c r="G168" s="208" t="s">
        <v>460</v>
      </c>
      <c r="H168" s="336">
        <v>0</v>
      </c>
      <c r="I168" s="314">
        <v>0</v>
      </c>
      <c r="J168" s="314">
        <v>0</v>
      </c>
      <c r="K168" s="314">
        <v>750</v>
      </c>
      <c r="L168" s="314">
        <v>1000</v>
      </c>
      <c r="M168" s="314">
        <v>3000</v>
      </c>
      <c r="N168" s="314">
        <v>5000</v>
      </c>
      <c r="O168" s="314">
        <v>5000</v>
      </c>
      <c r="P168" s="314">
        <v>10000</v>
      </c>
      <c r="Q168" s="314">
        <v>20000</v>
      </c>
      <c r="R168" s="314">
        <v>50000</v>
      </c>
      <c r="S168" s="314">
        <v>50000</v>
      </c>
      <c r="T168" s="314">
        <v>50000</v>
      </c>
      <c r="U168" s="314">
        <v>69458</v>
      </c>
      <c r="V168" s="336">
        <v>1232251</v>
      </c>
      <c r="W168" s="151">
        <f t="shared" si="8"/>
        <v>1496459</v>
      </c>
    </row>
    <row r="169" spans="1:23" s="197" customFormat="1" ht="18.75" customHeight="1" x14ac:dyDescent="0.2">
      <c r="A169" s="436"/>
      <c r="B169" s="335" t="s">
        <v>814</v>
      </c>
      <c r="C169" s="408"/>
      <c r="D169" s="408"/>
      <c r="E169" s="423"/>
      <c r="F169" s="425"/>
      <c r="G169" s="209">
        <v>2.5000000000000001E-3</v>
      </c>
      <c r="H169" s="339">
        <v>280.58999999999997</v>
      </c>
      <c r="I169" s="315">
        <v>3795</v>
      </c>
      <c r="J169" s="315">
        <v>3795</v>
      </c>
      <c r="K169" s="315">
        <v>3805</v>
      </c>
      <c r="L169" s="315">
        <v>3795</v>
      </c>
      <c r="M169" s="315">
        <v>3790</v>
      </c>
      <c r="N169" s="315">
        <v>3780</v>
      </c>
      <c r="O169" s="315">
        <v>3780</v>
      </c>
      <c r="P169" s="315">
        <v>3755</v>
      </c>
      <c r="Q169" s="315">
        <v>3725</v>
      </c>
      <c r="R169" s="315">
        <v>3660</v>
      </c>
      <c r="S169" s="315">
        <v>3545</v>
      </c>
      <c r="T169" s="315">
        <v>3410</v>
      </c>
      <c r="U169" s="315">
        <v>3275</v>
      </c>
      <c r="V169" s="315">
        <v>26455</v>
      </c>
      <c r="W169" s="158">
        <f t="shared" si="8"/>
        <v>74645.59</v>
      </c>
    </row>
    <row r="170" spans="1:23" s="197" customFormat="1" x14ac:dyDescent="0.2">
      <c r="A170" s="435">
        <v>82</v>
      </c>
      <c r="B170" s="317" t="s">
        <v>463</v>
      </c>
      <c r="C170" s="407" t="s">
        <v>786</v>
      </c>
      <c r="D170" s="407">
        <v>639</v>
      </c>
      <c r="E170" s="422">
        <v>520249</v>
      </c>
      <c r="F170" s="424" t="s">
        <v>817</v>
      </c>
      <c r="G170" s="208" t="s">
        <v>460</v>
      </c>
      <c r="H170" s="336">
        <v>0</v>
      </c>
      <c r="I170" s="314">
        <v>0</v>
      </c>
      <c r="J170" s="314">
        <v>0</v>
      </c>
      <c r="K170" s="314">
        <v>300</v>
      </c>
      <c r="L170" s="314">
        <v>1000</v>
      </c>
      <c r="M170" s="314">
        <v>2000</v>
      </c>
      <c r="N170" s="314">
        <v>2000</v>
      </c>
      <c r="O170" s="314">
        <v>5000</v>
      </c>
      <c r="P170" s="314">
        <v>5000</v>
      </c>
      <c r="Q170" s="314">
        <v>10000</v>
      </c>
      <c r="R170" s="314">
        <v>45000</v>
      </c>
      <c r="S170" s="314">
        <v>45000</v>
      </c>
      <c r="T170" s="314">
        <v>45000</v>
      </c>
      <c r="U170" s="314">
        <v>45000</v>
      </c>
      <c r="V170" s="336">
        <v>314949</v>
      </c>
      <c r="W170" s="151">
        <f t="shared" ref="W170:W173" si="9">SUM(H170:V170)</f>
        <v>520249</v>
      </c>
    </row>
    <row r="171" spans="1:23" s="197" customFormat="1" x14ac:dyDescent="0.2">
      <c r="A171" s="436"/>
      <c r="B171" s="333" t="s">
        <v>813</v>
      </c>
      <c r="C171" s="408"/>
      <c r="D171" s="408"/>
      <c r="E171" s="423"/>
      <c r="F171" s="425"/>
      <c r="G171" s="209">
        <v>2.5000000000000001E-3</v>
      </c>
      <c r="H171" s="339">
        <v>20.95</v>
      </c>
      <c r="I171" s="315">
        <v>1320</v>
      </c>
      <c r="J171" s="315">
        <v>1320</v>
      </c>
      <c r="K171" s="315">
        <v>1325</v>
      </c>
      <c r="L171" s="315">
        <v>1320</v>
      </c>
      <c r="M171" s="315">
        <v>1315</v>
      </c>
      <c r="N171" s="315">
        <v>1310</v>
      </c>
      <c r="O171" s="315">
        <v>1310</v>
      </c>
      <c r="P171" s="315">
        <v>1295</v>
      </c>
      <c r="Q171" s="315">
        <v>1280</v>
      </c>
      <c r="R171" s="315">
        <v>1235</v>
      </c>
      <c r="S171" s="315">
        <v>1130</v>
      </c>
      <c r="T171" s="315">
        <v>1010</v>
      </c>
      <c r="U171" s="315">
        <v>900</v>
      </c>
      <c r="V171" s="315">
        <v>3080</v>
      </c>
      <c r="W171" s="158">
        <f t="shared" si="9"/>
        <v>19170.95</v>
      </c>
    </row>
    <row r="172" spans="1:23" s="197" customFormat="1" x14ac:dyDescent="0.2">
      <c r="A172" s="420">
        <v>83</v>
      </c>
      <c r="B172" s="317" t="s">
        <v>463</v>
      </c>
      <c r="C172" s="429" t="s">
        <v>781</v>
      </c>
      <c r="D172" s="429"/>
      <c r="E172" s="431">
        <v>409900</v>
      </c>
      <c r="F172" s="433" t="s">
        <v>731</v>
      </c>
      <c r="G172" s="318" t="s">
        <v>460</v>
      </c>
      <c r="H172" s="316">
        <v>0</v>
      </c>
      <c r="I172" s="221">
        <v>0</v>
      </c>
      <c r="J172" s="221">
        <v>0</v>
      </c>
      <c r="K172" s="221">
        <v>300</v>
      </c>
      <c r="L172" s="221">
        <v>1000</v>
      </c>
      <c r="M172" s="221">
        <v>2000</v>
      </c>
      <c r="N172" s="221">
        <v>2000</v>
      </c>
      <c r="O172" s="221">
        <v>5000</v>
      </c>
      <c r="P172" s="221">
        <v>5000</v>
      </c>
      <c r="Q172" s="221">
        <v>10000</v>
      </c>
      <c r="R172" s="221">
        <v>34964</v>
      </c>
      <c r="S172" s="221">
        <v>34964</v>
      </c>
      <c r="T172" s="221">
        <v>34964</v>
      </c>
      <c r="U172" s="221">
        <v>34964</v>
      </c>
      <c r="V172" s="316">
        <v>244744</v>
      </c>
      <c r="W172" s="321">
        <f t="shared" si="9"/>
        <v>409900</v>
      </c>
    </row>
    <row r="173" spans="1:23" s="197" customFormat="1" x14ac:dyDescent="0.2">
      <c r="A173" s="421"/>
      <c r="B173" s="319"/>
      <c r="C173" s="430"/>
      <c r="D173" s="430"/>
      <c r="E173" s="432"/>
      <c r="F173" s="434"/>
      <c r="G173" s="320">
        <v>2.5000000000000001E-3</v>
      </c>
      <c r="H173" s="340">
        <v>0</v>
      </c>
      <c r="I173" s="222">
        <v>1045</v>
      </c>
      <c r="J173" s="222">
        <v>1045</v>
      </c>
      <c r="K173" s="222">
        <v>1045</v>
      </c>
      <c r="L173" s="222">
        <v>1040</v>
      </c>
      <c r="M173" s="222">
        <v>1040</v>
      </c>
      <c r="N173" s="222">
        <v>1035</v>
      </c>
      <c r="O173" s="222">
        <v>1030</v>
      </c>
      <c r="P173" s="222">
        <v>1015</v>
      </c>
      <c r="Q173" s="222">
        <v>1000</v>
      </c>
      <c r="R173" s="222">
        <v>960</v>
      </c>
      <c r="S173" s="222">
        <v>880</v>
      </c>
      <c r="T173" s="222">
        <v>790</v>
      </c>
      <c r="U173" s="222">
        <v>700</v>
      </c>
      <c r="V173" s="222">
        <v>2400</v>
      </c>
      <c r="W173" s="322">
        <f t="shared" si="9"/>
        <v>15025</v>
      </c>
    </row>
    <row r="174" spans="1:23" s="197" customFormat="1" x14ac:dyDescent="0.2">
      <c r="A174" s="435">
        <v>84</v>
      </c>
      <c r="B174" s="317" t="s">
        <v>463</v>
      </c>
      <c r="C174" s="429" t="s">
        <v>835</v>
      </c>
      <c r="D174" s="429"/>
      <c r="E174" s="431">
        <v>334858</v>
      </c>
      <c r="F174" s="433" t="s">
        <v>731</v>
      </c>
      <c r="G174" s="318" t="s">
        <v>460</v>
      </c>
      <c r="H174" s="316">
        <v>0</v>
      </c>
      <c r="I174" s="221">
        <v>0</v>
      </c>
      <c r="J174" s="221">
        <v>0</v>
      </c>
      <c r="K174" s="221">
        <v>0</v>
      </c>
      <c r="L174" s="221">
        <v>19696</v>
      </c>
      <c r="M174" s="221">
        <v>19696</v>
      </c>
      <c r="N174" s="221">
        <v>19696</v>
      </c>
      <c r="O174" s="221">
        <v>19696</v>
      </c>
      <c r="P174" s="221">
        <v>19696</v>
      </c>
      <c r="Q174" s="221">
        <v>19696</v>
      </c>
      <c r="R174" s="221">
        <v>19696</v>
      </c>
      <c r="S174" s="221">
        <v>19696</v>
      </c>
      <c r="T174" s="221">
        <v>19696</v>
      </c>
      <c r="U174" s="221">
        <v>19696</v>
      </c>
      <c r="V174" s="316">
        <v>137898</v>
      </c>
      <c r="W174" s="321">
        <f t="shared" ref="W174:W183" si="10">SUM(H174:V174)</f>
        <v>334858</v>
      </c>
    </row>
    <row r="175" spans="1:23" s="197" customFormat="1" x14ac:dyDescent="0.2">
      <c r="A175" s="436"/>
      <c r="B175" s="319"/>
      <c r="C175" s="430"/>
      <c r="D175" s="430"/>
      <c r="E175" s="432"/>
      <c r="F175" s="434"/>
      <c r="G175" s="320">
        <v>2.5000000000000001E-3</v>
      </c>
      <c r="H175" s="340">
        <v>0</v>
      </c>
      <c r="I175" s="222">
        <v>700</v>
      </c>
      <c r="J175" s="222">
        <v>850</v>
      </c>
      <c r="K175" s="222">
        <v>855</v>
      </c>
      <c r="L175" s="222">
        <v>840</v>
      </c>
      <c r="M175" s="222">
        <v>795</v>
      </c>
      <c r="N175" s="222">
        <v>745</v>
      </c>
      <c r="O175" s="222">
        <v>695</v>
      </c>
      <c r="P175" s="222">
        <v>645</v>
      </c>
      <c r="Q175" s="222">
        <v>595</v>
      </c>
      <c r="R175" s="222">
        <v>545</v>
      </c>
      <c r="S175" s="222">
        <v>495</v>
      </c>
      <c r="T175" s="222">
        <v>445</v>
      </c>
      <c r="U175" s="222">
        <v>395</v>
      </c>
      <c r="V175" s="222">
        <v>1350</v>
      </c>
      <c r="W175" s="322">
        <f t="shared" si="10"/>
        <v>9950</v>
      </c>
    </row>
    <row r="176" spans="1:23" s="197" customFormat="1" hidden="1" x14ac:dyDescent="0.2">
      <c r="A176" s="435">
        <v>85</v>
      </c>
      <c r="B176" s="317"/>
      <c r="C176" s="429"/>
      <c r="D176" s="429"/>
      <c r="E176" s="431"/>
      <c r="F176" s="433"/>
      <c r="G176" s="318"/>
      <c r="H176" s="316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316"/>
      <c r="W176" s="321">
        <f t="shared" si="10"/>
        <v>0</v>
      </c>
    </row>
    <row r="177" spans="1:23" s="197" customFormat="1" hidden="1" x14ac:dyDescent="0.2">
      <c r="A177" s="436"/>
      <c r="B177" s="319"/>
      <c r="C177" s="430"/>
      <c r="D177" s="430"/>
      <c r="E177" s="432"/>
      <c r="F177" s="434"/>
      <c r="G177" s="320"/>
      <c r="H177" s="340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322">
        <f t="shared" si="10"/>
        <v>0</v>
      </c>
    </row>
    <row r="178" spans="1:23" s="197" customFormat="1" hidden="1" x14ac:dyDescent="0.2">
      <c r="A178" s="435">
        <v>86</v>
      </c>
      <c r="B178" s="317"/>
      <c r="C178" s="429"/>
      <c r="D178" s="429"/>
      <c r="E178" s="431"/>
      <c r="F178" s="433"/>
      <c r="G178" s="318"/>
      <c r="H178" s="316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316"/>
      <c r="W178" s="321">
        <f t="shared" si="10"/>
        <v>0</v>
      </c>
    </row>
    <row r="179" spans="1:23" s="197" customFormat="1" hidden="1" x14ac:dyDescent="0.2">
      <c r="A179" s="436"/>
      <c r="B179" s="319"/>
      <c r="C179" s="430"/>
      <c r="D179" s="430"/>
      <c r="E179" s="432"/>
      <c r="F179" s="434"/>
      <c r="G179" s="320"/>
      <c r="H179" s="340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322">
        <f t="shared" si="10"/>
        <v>0</v>
      </c>
    </row>
    <row r="180" spans="1:23" s="197" customFormat="1" hidden="1" x14ac:dyDescent="0.2">
      <c r="A180" s="435">
        <v>87</v>
      </c>
      <c r="B180" s="317"/>
      <c r="C180" s="429"/>
      <c r="D180" s="429"/>
      <c r="E180" s="431"/>
      <c r="F180" s="433"/>
      <c r="G180" s="318"/>
      <c r="H180" s="316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1"/>
      <c r="V180" s="316"/>
      <c r="W180" s="321">
        <f t="shared" si="10"/>
        <v>0</v>
      </c>
    </row>
    <row r="181" spans="1:23" s="197" customFormat="1" hidden="1" x14ac:dyDescent="0.2">
      <c r="A181" s="436"/>
      <c r="B181" s="319"/>
      <c r="C181" s="430"/>
      <c r="D181" s="430"/>
      <c r="E181" s="432"/>
      <c r="F181" s="434"/>
      <c r="G181" s="320"/>
      <c r="H181" s="340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322">
        <f t="shared" si="10"/>
        <v>0</v>
      </c>
    </row>
    <row r="182" spans="1:23" s="197" customFormat="1" hidden="1" x14ac:dyDescent="0.2">
      <c r="A182" s="435">
        <v>88</v>
      </c>
      <c r="B182" s="317"/>
      <c r="C182" s="429"/>
      <c r="D182" s="429"/>
      <c r="E182" s="431"/>
      <c r="F182" s="433"/>
      <c r="G182" s="318"/>
      <c r="H182" s="316"/>
      <c r="I182" s="221"/>
      <c r="J182" s="221"/>
      <c r="K182" s="221"/>
      <c r="L182" s="221"/>
      <c r="M182" s="221"/>
      <c r="N182" s="221"/>
      <c r="O182" s="221"/>
      <c r="P182" s="221"/>
      <c r="Q182" s="221"/>
      <c r="R182" s="221"/>
      <c r="S182" s="221"/>
      <c r="T182" s="221"/>
      <c r="U182" s="221"/>
      <c r="V182" s="316"/>
      <c r="W182" s="321">
        <f t="shared" si="10"/>
        <v>0</v>
      </c>
    </row>
    <row r="183" spans="1:23" s="197" customFormat="1" hidden="1" x14ac:dyDescent="0.2">
      <c r="A183" s="436"/>
      <c r="B183" s="319"/>
      <c r="C183" s="430"/>
      <c r="D183" s="430"/>
      <c r="E183" s="432"/>
      <c r="F183" s="434"/>
      <c r="G183" s="320"/>
      <c r="H183" s="340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322">
        <f t="shared" si="10"/>
        <v>0</v>
      </c>
    </row>
    <row r="184" spans="1:23" x14ac:dyDescent="0.2">
      <c r="A184" s="224"/>
      <c r="B184" s="426" t="s">
        <v>678</v>
      </c>
      <c r="C184" s="397"/>
      <c r="D184" s="397"/>
      <c r="E184" s="397"/>
      <c r="F184" s="397"/>
      <c r="G184" s="225"/>
      <c r="H184" s="226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182)</f>
        <v>4063462.2200000007</v>
      </c>
      <c r="I184" s="226">
        <f t="shared" ref="I184:V184" si="11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182)</f>
        <v>4669229.66</v>
      </c>
      <c r="J184" s="226">
        <f t="shared" si="11"/>
        <v>5164448.57</v>
      </c>
      <c r="K184" s="226">
        <f t="shared" si="11"/>
        <v>5550640.8300000001</v>
      </c>
      <c r="L184" s="226">
        <f t="shared" si="11"/>
        <v>5391142.9000000013</v>
      </c>
      <c r="M184" s="226">
        <f t="shared" si="11"/>
        <v>4682729.8900000015</v>
      </c>
      <c r="N184" s="226">
        <f t="shared" si="11"/>
        <v>4301368.7200000007</v>
      </c>
      <c r="O184" s="226">
        <f t="shared" si="11"/>
        <v>4040158.53</v>
      </c>
      <c r="P184" s="226">
        <f t="shared" si="11"/>
        <v>3990158.41</v>
      </c>
      <c r="Q184" s="226">
        <f t="shared" si="11"/>
        <v>3710262.27</v>
      </c>
      <c r="R184" s="226">
        <f t="shared" si="11"/>
        <v>2395759.6800000002</v>
      </c>
      <c r="S184" s="226">
        <f t="shared" si="11"/>
        <v>1876745.72</v>
      </c>
      <c r="T184" s="226">
        <f t="shared" si="11"/>
        <v>1678750.9100000001</v>
      </c>
      <c r="U184" s="226">
        <f t="shared" si="11"/>
        <v>1509280.92</v>
      </c>
      <c r="V184" s="226">
        <f t="shared" si="11"/>
        <v>11934929.57</v>
      </c>
      <c r="W184" s="227">
        <f t="shared" ref="W184" si="12">SUM(W8+W10+W12+W14+W16+W18+W20+W22+W24+W26+W28+W30+W32+W34+W36+W38+W40+W42+W44+W46+W48+W50+W52+W54+W56+W58+W60+W62+W64+W66+W68+W70+W72+W74+W76+W78+W80+W82+W84+W86+W88+W90+W92+W94+W96+W98+W100+W102+W104+W106+W108+W110+W112+W114+W116+W118+W120+W122+W124+W126+W128+W130+W132+W134+W136+W138+W140+W142+W144+W146+W148+W150+W152+W154+W156+W158+W160+W162+W164+W166+W168+W170+W172+W174+W176+W178+W180+W182)</f>
        <v>64959068.79999999</v>
      </c>
    </row>
    <row r="185" spans="1:23" ht="13.5" thickBot="1" x14ac:dyDescent="0.25">
      <c r="A185" s="228"/>
      <c r="B185" s="438" t="s">
        <v>679</v>
      </c>
      <c r="C185" s="400"/>
      <c r="D185" s="400"/>
      <c r="E185" s="400"/>
      <c r="F185" s="400"/>
      <c r="G185" s="229"/>
      <c r="H185" s="230">
        <f>SUM(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+H183)+70844.18</f>
        <v>210000.00000000003</v>
      </c>
      <c r="I185" s="230">
        <f t="shared" ref="I185:V185" si="13">SUM(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+I183)</f>
        <v>187755</v>
      </c>
      <c r="J185" s="230">
        <f t="shared" si="13"/>
        <v>206950</v>
      </c>
      <c r="K185" s="230">
        <f t="shared" si="13"/>
        <v>186205</v>
      </c>
      <c r="L185" s="230">
        <f t="shared" si="13"/>
        <v>163320</v>
      </c>
      <c r="M185" s="230">
        <f t="shared" si="13"/>
        <v>141710</v>
      </c>
      <c r="N185" s="230">
        <f t="shared" si="13"/>
        <v>123215</v>
      </c>
      <c r="O185" s="230">
        <f t="shared" si="13"/>
        <v>106290</v>
      </c>
      <c r="P185" s="230">
        <f t="shared" si="13"/>
        <v>89760</v>
      </c>
      <c r="Q185" s="230">
        <f t="shared" si="13"/>
        <v>73755</v>
      </c>
      <c r="R185" s="230">
        <f t="shared" si="13"/>
        <v>59815</v>
      </c>
      <c r="S185" s="230">
        <f t="shared" si="13"/>
        <v>51810</v>
      </c>
      <c r="T185" s="230">
        <f t="shared" si="13"/>
        <v>45075</v>
      </c>
      <c r="U185" s="230">
        <f t="shared" si="13"/>
        <v>39365</v>
      </c>
      <c r="V185" s="230">
        <f t="shared" si="13"/>
        <v>204395</v>
      </c>
      <c r="W185" s="231">
        <f t="shared" ref="W185" si="14">SUM(W9+W11+W13+W15+W17+W19+W21+W23+W25+W27+W29+W31+W33+W35+W37+W39+W41+W43+W45+W47+W49+W51+W53+W55+W57+W59+W61+W63+W65+W67+W69+W71+W73+W75+W77+W79+W81+W83+W85+W87+W89+W91+W93+W95+W97+W99+W101+W103+W105+W107+W109+W111+W113+W115+W117+W119+W121+W123+W125+W127+W129+W131+W133+W135+W137+W139+W141+W143+W145+W147+W149+W151+W153+W155+W157+W159+W161+W163+W165+W167+W169+W171+W173+W175+W177+W179+W181+W183)</f>
        <v>1818575.8199999998</v>
      </c>
    </row>
    <row r="186" spans="1:23" ht="13.5" thickTop="1" x14ac:dyDescent="0.2">
      <c r="A186" s="232"/>
      <c r="B186" s="401" t="s">
        <v>680</v>
      </c>
      <c r="C186" s="402"/>
      <c r="D186" s="402"/>
      <c r="E186" s="402"/>
      <c r="F186" s="402"/>
      <c r="G186" s="233"/>
      <c r="H186" s="293">
        <f t="shared" ref="H186:V186" si="15">SUM(H184:H185)</f>
        <v>4273462.2200000007</v>
      </c>
      <c r="I186" s="293">
        <f t="shared" si="15"/>
        <v>4856984.66</v>
      </c>
      <c r="J186" s="293">
        <f t="shared" si="15"/>
        <v>5371398.5700000003</v>
      </c>
      <c r="K186" s="293">
        <f t="shared" si="15"/>
        <v>5736845.8300000001</v>
      </c>
      <c r="L186" s="293">
        <f t="shared" si="15"/>
        <v>5554462.9000000013</v>
      </c>
      <c r="M186" s="293">
        <f t="shared" si="15"/>
        <v>4824439.8900000015</v>
      </c>
      <c r="N186" s="293">
        <f t="shared" si="15"/>
        <v>4424583.7200000007</v>
      </c>
      <c r="O186" s="293">
        <f t="shared" si="15"/>
        <v>4146448.53</v>
      </c>
      <c r="P186" s="293">
        <f t="shared" si="15"/>
        <v>4079918.41</v>
      </c>
      <c r="Q186" s="293">
        <f t="shared" si="15"/>
        <v>3784017.27</v>
      </c>
      <c r="R186" s="293">
        <f t="shared" si="15"/>
        <v>2455574.6800000002</v>
      </c>
      <c r="S186" s="293">
        <f t="shared" si="15"/>
        <v>1928555.72</v>
      </c>
      <c r="T186" s="293">
        <f t="shared" si="15"/>
        <v>1723825.9100000001</v>
      </c>
      <c r="U186" s="293">
        <f t="shared" si="15"/>
        <v>1548645.92</v>
      </c>
      <c r="V186" s="293">
        <f t="shared" si="15"/>
        <v>12139324.57</v>
      </c>
      <c r="W186" s="294">
        <f>SUM(W184:W185)</f>
        <v>66777644.61999999</v>
      </c>
    </row>
    <row r="187" spans="1:23" x14ac:dyDescent="0.2">
      <c r="A187" s="234"/>
      <c r="B187" s="403" t="s">
        <v>681</v>
      </c>
      <c r="C187" s="404"/>
      <c r="D187" s="235"/>
      <c r="E187" s="236" t="s">
        <v>682</v>
      </c>
      <c r="F187" s="237">
        <v>48219737</v>
      </c>
      <c r="G187" s="238" t="s">
        <v>683</v>
      </c>
      <c r="H187" s="300">
        <f>SUM(H186/$F$187)</f>
        <v>8.8624751727700235E-2</v>
      </c>
      <c r="I187" s="300">
        <f t="shared" ref="I187:V187" si="16">SUM(I186/$F$187)</f>
        <v>0.10072607115215083</v>
      </c>
      <c r="J187" s="300">
        <f t="shared" si="16"/>
        <v>0.11139419051580476</v>
      </c>
      <c r="K187" s="300">
        <f t="shared" si="16"/>
        <v>0.11897298050381321</v>
      </c>
      <c r="L187" s="300">
        <f t="shared" si="16"/>
        <v>0.11519065108131969</v>
      </c>
      <c r="M187" s="300">
        <f t="shared" si="16"/>
        <v>0.10005114482478412</v>
      </c>
      <c r="N187" s="300">
        <f t="shared" si="16"/>
        <v>9.1758769235925131E-2</v>
      </c>
      <c r="O187" s="300">
        <f t="shared" si="16"/>
        <v>8.5990691529487184E-2</v>
      </c>
      <c r="P187" s="300">
        <f t="shared" si="16"/>
        <v>8.4610963556271582E-2</v>
      </c>
      <c r="Q187" s="300">
        <f t="shared" si="16"/>
        <v>7.8474448543757097E-2</v>
      </c>
      <c r="R187" s="300">
        <f t="shared" si="16"/>
        <v>5.0924680074468265E-2</v>
      </c>
      <c r="S187" s="301">
        <f t="shared" si="16"/>
        <v>3.9995152192555505E-2</v>
      </c>
      <c r="T187" s="301">
        <f t="shared" si="16"/>
        <v>3.574938432368472E-2</v>
      </c>
      <c r="U187" s="301">
        <f t="shared" si="16"/>
        <v>3.2116432323137718E-2</v>
      </c>
      <c r="V187" s="301">
        <f t="shared" si="16"/>
        <v>0.25175011987311335</v>
      </c>
      <c r="W187" s="302"/>
    </row>
    <row r="188" spans="1:23" x14ac:dyDescent="0.2">
      <c r="F188" s="239"/>
      <c r="G188" s="240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  <c r="T188" s="241"/>
      <c r="U188" s="241"/>
      <c r="V188" s="241"/>
    </row>
    <row r="189" spans="1:23" s="309" customFormat="1" ht="15" hidden="1" customHeight="1" x14ac:dyDescent="0.25">
      <c r="B189" s="307"/>
      <c r="C189" s="307"/>
      <c r="D189" s="307"/>
      <c r="E189" s="419" t="s">
        <v>773</v>
      </c>
      <c r="F189" s="419"/>
      <c r="G189" s="419"/>
      <c r="I189" s="310">
        <f>I184-H184</f>
        <v>605767.43999999948</v>
      </c>
      <c r="J189" s="310">
        <f>J184-I184</f>
        <v>495218.91000000015</v>
      </c>
      <c r="K189" s="310">
        <f t="shared" ref="K189:V189" si="17">K184-J184</f>
        <v>386192.25999999978</v>
      </c>
      <c r="L189" s="310">
        <f t="shared" si="17"/>
        <v>-159497.92999999877</v>
      </c>
      <c r="M189" s="310">
        <f t="shared" si="17"/>
        <v>-708413.00999999978</v>
      </c>
      <c r="N189" s="310">
        <f t="shared" si="17"/>
        <v>-381361.17000000086</v>
      </c>
      <c r="O189" s="310">
        <f t="shared" si="17"/>
        <v>-261210.19000000088</v>
      </c>
      <c r="P189" s="310">
        <f t="shared" si="17"/>
        <v>-50000.119999999646</v>
      </c>
      <c r="Q189" s="310">
        <f t="shared" si="17"/>
        <v>-279896.14000000013</v>
      </c>
      <c r="R189" s="310">
        <f t="shared" si="17"/>
        <v>-1314502.5899999999</v>
      </c>
      <c r="S189" s="310">
        <f t="shared" si="17"/>
        <v>-519013.9600000002</v>
      </c>
      <c r="T189" s="310">
        <f t="shared" si="17"/>
        <v>-197994.80999999982</v>
      </c>
      <c r="U189" s="310">
        <f t="shared" si="17"/>
        <v>-169469.99000000022</v>
      </c>
      <c r="V189" s="310">
        <f t="shared" si="17"/>
        <v>10425648.65</v>
      </c>
      <c r="W189" s="311"/>
    </row>
    <row r="190" spans="1:23" s="139" customFormat="1" ht="15" hidden="1" customHeight="1" x14ac:dyDescent="0.2">
      <c r="B190" s="306"/>
      <c r="C190" s="305"/>
      <c r="D190" s="305"/>
      <c r="E190" s="305"/>
      <c r="F190" s="305"/>
      <c r="G190" s="305"/>
      <c r="P190" s="243"/>
      <c r="Q190" s="243"/>
      <c r="R190" s="243"/>
      <c r="S190" s="243"/>
      <c r="T190" s="243"/>
      <c r="U190" s="243"/>
      <c r="W190" s="308"/>
    </row>
    <row r="191" spans="1:23" s="139" customFormat="1" ht="15.75" hidden="1" customHeight="1" x14ac:dyDescent="0.2">
      <c r="B191" s="306"/>
      <c r="C191" s="309"/>
      <c r="D191" s="309"/>
      <c r="E191" s="419"/>
      <c r="F191" s="419"/>
      <c r="G191" s="419"/>
      <c r="H191" s="304"/>
      <c r="I191" s="243"/>
      <c r="J191" s="244"/>
      <c r="K191" s="245"/>
      <c r="L191" s="246"/>
      <c r="M191" s="247"/>
      <c r="W191" s="308"/>
    </row>
    <row r="192" spans="1:23" s="223" customFormat="1" ht="15" customHeight="1" x14ac:dyDescent="0.3">
      <c r="A192" s="131"/>
      <c r="B192" s="197"/>
      <c r="C192" s="144"/>
      <c r="D192" s="144"/>
      <c r="E192" s="418"/>
      <c r="F192" s="418"/>
      <c r="G192" s="418"/>
      <c r="H192" s="248"/>
      <c r="I192" s="249"/>
      <c r="J192" s="250"/>
      <c r="K192" s="251"/>
      <c r="L192" s="252"/>
      <c r="M192" s="253"/>
      <c r="N192" s="131"/>
      <c r="O192" s="131"/>
      <c r="P192" s="131"/>
      <c r="Q192" s="131"/>
      <c r="R192" s="131"/>
      <c r="S192" s="131"/>
      <c r="T192" s="131"/>
      <c r="U192" s="131"/>
      <c r="V192" s="131"/>
      <c r="W192" s="242"/>
    </row>
    <row r="193" spans="1:23" s="223" customFormat="1" x14ac:dyDescent="0.2">
      <c r="A193" s="254"/>
      <c r="B193" s="323" t="s">
        <v>684</v>
      </c>
      <c r="C193" s="254"/>
      <c r="D193" s="254"/>
      <c r="E193" s="144"/>
      <c r="F193" s="255"/>
      <c r="G193" s="255"/>
      <c r="H193" s="256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6"/>
      <c r="W193" s="256"/>
    </row>
    <row r="194" spans="1:23" s="223" customFormat="1" ht="12.75" customHeight="1" x14ac:dyDescent="0.2">
      <c r="A194" s="414">
        <v>1</v>
      </c>
      <c r="B194" s="196" t="s">
        <v>463</v>
      </c>
      <c r="C194" s="407" t="s">
        <v>783</v>
      </c>
      <c r="D194" s="257"/>
      <c r="E194" s="409">
        <v>5122338.5199999996</v>
      </c>
      <c r="F194" s="416" t="s">
        <v>685</v>
      </c>
      <c r="G194" s="208" t="s">
        <v>460</v>
      </c>
      <c r="H194" s="258">
        <v>216000</v>
      </c>
      <c r="I194" s="258">
        <v>216000</v>
      </c>
      <c r="J194" s="258">
        <v>216000</v>
      </c>
      <c r="K194" s="258">
        <v>216000</v>
      </c>
      <c r="L194" s="258">
        <v>216000</v>
      </c>
      <c r="M194" s="258">
        <v>216000</v>
      </c>
      <c r="N194" s="258">
        <v>216000</v>
      </c>
      <c r="O194" s="258">
        <v>216000</v>
      </c>
      <c r="P194" s="258">
        <v>216000</v>
      </c>
      <c r="Q194" s="258">
        <v>216000</v>
      </c>
      <c r="R194" s="258">
        <v>216000</v>
      </c>
      <c r="S194" s="258">
        <v>216000</v>
      </c>
      <c r="T194" s="258">
        <v>216000</v>
      </c>
      <c r="U194" s="258">
        <v>216000</v>
      </c>
      <c r="V194" s="258">
        <v>0</v>
      </c>
      <c r="W194" s="151">
        <f t="shared" ref="W194:W203" si="18">SUM(H194:V194)</f>
        <v>3024000</v>
      </c>
    </row>
    <row r="195" spans="1:23" s="223" customFormat="1" x14ac:dyDescent="0.2">
      <c r="A195" s="415"/>
      <c r="B195" s="198" t="s">
        <v>686</v>
      </c>
      <c r="C195" s="408"/>
      <c r="D195" s="259"/>
      <c r="E195" s="410"/>
      <c r="F195" s="417"/>
      <c r="G195" s="209">
        <v>7.0000000000000001E-3</v>
      </c>
      <c r="H195" s="260">
        <v>15165</v>
      </c>
      <c r="I195" s="260">
        <v>14070</v>
      </c>
      <c r="J195" s="260">
        <v>12975</v>
      </c>
      <c r="K195" s="260">
        <v>11910</v>
      </c>
      <c r="L195" s="260">
        <v>10785</v>
      </c>
      <c r="M195" s="260">
        <v>9690</v>
      </c>
      <c r="N195" s="260">
        <v>8595</v>
      </c>
      <c r="O195" s="260">
        <v>7520</v>
      </c>
      <c r="P195" s="260">
        <v>6405</v>
      </c>
      <c r="Q195" s="260">
        <v>5310</v>
      </c>
      <c r="R195" s="260">
        <v>4215</v>
      </c>
      <c r="S195" s="260">
        <v>3130</v>
      </c>
      <c r="T195" s="260">
        <v>2025</v>
      </c>
      <c r="U195" s="260">
        <v>930</v>
      </c>
      <c r="V195" s="260">
        <v>65</v>
      </c>
      <c r="W195" s="158">
        <f t="shared" si="18"/>
        <v>112790</v>
      </c>
    </row>
    <row r="196" spans="1:23" s="223" customFormat="1" ht="12.75" customHeight="1" x14ac:dyDescent="0.2">
      <c r="A196" s="414">
        <v>2</v>
      </c>
      <c r="B196" s="196" t="s">
        <v>687</v>
      </c>
      <c r="C196" s="407" t="s">
        <v>787</v>
      </c>
      <c r="D196" s="257"/>
      <c r="E196" s="409">
        <v>435398.77</v>
      </c>
      <c r="F196" s="416" t="s">
        <v>688</v>
      </c>
      <c r="G196" s="208" t="s">
        <v>460</v>
      </c>
      <c r="H196" s="258">
        <v>67949.740000000005</v>
      </c>
      <c r="I196" s="258">
        <v>69377</v>
      </c>
      <c r="J196" s="258">
        <f>53152.23-299.74</f>
        <v>52852.490000000005</v>
      </c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151">
        <f t="shared" si="18"/>
        <v>190179.22999999998</v>
      </c>
    </row>
    <row r="197" spans="1:23" s="223" customFormat="1" ht="13.5" customHeight="1" x14ac:dyDescent="0.2">
      <c r="A197" s="415"/>
      <c r="B197" s="198" t="s">
        <v>689</v>
      </c>
      <c r="C197" s="408"/>
      <c r="D197" s="259"/>
      <c r="E197" s="410"/>
      <c r="F197" s="417"/>
      <c r="G197" s="209">
        <v>1.9970000000000002E-2</v>
      </c>
      <c r="H197" s="260">
        <v>3185</v>
      </c>
      <c r="I197" s="260">
        <v>1855</v>
      </c>
      <c r="J197" s="260">
        <v>450</v>
      </c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  <c r="V197" s="260"/>
      <c r="W197" s="158">
        <f t="shared" si="18"/>
        <v>5490</v>
      </c>
    </row>
    <row r="198" spans="1:23" s="223" customFormat="1" ht="12.75" customHeight="1" x14ac:dyDescent="0.2">
      <c r="A198" s="414">
        <v>3</v>
      </c>
      <c r="B198" s="196" t="s">
        <v>463</v>
      </c>
      <c r="C198" s="407" t="s">
        <v>784</v>
      </c>
      <c r="D198" s="257"/>
      <c r="E198" s="409">
        <v>522193.95</v>
      </c>
      <c r="F198" s="416" t="s">
        <v>690</v>
      </c>
      <c r="G198" s="208" t="s">
        <v>460</v>
      </c>
      <c r="H198" s="258">
        <f>5400+5400+5400+5400</f>
        <v>21600</v>
      </c>
      <c r="I198" s="258"/>
      <c r="J198" s="258"/>
      <c r="K198" s="258"/>
      <c r="L198" s="258"/>
      <c r="M198" s="258">
        <v>27159.73</v>
      </c>
      <c r="N198" s="258">
        <v>32139.84</v>
      </c>
      <c r="O198" s="258">
        <v>32139.84</v>
      </c>
      <c r="P198" s="258">
        <v>32139.84</v>
      </c>
      <c r="Q198" s="258">
        <v>32139.84</v>
      </c>
      <c r="R198" s="258">
        <v>32139.84</v>
      </c>
      <c r="S198" s="258">
        <v>32139.84</v>
      </c>
      <c r="T198" s="258">
        <v>32139.84</v>
      </c>
      <c r="U198" s="258">
        <v>32061.39</v>
      </c>
      <c r="V198" s="258">
        <v>0</v>
      </c>
      <c r="W198" s="151">
        <f>SUM(H198:V198)</f>
        <v>305800</v>
      </c>
    </row>
    <row r="199" spans="1:23" s="223" customFormat="1" x14ac:dyDescent="0.2">
      <c r="A199" s="415"/>
      <c r="B199" s="198" t="s">
        <v>691</v>
      </c>
      <c r="C199" s="408"/>
      <c r="D199" s="259"/>
      <c r="E199" s="410"/>
      <c r="F199" s="417"/>
      <c r="G199" s="209">
        <v>7.0000000000000001E-3</v>
      </c>
      <c r="H199" s="260">
        <v>1510</v>
      </c>
      <c r="I199" s="260">
        <v>1420</v>
      </c>
      <c r="J199" s="260">
        <v>1415</v>
      </c>
      <c r="K199" s="260">
        <v>1420</v>
      </c>
      <c r="L199" s="260">
        <v>1415</v>
      </c>
      <c r="M199" s="260">
        <v>1405</v>
      </c>
      <c r="N199" s="260">
        <v>1280</v>
      </c>
      <c r="O199" s="260">
        <v>1120</v>
      </c>
      <c r="P199" s="260">
        <v>955</v>
      </c>
      <c r="Q199" s="260">
        <v>790</v>
      </c>
      <c r="R199" s="260">
        <v>630</v>
      </c>
      <c r="S199" s="260">
        <v>465</v>
      </c>
      <c r="T199" s="260">
        <v>305</v>
      </c>
      <c r="U199" s="260">
        <v>140</v>
      </c>
      <c r="V199" s="260">
        <v>10</v>
      </c>
      <c r="W199" s="158">
        <f t="shared" si="18"/>
        <v>14280</v>
      </c>
    </row>
    <row r="200" spans="1:23" s="223" customFormat="1" ht="12.75" customHeight="1" x14ac:dyDescent="0.2">
      <c r="A200" s="405">
        <v>4</v>
      </c>
      <c r="B200" s="196" t="s">
        <v>463</v>
      </c>
      <c r="C200" s="407" t="s">
        <v>785</v>
      </c>
      <c r="D200" s="257"/>
      <c r="E200" s="409">
        <v>305000</v>
      </c>
      <c r="F200" s="416" t="s">
        <v>692</v>
      </c>
      <c r="G200" s="208" t="s">
        <v>460</v>
      </c>
      <c r="H200" s="258"/>
      <c r="I200" s="258"/>
      <c r="J200" s="258">
        <v>15642</v>
      </c>
      <c r="K200" s="258">
        <v>31284</v>
      </c>
      <c r="L200" s="258">
        <v>31284</v>
      </c>
      <c r="M200" s="258">
        <v>31284</v>
      </c>
      <c r="N200" s="258">
        <v>31284</v>
      </c>
      <c r="O200" s="258">
        <v>31284</v>
      </c>
      <c r="P200" s="258">
        <v>23463</v>
      </c>
      <c r="Q200" s="258"/>
      <c r="R200" s="258"/>
      <c r="S200" s="258"/>
      <c r="T200" s="258"/>
      <c r="U200" s="258"/>
      <c r="V200" s="258"/>
      <c r="W200" s="151">
        <f t="shared" si="18"/>
        <v>195525</v>
      </c>
    </row>
    <row r="201" spans="1:23" s="223" customFormat="1" x14ac:dyDescent="0.2">
      <c r="A201" s="406"/>
      <c r="B201" s="198" t="s">
        <v>693</v>
      </c>
      <c r="C201" s="408"/>
      <c r="D201" s="259"/>
      <c r="E201" s="410"/>
      <c r="F201" s="417"/>
      <c r="G201" s="209">
        <v>7.0000000000000001E-3</v>
      </c>
      <c r="H201" s="260">
        <v>1015</v>
      </c>
      <c r="I201" s="260">
        <v>1015</v>
      </c>
      <c r="J201" s="260">
        <v>1015</v>
      </c>
      <c r="K201" s="260">
        <v>910</v>
      </c>
      <c r="L201" s="260">
        <v>745</v>
      </c>
      <c r="M201" s="260">
        <v>585</v>
      </c>
      <c r="N201" s="260">
        <v>425</v>
      </c>
      <c r="O201" s="260">
        <v>260</v>
      </c>
      <c r="P201" s="260">
        <v>100</v>
      </c>
      <c r="Q201" s="260"/>
      <c r="R201" s="260"/>
      <c r="S201" s="260"/>
      <c r="T201" s="260"/>
      <c r="U201" s="260"/>
      <c r="V201" s="260"/>
      <c r="W201" s="158">
        <f t="shared" si="18"/>
        <v>6070</v>
      </c>
    </row>
    <row r="202" spans="1:23" s="223" customFormat="1" hidden="1" x14ac:dyDescent="0.2">
      <c r="A202" s="405"/>
      <c r="B202" s="196"/>
      <c r="C202" s="407"/>
      <c r="D202" s="257"/>
      <c r="E202" s="409"/>
      <c r="F202" s="411"/>
      <c r="G202" s="261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62">
        <f t="shared" si="18"/>
        <v>0</v>
      </c>
    </row>
    <row r="203" spans="1:23" s="223" customFormat="1" hidden="1" x14ac:dyDescent="0.2">
      <c r="A203" s="406"/>
      <c r="B203" s="198"/>
      <c r="C203" s="408"/>
      <c r="D203" s="259"/>
      <c r="E203" s="410"/>
      <c r="F203" s="412"/>
      <c r="G203" s="263"/>
      <c r="H203" s="260"/>
      <c r="I203" s="260"/>
      <c r="J203" s="260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  <c r="V203" s="260"/>
      <c r="W203" s="264">
        <f t="shared" si="18"/>
        <v>0</v>
      </c>
    </row>
    <row r="204" spans="1:23" s="223" customFormat="1" x14ac:dyDescent="0.2">
      <c r="A204" s="265"/>
      <c r="B204" s="397" t="s">
        <v>678</v>
      </c>
      <c r="C204" s="398"/>
      <c r="D204" s="398"/>
      <c r="E204" s="398"/>
      <c r="F204" s="399"/>
      <c r="G204" s="225"/>
      <c r="H204" s="226">
        <f t="shared" ref="H204:V205" si="19">+H194+H196+H198+H200+H202</f>
        <v>305549.74</v>
      </c>
      <c r="I204" s="226">
        <f t="shared" si="19"/>
        <v>285377</v>
      </c>
      <c r="J204" s="226">
        <f t="shared" si="19"/>
        <v>284494.49</v>
      </c>
      <c r="K204" s="226">
        <f t="shared" si="19"/>
        <v>247284</v>
      </c>
      <c r="L204" s="226">
        <f t="shared" si="19"/>
        <v>247284</v>
      </c>
      <c r="M204" s="226">
        <f t="shared" si="19"/>
        <v>274443.73</v>
      </c>
      <c r="N204" s="226">
        <f t="shared" si="19"/>
        <v>279423.83999999997</v>
      </c>
      <c r="O204" s="226">
        <f t="shared" si="19"/>
        <v>279423.83999999997</v>
      </c>
      <c r="P204" s="226">
        <f t="shared" si="19"/>
        <v>271602.83999999997</v>
      </c>
      <c r="Q204" s="226">
        <f t="shared" si="19"/>
        <v>248139.84</v>
      </c>
      <c r="R204" s="226">
        <f t="shared" si="19"/>
        <v>248139.84</v>
      </c>
      <c r="S204" s="226">
        <f t="shared" si="19"/>
        <v>248139.84</v>
      </c>
      <c r="T204" s="226">
        <f t="shared" si="19"/>
        <v>248139.84</v>
      </c>
      <c r="U204" s="226">
        <f t="shared" si="19"/>
        <v>248061.39</v>
      </c>
      <c r="V204" s="226">
        <f t="shared" si="19"/>
        <v>0</v>
      </c>
      <c r="W204" s="227">
        <f>+W194+W196+W198+W200+W202</f>
        <v>3715504.23</v>
      </c>
    </row>
    <row r="205" spans="1:23" s="223" customFormat="1" ht="13.5" thickBot="1" x14ac:dyDescent="0.25">
      <c r="A205" s="266"/>
      <c r="B205" s="400" t="s">
        <v>679</v>
      </c>
      <c r="C205" s="400"/>
      <c r="D205" s="400"/>
      <c r="E205" s="400"/>
      <c r="F205" s="400"/>
      <c r="G205" s="267"/>
      <c r="H205" s="230">
        <f t="shared" si="19"/>
        <v>20875</v>
      </c>
      <c r="I205" s="230">
        <f t="shared" si="19"/>
        <v>18360</v>
      </c>
      <c r="J205" s="230">
        <f t="shared" si="19"/>
        <v>15855</v>
      </c>
      <c r="K205" s="230">
        <f t="shared" si="19"/>
        <v>14240</v>
      </c>
      <c r="L205" s="230">
        <f t="shared" si="19"/>
        <v>12945</v>
      </c>
      <c r="M205" s="230">
        <f t="shared" si="19"/>
        <v>11680</v>
      </c>
      <c r="N205" s="230">
        <f t="shared" si="19"/>
        <v>10300</v>
      </c>
      <c r="O205" s="230">
        <f t="shared" si="19"/>
        <v>8900</v>
      </c>
      <c r="P205" s="230">
        <f t="shared" si="19"/>
        <v>7460</v>
      </c>
      <c r="Q205" s="230">
        <f t="shared" si="19"/>
        <v>6100</v>
      </c>
      <c r="R205" s="230">
        <f t="shared" si="19"/>
        <v>4845</v>
      </c>
      <c r="S205" s="230">
        <f t="shared" si="19"/>
        <v>3595</v>
      </c>
      <c r="T205" s="230">
        <f t="shared" si="19"/>
        <v>2330</v>
      </c>
      <c r="U205" s="230">
        <f t="shared" si="19"/>
        <v>1070</v>
      </c>
      <c r="V205" s="230">
        <f t="shared" si="19"/>
        <v>75</v>
      </c>
      <c r="W205" s="231">
        <f>+W195+W197+W199+W201+W203</f>
        <v>138630</v>
      </c>
    </row>
    <row r="206" spans="1:23" s="223" customFormat="1" ht="13.5" thickTop="1" x14ac:dyDescent="0.2">
      <c r="A206" s="268"/>
      <c r="B206" s="394" t="s">
        <v>694</v>
      </c>
      <c r="C206" s="395"/>
      <c r="D206" s="395"/>
      <c r="E206" s="395"/>
      <c r="F206" s="395"/>
      <c r="G206" s="269"/>
      <c r="H206" s="270">
        <f t="shared" ref="H206:V206" si="20">SUM(H204:H205)</f>
        <v>326424.74</v>
      </c>
      <c r="I206" s="270">
        <f t="shared" si="20"/>
        <v>303737</v>
      </c>
      <c r="J206" s="270">
        <f t="shared" si="20"/>
        <v>300349.49</v>
      </c>
      <c r="K206" s="270">
        <f t="shared" si="20"/>
        <v>261524</v>
      </c>
      <c r="L206" s="270">
        <f t="shared" si="20"/>
        <v>260229</v>
      </c>
      <c r="M206" s="270">
        <f t="shared" si="20"/>
        <v>286123.73</v>
      </c>
      <c r="N206" s="270">
        <f t="shared" si="20"/>
        <v>289723.83999999997</v>
      </c>
      <c r="O206" s="270">
        <f t="shared" si="20"/>
        <v>288323.83999999997</v>
      </c>
      <c r="P206" s="270">
        <f t="shared" si="20"/>
        <v>279062.83999999997</v>
      </c>
      <c r="Q206" s="270">
        <f t="shared" si="20"/>
        <v>254239.84</v>
      </c>
      <c r="R206" s="270">
        <f t="shared" si="20"/>
        <v>252984.84</v>
      </c>
      <c r="S206" s="270">
        <f t="shared" si="20"/>
        <v>251734.84</v>
      </c>
      <c r="T206" s="270">
        <f t="shared" si="20"/>
        <v>250469.84</v>
      </c>
      <c r="U206" s="270">
        <f t="shared" si="20"/>
        <v>249131.39</v>
      </c>
      <c r="V206" s="270">
        <f t="shared" si="20"/>
        <v>75</v>
      </c>
      <c r="W206" s="271">
        <f>SUM(W204:W205)</f>
        <v>3854134.23</v>
      </c>
    </row>
    <row r="207" spans="1:23" x14ac:dyDescent="0.2">
      <c r="F207" s="396"/>
      <c r="G207" s="396"/>
      <c r="Q207" s="249"/>
      <c r="R207" s="249"/>
      <c r="S207" s="249"/>
      <c r="T207" s="249"/>
      <c r="U207" s="249"/>
      <c r="V207" s="249"/>
    </row>
    <row r="208" spans="1:23" s="223" customFormat="1" ht="12" customHeight="1" x14ac:dyDescent="0.2">
      <c r="A208" s="131"/>
      <c r="B208" s="413" t="s">
        <v>788</v>
      </c>
      <c r="C208" s="413"/>
      <c r="D208" s="272"/>
      <c r="E208" s="144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</row>
    <row r="209" spans="1:23" s="223" customFormat="1" x14ac:dyDescent="0.2">
      <c r="A209" s="265"/>
      <c r="B209" s="397" t="s">
        <v>695</v>
      </c>
      <c r="C209" s="398"/>
      <c r="D209" s="398"/>
      <c r="E209" s="398"/>
      <c r="F209" s="399"/>
      <c r="G209" s="225"/>
      <c r="H209" s="295">
        <f t="shared" ref="H209:V210" si="21">H184+H204</f>
        <v>4369011.9600000009</v>
      </c>
      <c r="I209" s="295">
        <f t="shared" si="21"/>
        <v>4954606.66</v>
      </c>
      <c r="J209" s="295">
        <f t="shared" si="21"/>
        <v>5448943.0600000005</v>
      </c>
      <c r="K209" s="295">
        <f t="shared" si="21"/>
        <v>5797924.8300000001</v>
      </c>
      <c r="L209" s="295">
        <f t="shared" si="21"/>
        <v>5638426.9000000013</v>
      </c>
      <c r="M209" s="295">
        <f t="shared" si="21"/>
        <v>4957173.620000001</v>
      </c>
      <c r="N209" s="295">
        <f t="shared" si="21"/>
        <v>4580792.5600000005</v>
      </c>
      <c r="O209" s="295">
        <f t="shared" si="21"/>
        <v>4319582.37</v>
      </c>
      <c r="P209" s="295">
        <f t="shared" si="21"/>
        <v>4261761.25</v>
      </c>
      <c r="Q209" s="295">
        <f t="shared" si="21"/>
        <v>3958402.11</v>
      </c>
      <c r="R209" s="295">
        <f t="shared" si="21"/>
        <v>2643899.52</v>
      </c>
      <c r="S209" s="295">
        <f t="shared" si="21"/>
        <v>2124885.56</v>
      </c>
      <c r="T209" s="295">
        <f t="shared" si="21"/>
        <v>1926890.7500000002</v>
      </c>
      <c r="U209" s="295">
        <f t="shared" si="21"/>
        <v>1757342.31</v>
      </c>
      <c r="V209" s="295">
        <f t="shared" si="21"/>
        <v>11934929.57</v>
      </c>
      <c r="W209" s="296">
        <f>SUM(H209:V209)</f>
        <v>68674573.030000001</v>
      </c>
    </row>
    <row r="210" spans="1:23" s="223" customFormat="1" ht="13.5" thickBot="1" x14ac:dyDescent="0.25">
      <c r="A210" s="266"/>
      <c r="B210" s="400" t="s">
        <v>679</v>
      </c>
      <c r="C210" s="400"/>
      <c r="D210" s="400"/>
      <c r="E210" s="400"/>
      <c r="F210" s="400"/>
      <c r="G210" s="267"/>
      <c r="H210" s="297">
        <f t="shared" si="21"/>
        <v>230875.00000000003</v>
      </c>
      <c r="I210" s="297">
        <f t="shared" si="21"/>
        <v>206115</v>
      </c>
      <c r="J210" s="297">
        <f t="shared" si="21"/>
        <v>222805</v>
      </c>
      <c r="K210" s="297">
        <f t="shared" si="21"/>
        <v>200445</v>
      </c>
      <c r="L210" s="297">
        <f t="shared" si="21"/>
        <v>176265</v>
      </c>
      <c r="M210" s="297">
        <f t="shared" si="21"/>
        <v>153390</v>
      </c>
      <c r="N210" s="297">
        <f t="shared" si="21"/>
        <v>133515</v>
      </c>
      <c r="O210" s="297">
        <f t="shared" si="21"/>
        <v>115190</v>
      </c>
      <c r="P210" s="297">
        <f t="shared" si="21"/>
        <v>97220</v>
      </c>
      <c r="Q210" s="297">
        <f t="shared" si="21"/>
        <v>79855</v>
      </c>
      <c r="R210" s="297">
        <f t="shared" si="21"/>
        <v>64660</v>
      </c>
      <c r="S210" s="297">
        <f t="shared" si="21"/>
        <v>55405</v>
      </c>
      <c r="T210" s="297">
        <f t="shared" si="21"/>
        <v>47405</v>
      </c>
      <c r="U210" s="297">
        <f t="shared" si="21"/>
        <v>40435</v>
      </c>
      <c r="V210" s="297">
        <f t="shared" si="21"/>
        <v>204470</v>
      </c>
      <c r="W210" s="298">
        <f>SUM(H210:V210)</f>
        <v>2028050</v>
      </c>
    </row>
    <row r="211" spans="1:23" s="223" customFormat="1" ht="13.5" thickTop="1" x14ac:dyDescent="0.2">
      <c r="A211" s="232"/>
      <c r="B211" s="401" t="s">
        <v>456</v>
      </c>
      <c r="C211" s="402"/>
      <c r="D211" s="402"/>
      <c r="E211" s="402"/>
      <c r="F211" s="402"/>
      <c r="G211" s="233"/>
      <c r="H211" s="293">
        <f t="shared" ref="H211:U211" si="22">SUM(H209:H210)</f>
        <v>4599886.9600000009</v>
      </c>
      <c r="I211" s="293">
        <f t="shared" si="22"/>
        <v>5160721.66</v>
      </c>
      <c r="J211" s="293">
        <f t="shared" si="22"/>
        <v>5671748.0600000005</v>
      </c>
      <c r="K211" s="293">
        <f t="shared" si="22"/>
        <v>5998369.8300000001</v>
      </c>
      <c r="L211" s="293">
        <f t="shared" si="22"/>
        <v>5814691.9000000013</v>
      </c>
      <c r="M211" s="293">
        <f t="shared" si="22"/>
        <v>5110563.620000001</v>
      </c>
      <c r="N211" s="293">
        <f t="shared" si="22"/>
        <v>4714307.5600000005</v>
      </c>
      <c r="O211" s="293">
        <f t="shared" si="22"/>
        <v>4434772.37</v>
      </c>
      <c r="P211" s="293">
        <f t="shared" si="22"/>
        <v>4358981.25</v>
      </c>
      <c r="Q211" s="293">
        <f t="shared" si="22"/>
        <v>4038257.11</v>
      </c>
      <c r="R211" s="293">
        <f t="shared" si="22"/>
        <v>2708559.52</v>
      </c>
      <c r="S211" s="293">
        <f t="shared" si="22"/>
        <v>2180290.5600000001</v>
      </c>
      <c r="T211" s="293">
        <f t="shared" si="22"/>
        <v>1974295.7500000002</v>
      </c>
      <c r="U211" s="293">
        <f t="shared" si="22"/>
        <v>1797777.31</v>
      </c>
      <c r="V211" s="293">
        <f>SUM(V209:V210)</f>
        <v>12139399.57</v>
      </c>
      <c r="W211" s="299">
        <f>SUM(W209:W210)</f>
        <v>70702623.030000001</v>
      </c>
    </row>
    <row r="212" spans="1:23" s="223" customFormat="1" x14ac:dyDescent="0.2">
      <c r="A212" s="234"/>
      <c r="B212" s="403" t="s">
        <v>681</v>
      </c>
      <c r="C212" s="404"/>
      <c r="D212" s="235"/>
      <c r="E212" s="236" t="s">
        <v>682</v>
      </c>
      <c r="F212" s="237">
        <f>F187</f>
        <v>48219737</v>
      </c>
      <c r="G212" s="238" t="s">
        <v>683</v>
      </c>
      <c r="H212" s="300">
        <f t="shared" ref="H212:V212" si="23">SUM(H211/$F$212)</f>
        <v>9.5394277243776776E-2</v>
      </c>
      <c r="I212" s="300">
        <f t="shared" si="23"/>
        <v>0.10702508933219607</v>
      </c>
      <c r="J212" s="300">
        <f t="shared" si="23"/>
        <v>0.11762295717208081</v>
      </c>
      <c r="K212" s="300">
        <f t="shared" si="23"/>
        <v>0.12439656877431746</v>
      </c>
      <c r="L212" s="300">
        <f t="shared" si="23"/>
        <v>0.12058738312902871</v>
      </c>
      <c r="M212" s="300">
        <f t="shared" si="23"/>
        <v>0.10598489203705115</v>
      </c>
      <c r="N212" s="300">
        <f t="shared" si="23"/>
        <v>9.7767176954946897E-2</v>
      </c>
      <c r="O212" s="300">
        <f t="shared" si="23"/>
        <v>9.1970065494135736E-2</v>
      </c>
      <c r="P212" s="300">
        <f t="shared" si="23"/>
        <v>9.0398279235741161E-2</v>
      </c>
      <c r="Q212" s="300">
        <f t="shared" si="23"/>
        <v>8.3746975019793238E-2</v>
      </c>
      <c r="R212" s="300">
        <f t="shared" si="23"/>
        <v>5.6171179863548408E-2</v>
      </c>
      <c r="S212" s="301">
        <f t="shared" si="23"/>
        <v>4.5215728986659549E-2</v>
      </c>
      <c r="T212" s="301">
        <f t="shared" si="23"/>
        <v>4.0943727046872949E-2</v>
      </c>
      <c r="U212" s="301">
        <f t="shared" si="23"/>
        <v>3.7283017740225334E-2</v>
      </c>
      <c r="V212" s="301">
        <f t="shared" si="23"/>
        <v>0.25175167525281195</v>
      </c>
      <c r="W212" s="303"/>
    </row>
    <row r="213" spans="1:23" s="223" customFormat="1" x14ac:dyDescent="0.2">
      <c r="A213" s="131"/>
      <c r="B213" s="197"/>
      <c r="C213" s="144"/>
      <c r="D213" s="144"/>
      <c r="E213" s="144"/>
      <c r="F213" s="239"/>
      <c r="G213" s="240"/>
      <c r="H213" s="241"/>
      <c r="I213" s="241"/>
      <c r="J213" s="241"/>
      <c r="K213" s="273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131"/>
    </row>
    <row r="214" spans="1:23" s="223" customFormat="1" x14ac:dyDescent="0.2">
      <c r="A214" s="131"/>
      <c r="B214" s="197"/>
      <c r="C214" s="144"/>
      <c r="D214" s="144"/>
      <c r="E214" s="144"/>
      <c r="F214" s="131"/>
      <c r="G214" s="131"/>
      <c r="H214" s="131"/>
      <c r="I214" s="131"/>
      <c r="J214" s="131"/>
      <c r="K214" s="144"/>
      <c r="L214" s="131"/>
      <c r="M214" s="274"/>
      <c r="N214" s="274"/>
      <c r="O214" s="274"/>
      <c r="P214" s="274"/>
      <c r="Q214" s="274"/>
      <c r="R214" s="274"/>
      <c r="S214" s="274"/>
      <c r="T214" s="274"/>
      <c r="U214" s="274"/>
      <c r="V214" s="131"/>
      <c r="W214" s="131"/>
    </row>
    <row r="215" spans="1:23" s="223" customFormat="1" ht="18.75" x14ac:dyDescent="0.3">
      <c r="A215" s="131"/>
      <c r="B215" s="197"/>
      <c r="C215" s="144"/>
      <c r="D215" s="144"/>
      <c r="E215" s="144"/>
      <c r="F215" s="131"/>
      <c r="G215" s="131"/>
      <c r="H215" s="131"/>
      <c r="I215" s="131"/>
      <c r="J215" s="131"/>
      <c r="K215" s="275"/>
      <c r="L215" s="131"/>
      <c r="M215" s="276" t="s">
        <v>126</v>
      </c>
      <c r="N215" s="277"/>
      <c r="O215" s="278"/>
      <c r="P215" s="274"/>
      <c r="Q215" s="274"/>
      <c r="R215" s="274"/>
      <c r="S215" s="274"/>
      <c r="T215" s="274"/>
      <c r="U215" s="279" t="s">
        <v>127</v>
      </c>
      <c r="V215" s="242"/>
      <c r="W215" s="131"/>
    </row>
    <row r="216" spans="1:23" s="223" customFormat="1" ht="15.75" x14ac:dyDescent="0.25">
      <c r="A216" s="131"/>
      <c r="B216" s="197"/>
      <c r="C216" s="144"/>
      <c r="D216" s="144"/>
      <c r="E216" s="144"/>
      <c r="F216" s="131"/>
      <c r="G216" s="131"/>
      <c r="H216" s="131"/>
      <c r="I216" s="131"/>
      <c r="J216" s="131"/>
      <c r="K216" s="280"/>
      <c r="L216" s="281"/>
      <c r="M216" s="275"/>
      <c r="N216" s="282"/>
      <c r="O216" s="282"/>
      <c r="P216" s="282"/>
      <c r="Q216" s="282"/>
      <c r="R216" s="282"/>
      <c r="S216" s="282"/>
      <c r="T216" s="282"/>
      <c r="U216" s="282"/>
      <c r="V216" s="283"/>
      <c r="W216" s="131"/>
    </row>
    <row r="217" spans="1:23" s="223" customFormat="1" ht="15" x14ac:dyDescent="0.25">
      <c r="A217" s="131"/>
      <c r="B217" s="197"/>
      <c r="C217" s="280"/>
      <c r="D217" s="280"/>
      <c r="E217" s="134"/>
      <c r="F217" s="134"/>
      <c r="G217" s="283"/>
      <c r="H217" s="283"/>
      <c r="I217" s="283"/>
      <c r="J217" s="283"/>
      <c r="K217" s="131"/>
      <c r="L217" s="131"/>
      <c r="M217" s="134"/>
      <c r="N217" s="283"/>
      <c r="O217" s="283"/>
      <c r="P217" s="283"/>
      <c r="Q217" s="283"/>
      <c r="R217" s="283"/>
      <c r="S217" s="283"/>
      <c r="T217" s="283"/>
      <c r="U217" s="283"/>
      <c r="V217" s="131"/>
      <c r="W217" s="131"/>
    </row>
    <row r="218" spans="1:23" s="223" customFormat="1" ht="15" x14ac:dyDescent="0.25">
      <c r="A218" s="131"/>
      <c r="B218" s="280"/>
      <c r="C218" s="280"/>
      <c r="D218" s="280"/>
      <c r="E218" s="134"/>
      <c r="F218" s="134"/>
      <c r="G218" s="283"/>
      <c r="H218" s="283"/>
      <c r="I218" s="283"/>
      <c r="J218" s="283"/>
      <c r="K218" s="131"/>
      <c r="L218" s="284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</row>
    <row r="219" spans="1:23" ht="15" x14ac:dyDescent="0.25">
      <c r="B219" s="280"/>
      <c r="C219" s="280"/>
      <c r="D219" s="280"/>
      <c r="E219" s="134"/>
      <c r="F219" s="134"/>
      <c r="G219" s="283"/>
      <c r="H219" s="283"/>
      <c r="I219" s="283"/>
      <c r="J219" s="283"/>
    </row>
    <row r="220" spans="1:23" ht="15" x14ac:dyDescent="0.25">
      <c r="B220" s="280"/>
      <c r="C220" s="280"/>
      <c r="D220" s="280"/>
      <c r="E220" s="134"/>
      <c r="F220" s="134"/>
      <c r="G220" s="283"/>
      <c r="H220" s="283"/>
      <c r="I220" s="283"/>
      <c r="J220" s="283"/>
    </row>
    <row r="221" spans="1:23" ht="15" x14ac:dyDescent="0.25">
      <c r="C221" s="280"/>
      <c r="D221" s="280"/>
      <c r="E221" s="134"/>
      <c r="F221" s="134"/>
      <c r="G221" s="283"/>
      <c r="H221" s="283"/>
      <c r="I221" s="283"/>
      <c r="J221" s="283"/>
    </row>
    <row r="222" spans="1:23" ht="15" x14ac:dyDescent="0.25">
      <c r="C222" s="280"/>
      <c r="D222" s="280"/>
      <c r="E222" s="134"/>
      <c r="F222" s="134"/>
      <c r="G222" s="283"/>
      <c r="H222" s="283"/>
      <c r="I222" s="283"/>
      <c r="J222" s="283"/>
    </row>
  </sheetData>
  <mergeCells count="445">
    <mergeCell ref="A180:A181"/>
    <mergeCell ref="C180:C181"/>
    <mergeCell ref="D180:D181"/>
    <mergeCell ref="E180:E181"/>
    <mergeCell ref="F180:F181"/>
    <mergeCell ref="A182:A183"/>
    <mergeCell ref="C182:C183"/>
    <mergeCell ref="D182:D183"/>
    <mergeCell ref="E182:E183"/>
    <mergeCell ref="F182:F183"/>
    <mergeCell ref="D174:D175"/>
    <mergeCell ref="E174:E175"/>
    <mergeCell ref="F174:F175"/>
    <mergeCell ref="A176:A177"/>
    <mergeCell ref="C176:C177"/>
    <mergeCell ref="D176:D177"/>
    <mergeCell ref="E176:E177"/>
    <mergeCell ref="F176:F177"/>
    <mergeCell ref="A178:A179"/>
    <mergeCell ref="C178:C179"/>
    <mergeCell ref="D178:D179"/>
    <mergeCell ref="E178:E179"/>
    <mergeCell ref="F178:F179"/>
    <mergeCell ref="A10:A11"/>
    <mergeCell ref="C10:C11"/>
    <mergeCell ref="D10:D11"/>
    <mergeCell ref="E10:E11"/>
    <mergeCell ref="A12:A13"/>
    <mergeCell ref="C12:C13"/>
    <mergeCell ref="D12:D13"/>
    <mergeCell ref="E12:E13"/>
    <mergeCell ref="A5:I5"/>
    <mergeCell ref="A6:A7"/>
    <mergeCell ref="B6:B7"/>
    <mergeCell ref="C6:C7"/>
    <mergeCell ref="A8:A9"/>
    <mergeCell ref="C8:C9"/>
    <mergeCell ref="D8:D9"/>
    <mergeCell ref="E8:E9"/>
    <mergeCell ref="A18:A19"/>
    <mergeCell ref="C18:C19"/>
    <mergeCell ref="D18:D19"/>
    <mergeCell ref="E18:E19"/>
    <mergeCell ref="A20:A21"/>
    <mergeCell ref="C20:C21"/>
    <mergeCell ref="D20:D21"/>
    <mergeCell ref="E20:E21"/>
    <mergeCell ref="A14:A15"/>
    <mergeCell ref="C14:C15"/>
    <mergeCell ref="D14:D15"/>
    <mergeCell ref="E14:E15"/>
    <mergeCell ref="A16:A17"/>
    <mergeCell ref="C16:C17"/>
    <mergeCell ref="D16:D17"/>
    <mergeCell ref="E16:E17"/>
    <mergeCell ref="A26:A27"/>
    <mergeCell ref="C26:C27"/>
    <mergeCell ref="D26:D27"/>
    <mergeCell ref="E26:E27"/>
    <mergeCell ref="A28:A29"/>
    <mergeCell ref="C28:C29"/>
    <mergeCell ref="D28:D29"/>
    <mergeCell ref="E28:E29"/>
    <mergeCell ref="A22:A23"/>
    <mergeCell ref="C22:C23"/>
    <mergeCell ref="D22:D23"/>
    <mergeCell ref="E22:E23"/>
    <mergeCell ref="A24:A25"/>
    <mergeCell ref="C24:C25"/>
    <mergeCell ref="D24:D25"/>
    <mergeCell ref="E24:E25"/>
    <mergeCell ref="A34:A35"/>
    <mergeCell ref="C34:C35"/>
    <mergeCell ref="D34:D35"/>
    <mergeCell ref="E34:E35"/>
    <mergeCell ref="A36:A37"/>
    <mergeCell ref="C36:C37"/>
    <mergeCell ref="D36:D37"/>
    <mergeCell ref="E36:E37"/>
    <mergeCell ref="A30:A31"/>
    <mergeCell ref="C30:C31"/>
    <mergeCell ref="D30:D31"/>
    <mergeCell ref="E30:E31"/>
    <mergeCell ref="A32:A33"/>
    <mergeCell ref="C32:C33"/>
    <mergeCell ref="D32:D33"/>
    <mergeCell ref="E32:E33"/>
    <mergeCell ref="A42:A43"/>
    <mergeCell ref="C42:C43"/>
    <mergeCell ref="D42:D43"/>
    <mergeCell ref="E42:E43"/>
    <mergeCell ref="A44:A45"/>
    <mergeCell ref="C44:C45"/>
    <mergeCell ref="D44:D45"/>
    <mergeCell ref="E44:E45"/>
    <mergeCell ref="A38:A39"/>
    <mergeCell ref="C38:C39"/>
    <mergeCell ref="D38:D39"/>
    <mergeCell ref="E38:E39"/>
    <mergeCell ref="A40:A41"/>
    <mergeCell ref="C40:C41"/>
    <mergeCell ref="D40:D41"/>
    <mergeCell ref="E40:E41"/>
    <mergeCell ref="A50:A51"/>
    <mergeCell ref="C50:C51"/>
    <mergeCell ref="D50:D51"/>
    <mergeCell ref="E50:E51"/>
    <mergeCell ref="A52:A53"/>
    <mergeCell ref="C52:C53"/>
    <mergeCell ref="D52:D53"/>
    <mergeCell ref="E52:E53"/>
    <mergeCell ref="A46:A47"/>
    <mergeCell ref="C46:C47"/>
    <mergeCell ref="D46:D47"/>
    <mergeCell ref="E46:E47"/>
    <mergeCell ref="A48:A49"/>
    <mergeCell ref="C48:C49"/>
    <mergeCell ref="D48:D49"/>
    <mergeCell ref="E48:E49"/>
    <mergeCell ref="A58:A59"/>
    <mergeCell ref="C58:C59"/>
    <mergeCell ref="D58:D59"/>
    <mergeCell ref="E58:E59"/>
    <mergeCell ref="A60:A61"/>
    <mergeCell ref="C60:C61"/>
    <mergeCell ref="D60:D61"/>
    <mergeCell ref="E60:E61"/>
    <mergeCell ref="A54:A55"/>
    <mergeCell ref="C54:C55"/>
    <mergeCell ref="D54:D55"/>
    <mergeCell ref="E54:E55"/>
    <mergeCell ref="A56:A57"/>
    <mergeCell ref="C56:C57"/>
    <mergeCell ref="D56:D57"/>
    <mergeCell ref="E56:E57"/>
    <mergeCell ref="A66:A67"/>
    <mergeCell ref="C66:C67"/>
    <mergeCell ref="D66:D67"/>
    <mergeCell ref="E66:E67"/>
    <mergeCell ref="A68:A69"/>
    <mergeCell ref="C68:C69"/>
    <mergeCell ref="D68:D69"/>
    <mergeCell ref="E68:E69"/>
    <mergeCell ref="A62:A63"/>
    <mergeCell ref="C62:C63"/>
    <mergeCell ref="D62:D63"/>
    <mergeCell ref="E62:E63"/>
    <mergeCell ref="A64:A65"/>
    <mergeCell ref="C64:C65"/>
    <mergeCell ref="D64:D65"/>
    <mergeCell ref="E64:E65"/>
    <mergeCell ref="A74:A75"/>
    <mergeCell ref="C74:C75"/>
    <mergeCell ref="D74:D75"/>
    <mergeCell ref="E74:E75"/>
    <mergeCell ref="A76:A77"/>
    <mergeCell ref="C76:C77"/>
    <mergeCell ref="D76:D77"/>
    <mergeCell ref="E76:E77"/>
    <mergeCell ref="A70:A71"/>
    <mergeCell ref="C70:C71"/>
    <mergeCell ref="D70:D71"/>
    <mergeCell ref="E70:E71"/>
    <mergeCell ref="A72:A73"/>
    <mergeCell ref="C72:C73"/>
    <mergeCell ref="D72:D73"/>
    <mergeCell ref="E72:E73"/>
    <mergeCell ref="A78:A79"/>
    <mergeCell ref="C78:C79"/>
    <mergeCell ref="D78:D79"/>
    <mergeCell ref="E78:E79"/>
    <mergeCell ref="F78:F79"/>
    <mergeCell ref="A80:A81"/>
    <mergeCell ref="C80:C81"/>
    <mergeCell ref="D80:D81"/>
    <mergeCell ref="E80:E81"/>
    <mergeCell ref="F80:F81"/>
    <mergeCell ref="A82:A83"/>
    <mergeCell ref="C82:C83"/>
    <mergeCell ref="D82:D83"/>
    <mergeCell ref="E82:E83"/>
    <mergeCell ref="F82:F83"/>
    <mergeCell ref="A84:A85"/>
    <mergeCell ref="C84:C85"/>
    <mergeCell ref="D84:D85"/>
    <mergeCell ref="E84:E85"/>
    <mergeCell ref="F84:F85"/>
    <mergeCell ref="A86:A87"/>
    <mergeCell ref="C86:C87"/>
    <mergeCell ref="D86:D87"/>
    <mergeCell ref="E86:E87"/>
    <mergeCell ref="F86:F87"/>
    <mergeCell ref="A88:A89"/>
    <mergeCell ref="C88:C89"/>
    <mergeCell ref="D88:D89"/>
    <mergeCell ref="E88:E89"/>
    <mergeCell ref="F88:F89"/>
    <mergeCell ref="A90:A91"/>
    <mergeCell ref="C90:C91"/>
    <mergeCell ref="D90:D91"/>
    <mergeCell ref="E90:E91"/>
    <mergeCell ref="F90:F91"/>
    <mergeCell ref="A92:A93"/>
    <mergeCell ref="C92:C93"/>
    <mergeCell ref="D92:D93"/>
    <mergeCell ref="E92:E93"/>
    <mergeCell ref="F92:F93"/>
    <mergeCell ref="A94:A95"/>
    <mergeCell ref="C94:C95"/>
    <mergeCell ref="D94:D95"/>
    <mergeCell ref="E94:E95"/>
    <mergeCell ref="F94:F95"/>
    <mergeCell ref="A96:A97"/>
    <mergeCell ref="C96:C97"/>
    <mergeCell ref="D96:D97"/>
    <mergeCell ref="E96:E97"/>
    <mergeCell ref="F96:F97"/>
    <mergeCell ref="A98:A99"/>
    <mergeCell ref="C98:C99"/>
    <mergeCell ref="D98:D99"/>
    <mergeCell ref="E98:E99"/>
    <mergeCell ref="F98:F99"/>
    <mergeCell ref="A100:A101"/>
    <mergeCell ref="C100:C101"/>
    <mergeCell ref="D100:D101"/>
    <mergeCell ref="E100:E101"/>
    <mergeCell ref="F100:F101"/>
    <mergeCell ref="A102:A103"/>
    <mergeCell ref="C102:C103"/>
    <mergeCell ref="D102:D103"/>
    <mergeCell ref="E102:E103"/>
    <mergeCell ref="F102:F103"/>
    <mergeCell ref="A104:A105"/>
    <mergeCell ref="C104:C105"/>
    <mergeCell ref="D104:D105"/>
    <mergeCell ref="E104:E105"/>
    <mergeCell ref="F104:F105"/>
    <mergeCell ref="A106:A107"/>
    <mergeCell ref="C106:C107"/>
    <mergeCell ref="D106:D107"/>
    <mergeCell ref="E106:E107"/>
    <mergeCell ref="F106:F107"/>
    <mergeCell ref="A108:A109"/>
    <mergeCell ref="C108:C109"/>
    <mergeCell ref="D108:D109"/>
    <mergeCell ref="E108:E109"/>
    <mergeCell ref="F108:F109"/>
    <mergeCell ref="A110:A111"/>
    <mergeCell ref="C110:C111"/>
    <mergeCell ref="D110:D111"/>
    <mergeCell ref="E110:E111"/>
    <mergeCell ref="F110:F111"/>
    <mergeCell ref="A112:A113"/>
    <mergeCell ref="C112:C113"/>
    <mergeCell ref="D112:D113"/>
    <mergeCell ref="E112:E113"/>
    <mergeCell ref="F112:F113"/>
    <mergeCell ref="A114:A115"/>
    <mergeCell ref="C114:C115"/>
    <mergeCell ref="D114:D115"/>
    <mergeCell ref="E114:E115"/>
    <mergeCell ref="F114:F115"/>
    <mergeCell ref="A116:A117"/>
    <mergeCell ref="C116:C117"/>
    <mergeCell ref="D116:D117"/>
    <mergeCell ref="E116:E117"/>
    <mergeCell ref="F116:F117"/>
    <mergeCell ref="A118:A119"/>
    <mergeCell ref="C118:C119"/>
    <mergeCell ref="D118:D119"/>
    <mergeCell ref="E118:E119"/>
    <mergeCell ref="F118:F119"/>
    <mergeCell ref="A120:A121"/>
    <mergeCell ref="C120:C121"/>
    <mergeCell ref="D120:D121"/>
    <mergeCell ref="E120:E121"/>
    <mergeCell ref="F120:F121"/>
    <mergeCell ref="A122:A123"/>
    <mergeCell ref="C122:C123"/>
    <mergeCell ref="D122:D123"/>
    <mergeCell ref="E122:E123"/>
    <mergeCell ref="F122:F123"/>
    <mergeCell ref="A124:A125"/>
    <mergeCell ref="C124:C125"/>
    <mergeCell ref="D124:D125"/>
    <mergeCell ref="E124:E125"/>
    <mergeCell ref="F124:F125"/>
    <mergeCell ref="A126:A127"/>
    <mergeCell ref="C126:C127"/>
    <mergeCell ref="D126:D127"/>
    <mergeCell ref="E126:E127"/>
    <mergeCell ref="F126:F127"/>
    <mergeCell ref="A128:A129"/>
    <mergeCell ref="C128:C129"/>
    <mergeCell ref="D128:D129"/>
    <mergeCell ref="E128:E129"/>
    <mergeCell ref="F128:F129"/>
    <mergeCell ref="A130:A131"/>
    <mergeCell ref="C130:C131"/>
    <mergeCell ref="D130:D131"/>
    <mergeCell ref="E130:E131"/>
    <mergeCell ref="F130:F131"/>
    <mergeCell ref="A132:A133"/>
    <mergeCell ref="C132:C133"/>
    <mergeCell ref="D132:D133"/>
    <mergeCell ref="E132:E133"/>
    <mergeCell ref="F132:F133"/>
    <mergeCell ref="A134:A135"/>
    <mergeCell ref="C134:C135"/>
    <mergeCell ref="D134:D135"/>
    <mergeCell ref="E134:E135"/>
    <mergeCell ref="F134:F135"/>
    <mergeCell ref="A136:A137"/>
    <mergeCell ref="C136:C137"/>
    <mergeCell ref="D136:D137"/>
    <mergeCell ref="E136:E137"/>
    <mergeCell ref="F136:F137"/>
    <mergeCell ref="A138:A139"/>
    <mergeCell ref="C138:C139"/>
    <mergeCell ref="D138:D139"/>
    <mergeCell ref="E138:E139"/>
    <mergeCell ref="F138:F139"/>
    <mergeCell ref="A140:A141"/>
    <mergeCell ref="C140:C141"/>
    <mergeCell ref="D140:D141"/>
    <mergeCell ref="E140:E141"/>
    <mergeCell ref="F140:F141"/>
    <mergeCell ref="A142:A143"/>
    <mergeCell ref="C142:C143"/>
    <mergeCell ref="D142:D143"/>
    <mergeCell ref="E142:E143"/>
    <mergeCell ref="F142:F143"/>
    <mergeCell ref="A144:A145"/>
    <mergeCell ref="C144:C145"/>
    <mergeCell ref="D144:D145"/>
    <mergeCell ref="E144:E145"/>
    <mergeCell ref="F144:F145"/>
    <mergeCell ref="A146:A147"/>
    <mergeCell ref="C146:C147"/>
    <mergeCell ref="D146:D147"/>
    <mergeCell ref="E146:E147"/>
    <mergeCell ref="F146:F147"/>
    <mergeCell ref="A148:A149"/>
    <mergeCell ref="C148:C149"/>
    <mergeCell ref="D148:D149"/>
    <mergeCell ref="E148:E149"/>
    <mergeCell ref="F148:F149"/>
    <mergeCell ref="A150:A151"/>
    <mergeCell ref="C150:C151"/>
    <mergeCell ref="D150:D151"/>
    <mergeCell ref="E150:E151"/>
    <mergeCell ref="F150:F151"/>
    <mergeCell ref="A152:A153"/>
    <mergeCell ref="C152:C153"/>
    <mergeCell ref="D152:D153"/>
    <mergeCell ref="E152:E153"/>
    <mergeCell ref="F152:F153"/>
    <mergeCell ref="A154:A155"/>
    <mergeCell ref="C154:C155"/>
    <mergeCell ref="D154:D155"/>
    <mergeCell ref="E154:E155"/>
    <mergeCell ref="F154:F155"/>
    <mergeCell ref="A156:A157"/>
    <mergeCell ref="C156:C157"/>
    <mergeCell ref="D156:D157"/>
    <mergeCell ref="E156:E157"/>
    <mergeCell ref="F156:F157"/>
    <mergeCell ref="A158:A159"/>
    <mergeCell ref="C158:C159"/>
    <mergeCell ref="D158:D159"/>
    <mergeCell ref="E158:E159"/>
    <mergeCell ref="F158:F159"/>
    <mergeCell ref="A160:A161"/>
    <mergeCell ref="B185:F185"/>
    <mergeCell ref="B186:F186"/>
    <mergeCell ref="B187:C187"/>
    <mergeCell ref="C160:C161"/>
    <mergeCell ref="D160:D161"/>
    <mergeCell ref="E160:E161"/>
    <mergeCell ref="F160:F161"/>
    <mergeCell ref="F166:F167"/>
    <mergeCell ref="A168:A169"/>
    <mergeCell ref="C168:C169"/>
    <mergeCell ref="D168:D169"/>
    <mergeCell ref="E168:E169"/>
    <mergeCell ref="F168:F169"/>
    <mergeCell ref="A170:A171"/>
    <mergeCell ref="C170:C171"/>
    <mergeCell ref="D170:D171"/>
    <mergeCell ref="E170:E171"/>
    <mergeCell ref="F170:F171"/>
    <mergeCell ref="E189:G189"/>
    <mergeCell ref="E191:G191"/>
    <mergeCell ref="A162:A163"/>
    <mergeCell ref="C162:C163"/>
    <mergeCell ref="D162:D163"/>
    <mergeCell ref="E162:E163"/>
    <mergeCell ref="F162:F163"/>
    <mergeCell ref="B184:F184"/>
    <mergeCell ref="A164:A165"/>
    <mergeCell ref="C164:C165"/>
    <mergeCell ref="D164:D165"/>
    <mergeCell ref="E164:E165"/>
    <mergeCell ref="F164:F165"/>
    <mergeCell ref="A166:A167"/>
    <mergeCell ref="C166:C167"/>
    <mergeCell ref="D166:D167"/>
    <mergeCell ref="E166:E167"/>
    <mergeCell ref="A172:A173"/>
    <mergeCell ref="C172:C173"/>
    <mergeCell ref="D172:D173"/>
    <mergeCell ref="E172:E173"/>
    <mergeCell ref="F172:F173"/>
    <mergeCell ref="A174:A175"/>
    <mergeCell ref="C174:C175"/>
    <mergeCell ref="A198:A199"/>
    <mergeCell ref="C198:C199"/>
    <mergeCell ref="E198:E199"/>
    <mergeCell ref="F198:F199"/>
    <mergeCell ref="A200:A201"/>
    <mergeCell ref="C200:C201"/>
    <mergeCell ref="E200:E201"/>
    <mergeCell ref="F200:F201"/>
    <mergeCell ref="E192:G192"/>
    <mergeCell ref="A194:A195"/>
    <mergeCell ref="C194:C195"/>
    <mergeCell ref="E194:E195"/>
    <mergeCell ref="F194:F195"/>
    <mergeCell ref="A196:A197"/>
    <mergeCell ref="C196:C197"/>
    <mergeCell ref="E196:E197"/>
    <mergeCell ref="F196:F197"/>
    <mergeCell ref="B206:F206"/>
    <mergeCell ref="F207:G207"/>
    <mergeCell ref="B209:F209"/>
    <mergeCell ref="B210:F210"/>
    <mergeCell ref="B211:F211"/>
    <mergeCell ref="B212:C212"/>
    <mergeCell ref="A202:A203"/>
    <mergeCell ref="C202:C203"/>
    <mergeCell ref="E202:E203"/>
    <mergeCell ref="F202:F203"/>
    <mergeCell ref="B204:F204"/>
    <mergeCell ref="B205:F205"/>
    <mergeCell ref="B208:C208"/>
  </mergeCells>
  <printOptions horizontalCentered="1"/>
  <pageMargins left="0.59055118110236227" right="0.59055118110236227" top="0.78740157480314965" bottom="0.59055118110236227" header="0.19685039370078741" footer="0.19685039370078741"/>
  <pageSetup paperSize="9" scale="93" orientation="landscape" r:id="rId1"/>
  <headerFooter alignWithMargins="0">
    <oddFooter>&amp;R&amp;P</oddFooter>
  </headerFooter>
  <rowBreaks count="4" manualBreakCount="4">
    <brk id="41" max="16383" man="1"/>
    <brk id="81" max="16383" man="1"/>
    <brk id="121" max="16383" man="1"/>
    <brk id="1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L17" sqref="L17"/>
    </sheetView>
  </sheetViews>
  <sheetFormatPr defaultColWidth="9.140625" defaultRowHeight="15" x14ac:dyDescent="0.25"/>
  <cols>
    <col min="1" max="1" width="10.7109375" style="1" customWidth="1"/>
    <col min="2" max="2" width="48.28515625" style="4" customWidth="1"/>
    <col min="3" max="3" width="10.28515625" style="1" customWidth="1"/>
    <col min="4" max="5" width="11.140625" style="1" customWidth="1"/>
    <col min="6" max="6" width="14.85546875" style="1" customWidth="1"/>
    <col min="7" max="7" width="12.5703125" style="1" customWidth="1"/>
    <col min="8" max="8" width="11.42578125" style="1" customWidth="1"/>
    <col min="9" max="9" width="12" style="1" customWidth="1"/>
    <col min="10" max="10" width="9.140625" style="1" customWidth="1"/>
    <col min="11" max="16384" width="9.140625" style="1"/>
  </cols>
  <sheetData>
    <row r="1" spans="1:17" x14ac:dyDescent="0.25">
      <c r="A1" s="1" t="s">
        <v>0</v>
      </c>
      <c r="H1" s="363" t="s">
        <v>392</v>
      </c>
      <c r="I1" s="363"/>
    </row>
    <row r="2" spans="1:17" x14ac:dyDescent="0.25">
      <c r="F2" s="363" t="s">
        <v>393</v>
      </c>
      <c r="G2" s="363"/>
      <c r="H2" s="363"/>
      <c r="I2" s="363"/>
    </row>
    <row r="3" spans="1:17" x14ac:dyDescent="0.25">
      <c r="I3" s="348" t="s">
        <v>806</v>
      </c>
      <c r="N3" s="28"/>
      <c r="O3" s="28"/>
      <c r="P3" s="28"/>
      <c r="Q3" s="28"/>
    </row>
    <row r="4" spans="1:17" ht="18.75" x14ac:dyDescent="0.3">
      <c r="A4" s="367" t="s">
        <v>418</v>
      </c>
      <c r="B4" s="367"/>
      <c r="C4" s="367"/>
      <c r="D4" s="367"/>
      <c r="E4" s="367"/>
      <c r="F4" s="367"/>
      <c r="G4" s="367"/>
      <c r="H4" s="367"/>
      <c r="I4" s="367"/>
    </row>
    <row r="6" spans="1:17" ht="18.75" x14ac:dyDescent="0.3">
      <c r="A6" s="31" t="s">
        <v>394</v>
      </c>
    </row>
    <row r="7" spans="1:17" s="4" customFormat="1" ht="57" x14ac:dyDescent="0.25">
      <c r="A7" s="29" t="s">
        <v>5</v>
      </c>
      <c r="B7" s="365" t="s">
        <v>384</v>
      </c>
      <c r="C7" s="365"/>
      <c r="D7" s="365"/>
      <c r="E7" s="365"/>
      <c r="F7" s="365"/>
      <c r="G7" s="29" t="s">
        <v>419</v>
      </c>
      <c r="H7" s="29" t="s">
        <v>395</v>
      </c>
      <c r="I7" s="328" t="s">
        <v>810</v>
      </c>
    </row>
    <row r="8" spans="1:17" x14ac:dyDescent="0.25">
      <c r="A8" s="13" t="s">
        <v>396</v>
      </c>
      <c r="B8" s="468" t="s">
        <v>397</v>
      </c>
      <c r="C8" s="468"/>
      <c r="D8" s="468"/>
      <c r="E8" s="468"/>
      <c r="F8" s="468"/>
      <c r="G8" s="15">
        <v>78000</v>
      </c>
      <c r="H8" s="346">
        <v>23758</v>
      </c>
      <c r="I8" s="15">
        <f>G8+H8</f>
        <v>101758</v>
      </c>
    </row>
    <row r="9" spans="1:17" x14ac:dyDescent="0.25">
      <c r="A9" s="13" t="s">
        <v>86</v>
      </c>
      <c r="B9" s="468" t="s">
        <v>90</v>
      </c>
      <c r="C9" s="468"/>
      <c r="D9" s="468"/>
      <c r="E9" s="468"/>
      <c r="F9" s="468"/>
      <c r="G9" s="15">
        <v>1762542</v>
      </c>
      <c r="H9" s="15"/>
      <c r="I9" s="15">
        <f>G9+H9</f>
        <v>1762542</v>
      </c>
    </row>
    <row r="10" spans="1:17" x14ac:dyDescent="0.25">
      <c r="A10" s="13" t="s">
        <v>398</v>
      </c>
      <c r="B10" s="468" t="s">
        <v>399</v>
      </c>
      <c r="C10" s="468"/>
      <c r="D10" s="468"/>
      <c r="E10" s="468"/>
      <c r="F10" s="468"/>
      <c r="G10" s="15">
        <f>1100+1000</f>
        <v>2100</v>
      </c>
      <c r="H10" s="15"/>
      <c r="I10" s="15">
        <f>G10+H10</f>
        <v>2100</v>
      </c>
    </row>
    <row r="11" spans="1:17" x14ac:dyDescent="0.25">
      <c r="A11" s="13" t="s">
        <v>116</v>
      </c>
      <c r="B11" s="468" t="s">
        <v>118</v>
      </c>
      <c r="C11" s="468"/>
      <c r="D11" s="468"/>
      <c r="E11" s="468"/>
      <c r="F11" s="468"/>
      <c r="G11" s="32">
        <v>440514</v>
      </c>
      <c r="H11" s="15"/>
      <c r="I11" s="15">
        <f>G11+H11</f>
        <v>440514</v>
      </c>
    </row>
    <row r="12" spans="1:17" x14ac:dyDescent="0.25">
      <c r="A12" s="11"/>
      <c r="B12" s="469" t="s">
        <v>400</v>
      </c>
      <c r="C12" s="469"/>
      <c r="D12" s="469"/>
      <c r="E12" s="469"/>
      <c r="F12" s="469"/>
      <c r="G12" s="14">
        <f>SUM(G8:G11)</f>
        <v>2283156</v>
      </c>
      <c r="H12" s="14">
        <f>SUM(H8:H11)</f>
        <v>23758</v>
      </c>
      <c r="I12" s="14">
        <f>SUM(I8:I11)</f>
        <v>2306914</v>
      </c>
    </row>
    <row r="14" spans="1:17" ht="18.75" x14ac:dyDescent="0.3">
      <c r="A14" s="31" t="s">
        <v>401</v>
      </c>
      <c r="B14" s="33"/>
    </row>
    <row r="15" spans="1:17" s="4" customFormat="1" x14ac:dyDescent="0.25">
      <c r="A15" s="365" t="s">
        <v>402</v>
      </c>
      <c r="B15" s="365" t="s">
        <v>403</v>
      </c>
      <c r="C15" s="365" t="s">
        <v>123</v>
      </c>
      <c r="D15" s="365"/>
      <c r="E15" s="365"/>
      <c r="F15" s="365"/>
      <c r="G15" s="365"/>
      <c r="H15" s="365" t="s">
        <v>404</v>
      </c>
      <c r="I15" s="366" t="s">
        <v>809</v>
      </c>
    </row>
    <row r="16" spans="1:17" ht="42.75" x14ac:dyDescent="0.25">
      <c r="A16" s="365"/>
      <c r="B16" s="365"/>
      <c r="C16" s="34" t="s">
        <v>405</v>
      </c>
      <c r="D16" s="34" t="s">
        <v>84</v>
      </c>
      <c r="E16" s="34" t="s">
        <v>774</v>
      </c>
      <c r="F16" s="34" t="s">
        <v>421</v>
      </c>
      <c r="G16" s="35" t="s">
        <v>420</v>
      </c>
      <c r="H16" s="365"/>
      <c r="I16" s="366"/>
    </row>
    <row r="17" spans="1:9" x14ac:dyDescent="0.25">
      <c r="A17" s="36" t="s">
        <v>406</v>
      </c>
      <c r="B17" s="46" t="s">
        <v>407</v>
      </c>
      <c r="C17" s="79">
        <f>SUM(C18:C28)</f>
        <v>78000</v>
      </c>
      <c r="D17" s="79">
        <f t="shared" ref="D17:F17" si="0">SUM(D18:D28)</f>
        <v>0</v>
      </c>
      <c r="E17" s="79"/>
      <c r="F17" s="79">
        <f t="shared" si="0"/>
        <v>47229</v>
      </c>
      <c r="G17" s="53">
        <f>SUM(C17:F17)</f>
        <v>125229</v>
      </c>
      <c r="H17" s="79">
        <f>SUM(H18:H28)</f>
        <v>23758</v>
      </c>
      <c r="I17" s="107">
        <f>G17+H17</f>
        <v>148987</v>
      </c>
    </row>
    <row r="18" spans="1:9" ht="38.25" x14ac:dyDescent="0.25">
      <c r="A18" s="36"/>
      <c r="B18" s="111" t="s">
        <v>431</v>
      </c>
      <c r="C18" s="84">
        <v>4183</v>
      </c>
      <c r="D18" s="84"/>
      <c r="E18" s="84"/>
      <c r="F18" s="84"/>
      <c r="G18" s="80">
        <f t="shared" ref="G18:G28" si="1">SUM(C18:F18)</f>
        <v>4183</v>
      </c>
      <c r="H18" s="112"/>
      <c r="I18" s="113">
        <f t="shared" ref="I18:I33" si="2">G18+H18</f>
        <v>4183</v>
      </c>
    </row>
    <row r="19" spans="1:9" ht="25.5" x14ac:dyDescent="0.25">
      <c r="A19" s="36"/>
      <c r="B19" s="111" t="s">
        <v>432</v>
      </c>
      <c r="C19" s="84"/>
      <c r="D19" s="84"/>
      <c r="E19" s="84"/>
      <c r="F19" s="84">
        <v>30000</v>
      </c>
      <c r="G19" s="80">
        <f t="shared" si="1"/>
        <v>30000</v>
      </c>
      <c r="H19" s="347">
        <v>-14659</v>
      </c>
      <c r="I19" s="113">
        <f t="shared" si="2"/>
        <v>15341</v>
      </c>
    </row>
    <row r="20" spans="1:9" ht="25.5" x14ac:dyDescent="0.25">
      <c r="A20" s="36"/>
      <c r="B20" s="111" t="s">
        <v>433</v>
      </c>
      <c r="C20" s="84">
        <v>28240</v>
      </c>
      <c r="D20" s="84"/>
      <c r="E20" s="84"/>
      <c r="F20" s="84">
        <v>17206</v>
      </c>
      <c r="G20" s="80">
        <f t="shared" si="1"/>
        <v>45446</v>
      </c>
      <c r="H20" s="347">
        <v>27219</v>
      </c>
      <c r="I20" s="113">
        <f t="shared" si="2"/>
        <v>72665</v>
      </c>
    </row>
    <row r="21" spans="1:9" ht="25.5" x14ac:dyDescent="0.25">
      <c r="A21" s="36"/>
      <c r="B21" s="111" t="s">
        <v>434</v>
      </c>
      <c r="C21" s="84">
        <v>2800</v>
      </c>
      <c r="D21" s="84"/>
      <c r="E21" s="84"/>
      <c r="F21" s="84"/>
      <c r="G21" s="80">
        <f t="shared" si="1"/>
        <v>2800</v>
      </c>
      <c r="H21" s="347"/>
      <c r="I21" s="113">
        <f t="shared" si="2"/>
        <v>2800</v>
      </c>
    </row>
    <row r="22" spans="1:9" ht="51" x14ac:dyDescent="0.25">
      <c r="A22" s="36"/>
      <c r="B22" s="111" t="s">
        <v>435</v>
      </c>
      <c r="C22" s="84">
        <v>477</v>
      </c>
      <c r="D22" s="84"/>
      <c r="E22" s="84"/>
      <c r="F22" s="84">
        <v>23</v>
      </c>
      <c r="G22" s="80">
        <f t="shared" si="1"/>
        <v>500</v>
      </c>
      <c r="H22" s="347">
        <v>-10</v>
      </c>
      <c r="I22" s="113">
        <f t="shared" si="2"/>
        <v>490</v>
      </c>
    </row>
    <row r="23" spans="1:9" ht="25.5" x14ac:dyDescent="0.25">
      <c r="A23" s="36"/>
      <c r="B23" s="111" t="s">
        <v>824</v>
      </c>
      <c r="C23" s="84">
        <v>25000</v>
      </c>
      <c r="D23" s="84"/>
      <c r="E23" s="84"/>
      <c r="F23" s="84"/>
      <c r="G23" s="80">
        <f t="shared" si="1"/>
        <v>25000</v>
      </c>
      <c r="H23" s="347">
        <f>9454</f>
        <v>9454</v>
      </c>
      <c r="I23" s="113">
        <f t="shared" si="2"/>
        <v>34454</v>
      </c>
    </row>
    <row r="24" spans="1:9" ht="27.75" customHeight="1" x14ac:dyDescent="0.25">
      <c r="A24" s="36"/>
      <c r="B24" s="111" t="s">
        <v>763</v>
      </c>
      <c r="C24" s="84">
        <v>15000</v>
      </c>
      <c r="D24" s="84"/>
      <c r="E24" s="84"/>
      <c r="F24" s="84"/>
      <c r="G24" s="80">
        <f t="shared" si="1"/>
        <v>15000</v>
      </c>
      <c r="H24" s="347">
        <v>-14164</v>
      </c>
      <c r="I24" s="113">
        <f t="shared" si="2"/>
        <v>836</v>
      </c>
    </row>
    <row r="25" spans="1:9" ht="36.75" customHeight="1" x14ac:dyDescent="0.25">
      <c r="A25" s="36"/>
      <c r="B25" s="111" t="s">
        <v>823</v>
      </c>
      <c r="C25" s="84">
        <v>0</v>
      </c>
      <c r="D25" s="84"/>
      <c r="E25" s="84"/>
      <c r="F25" s="84"/>
      <c r="G25" s="80">
        <f t="shared" si="1"/>
        <v>0</v>
      </c>
      <c r="H25" s="347">
        <f>48+647</f>
        <v>695</v>
      </c>
      <c r="I25" s="113">
        <f t="shared" si="2"/>
        <v>695</v>
      </c>
    </row>
    <row r="26" spans="1:9" ht="27.75" customHeight="1" x14ac:dyDescent="0.25">
      <c r="A26" s="36"/>
      <c r="B26" s="111" t="s">
        <v>825</v>
      </c>
      <c r="C26" s="84">
        <v>0</v>
      </c>
      <c r="D26" s="84"/>
      <c r="E26" s="84"/>
      <c r="F26" s="84"/>
      <c r="G26" s="80">
        <f t="shared" si="1"/>
        <v>0</v>
      </c>
      <c r="H26" s="347">
        <f>10000+5000</f>
        <v>15000</v>
      </c>
      <c r="I26" s="113">
        <f t="shared" si="2"/>
        <v>15000</v>
      </c>
    </row>
    <row r="27" spans="1:9" ht="27.75" customHeight="1" x14ac:dyDescent="0.25">
      <c r="A27" s="36"/>
      <c r="B27" s="111" t="s">
        <v>826</v>
      </c>
      <c r="C27" s="84">
        <v>0</v>
      </c>
      <c r="D27" s="84"/>
      <c r="E27" s="84"/>
      <c r="F27" s="84"/>
      <c r="G27" s="80">
        <f t="shared" si="1"/>
        <v>0</v>
      </c>
      <c r="H27" s="347">
        <v>2400</v>
      </c>
      <c r="I27" s="113">
        <f t="shared" si="2"/>
        <v>2400</v>
      </c>
    </row>
    <row r="28" spans="1:9" ht="38.25" x14ac:dyDescent="0.25">
      <c r="A28" s="36"/>
      <c r="B28" s="111" t="s">
        <v>764</v>
      </c>
      <c r="C28" s="84">
        <v>2300</v>
      </c>
      <c r="D28" s="84"/>
      <c r="E28" s="84"/>
      <c r="F28" s="84"/>
      <c r="G28" s="80">
        <f t="shared" si="1"/>
        <v>2300</v>
      </c>
      <c r="H28" s="112">
        <v>-2177</v>
      </c>
      <c r="I28" s="113">
        <f t="shared" si="2"/>
        <v>123</v>
      </c>
    </row>
    <row r="29" spans="1:9" x14ac:dyDescent="0.25">
      <c r="A29" s="36" t="s">
        <v>408</v>
      </c>
      <c r="B29" s="46" t="s">
        <v>409</v>
      </c>
      <c r="C29" s="79">
        <f>C30+C31</f>
        <v>0</v>
      </c>
      <c r="D29" s="79">
        <f>D30+D31</f>
        <v>1762542</v>
      </c>
      <c r="E29" s="79"/>
      <c r="F29" s="79">
        <f>F30+F31</f>
        <v>216801</v>
      </c>
      <c r="G29" s="53">
        <f>SUM(C29:F29)</f>
        <v>1979343</v>
      </c>
      <c r="H29" s="53">
        <f>SUM(H30:H31)</f>
        <v>0</v>
      </c>
      <c r="I29" s="107">
        <f t="shared" si="2"/>
        <v>1979343</v>
      </c>
    </row>
    <row r="30" spans="1:9" ht="15" customHeight="1" x14ac:dyDescent="0.25">
      <c r="A30" s="45"/>
      <c r="B30" s="102" t="s">
        <v>410</v>
      </c>
      <c r="C30" s="84"/>
      <c r="D30" s="84">
        <v>1239912</v>
      </c>
      <c r="E30" s="84"/>
      <c r="F30" s="84">
        <v>216801</v>
      </c>
      <c r="G30" s="84">
        <f>SUM(C30:F30)</f>
        <v>1456713</v>
      </c>
      <c r="H30" s="84"/>
      <c r="I30" s="84">
        <f t="shared" si="2"/>
        <v>1456713</v>
      </c>
    </row>
    <row r="31" spans="1:9" ht="26.25" customHeight="1" x14ac:dyDescent="0.25">
      <c r="A31" s="45"/>
      <c r="B31" s="102" t="s">
        <v>411</v>
      </c>
      <c r="C31" s="84"/>
      <c r="D31" s="84">
        <v>522630</v>
      </c>
      <c r="E31" s="84"/>
      <c r="F31" s="84">
        <v>0</v>
      </c>
      <c r="G31" s="84">
        <f>SUM(C31:F31)</f>
        <v>522630</v>
      </c>
      <c r="H31" s="108"/>
      <c r="I31" s="84">
        <f t="shared" si="2"/>
        <v>522630</v>
      </c>
    </row>
    <row r="32" spans="1:9" x14ac:dyDescent="0.25">
      <c r="A32" s="36" t="s">
        <v>412</v>
      </c>
      <c r="B32" s="110" t="s">
        <v>413</v>
      </c>
      <c r="C32" s="79"/>
      <c r="D32" s="79"/>
      <c r="E32" s="79">
        <f>1100+1000</f>
        <v>2100</v>
      </c>
      <c r="F32" s="79">
        <v>176484</v>
      </c>
      <c r="G32" s="53">
        <f>SUM(C32:F32)</f>
        <v>178584</v>
      </c>
      <c r="H32" s="109"/>
      <c r="I32" s="107">
        <f t="shared" si="2"/>
        <v>178584</v>
      </c>
    </row>
    <row r="33" spans="1:11" hidden="1" x14ac:dyDescent="0.25">
      <c r="A33" s="40" t="s">
        <v>436</v>
      </c>
      <c r="B33" s="114" t="s">
        <v>151</v>
      </c>
      <c r="C33" s="115"/>
      <c r="D33" s="115"/>
      <c r="E33" s="115"/>
      <c r="F33" s="115"/>
      <c r="G33" s="56">
        <f>SUM(C33:F33)</f>
        <v>0</v>
      </c>
      <c r="H33" s="59"/>
      <c r="I33" s="116">
        <f t="shared" si="2"/>
        <v>0</v>
      </c>
    </row>
    <row r="34" spans="1:11" x14ac:dyDescent="0.25">
      <c r="A34" s="39"/>
      <c r="B34" s="97" t="s">
        <v>414</v>
      </c>
      <c r="C34" s="52">
        <f t="shared" ref="C34:I34" si="3">C17+C29+C32+C33</f>
        <v>78000</v>
      </c>
      <c r="D34" s="52">
        <f>D17+D29+D32+D33</f>
        <v>1762542</v>
      </c>
      <c r="E34" s="52">
        <f>E17+E29+E32+E33</f>
        <v>2100</v>
      </c>
      <c r="F34" s="52">
        <f t="shared" si="3"/>
        <v>440514</v>
      </c>
      <c r="G34" s="52">
        <f>G17+G29+G32+G33</f>
        <v>2283156</v>
      </c>
      <c r="H34" s="52">
        <f t="shared" si="3"/>
        <v>23758</v>
      </c>
      <c r="I34" s="52">
        <f t="shared" si="3"/>
        <v>2306914</v>
      </c>
    </row>
    <row r="36" spans="1:11" ht="18.75" x14ac:dyDescent="0.3">
      <c r="A36" s="369" t="s">
        <v>126</v>
      </c>
      <c r="B36" s="369"/>
      <c r="C36" s="17"/>
      <c r="D36" s="17"/>
      <c r="E36" s="17"/>
      <c r="F36" s="17"/>
      <c r="G36" s="17"/>
      <c r="H36" s="30"/>
      <c r="I36" s="30" t="s">
        <v>127</v>
      </c>
      <c r="K36" s="17"/>
    </row>
  </sheetData>
  <mergeCells count="15">
    <mergeCell ref="H15:H16"/>
    <mergeCell ref="I15:I16"/>
    <mergeCell ref="A36:B36"/>
    <mergeCell ref="B10:F10"/>
    <mergeCell ref="B11:F11"/>
    <mergeCell ref="B12:F12"/>
    <mergeCell ref="A15:A16"/>
    <mergeCell ref="B15:B16"/>
    <mergeCell ref="C15:G15"/>
    <mergeCell ref="B9:F9"/>
    <mergeCell ref="H1:I1"/>
    <mergeCell ref="F2:I2"/>
    <mergeCell ref="A4:I4"/>
    <mergeCell ref="B7:F7"/>
    <mergeCell ref="B8:F8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94"/>
  <sheetViews>
    <sheetView showGridLines="0" zoomScale="90" zoomScaleNormal="90" workbookViewId="0">
      <selection activeCell="D181" sqref="D181:E181"/>
    </sheetView>
  </sheetViews>
  <sheetFormatPr defaultRowHeight="15.75" x14ac:dyDescent="0.25"/>
  <cols>
    <col min="1" max="1" width="2.7109375" style="285" customWidth="1"/>
    <col min="2" max="2" width="63.7109375" style="285" customWidth="1"/>
    <col min="3" max="3" width="12" style="285" customWidth="1"/>
    <col min="4" max="4" width="5.85546875" style="285" customWidth="1"/>
    <col min="5" max="5" width="5" style="285" customWidth="1"/>
    <col min="6" max="6" width="17" style="285" customWidth="1"/>
    <col min="7" max="256" width="9.140625" style="285"/>
    <col min="257" max="257" width="2.7109375" style="285" customWidth="1"/>
    <col min="258" max="258" width="66" style="285" customWidth="1"/>
    <col min="259" max="259" width="12" style="285" customWidth="1"/>
    <col min="260" max="260" width="5.85546875" style="285" customWidth="1"/>
    <col min="261" max="261" width="5.5703125" style="285" customWidth="1"/>
    <col min="262" max="262" width="17" style="285" customWidth="1"/>
    <col min="263" max="512" width="9.140625" style="285"/>
    <col min="513" max="513" width="2.7109375" style="285" customWidth="1"/>
    <col min="514" max="514" width="66" style="285" customWidth="1"/>
    <col min="515" max="515" width="12" style="285" customWidth="1"/>
    <col min="516" max="516" width="5.85546875" style="285" customWidth="1"/>
    <col min="517" max="517" width="5.5703125" style="285" customWidth="1"/>
    <col min="518" max="518" width="17" style="285" customWidth="1"/>
    <col min="519" max="768" width="9.140625" style="285"/>
    <col min="769" max="769" width="2.7109375" style="285" customWidth="1"/>
    <col min="770" max="770" width="66" style="285" customWidth="1"/>
    <col min="771" max="771" width="12" style="285" customWidth="1"/>
    <col min="772" max="772" width="5.85546875" style="285" customWidth="1"/>
    <col min="773" max="773" width="5.5703125" style="285" customWidth="1"/>
    <col min="774" max="774" width="17" style="285" customWidth="1"/>
    <col min="775" max="1024" width="9.140625" style="285"/>
    <col min="1025" max="1025" width="2.7109375" style="285" customWidth="1"/>
    <col min="1026" max="1026" width="66" style="285" customWidth="1"/>
    <col min="1027" max="1027" width="12" style="285" customWidth="1"/>
    <col min="1028" max="1028" width="5.85546875" style="285" customWidth="1"/>
    <col min="1029" max="1029" width="5.5703125" style="285" customWidth="1"/>
    <col min="1030" max="1030" width="17" style="285" customWidth="1"/>
    <col min="1031" max="1280" width="9.140625" style="285"/>
    <col min="1281" max="1281" width="2.7109375" style="285" customWidth="1"/>
    <col min="1282" max="1282" width="66" style="285" customWidth="1"/>
    <col min="1283" max="1283" width="12" style="285" customWidth="1"/>
    <col min="1284" max="1284" width="5.85546875" style="285" customWidth="1"/>
    <col min="1285" max="1285" width="5.5703125" style="285" customWidth="1"/>
    <col min="1286" max="1286" width="17" style="285" customWidth="1"/>
    <col min="1287" max="1536" width="9.140625" style="285"/>
    <col min="1537" max="1537" width="2.7109375" style="285" customWidth="1"/>
    <col min="1538" max="1538" width="66" style="285" customWidth="1"/>
    <col min="1539" max="1539" width="12" style="285" customWidth="1"/>
    <col min="1540" max="1540" width="5.85546875" style="285" customWidth="1"/>
    <col min="1541" max="1541" width="5.5703125" style="285" customWidth="1"/>
    <col min="1542" max="1542" width="17" style="285" customWidth="1"/>
    <col min="1543" max="1792" width="9.140625" style="285"/>
    <col min="1793" max="1793" width="2.7109375" style="285" customWidth="1"/>
    <col min="1794" max="1794" width="66" style="285" customWidth="1"/>
    <col min="1795" max="1795" width="12" style="285" customWidth="1"/>
    <col min="1796" max="1796" width="5.85546875" style="285" customWidth="1"/>
    <col min="1797" max="1797" width="5.5703125" style="285" customWidth="1"/>
    <col min="1798" max="1798" width="17" style="285" customWidth="1"/>
    <col min="1799" max="2048" width="9.140625" style="285"/>
    <col min="2049" max="2049" width="2.7109375" style="285" customWidth="1"/>
    <col min="2050" max="2050" width="66" style="285" customWidth="1"/>
    <col min="2051" max="2051" width="12" style="285" customWidth="1"/>
    <col min="2052" max="2052" width="5.85546875" style="285" customWidth="1"/>
    <col min="2053" max="2053" width="5.5703125" style="285" customWidth="1"/>
    <col min="2054" max="2054" width="17" style="285" customWidth="1"/>
    <col min="2055" max="2304" width="9.140625" style="285"/>
    <col min="2305" max="2305" width="2.7109375" style="285" customWidth="1"/>
    <col min="2306" max="2306" width="66" style="285" customWidth="1"/>
    <col min="2307" max="2307" width="12" style="285" customWidth="1"/>
    <col min="2308" max="2308" width="5.85546875" style="285" customWidth="1"/>
    <col min="2309" max="2309" width="5.5703125" style="285" customWidth="1"/>
    <col min="2310" max="2310" width="17" style="285" customWidth="1"/>
    <col min="2311" max="2560" width="9.140625" style="285"/>
    <col min="2561" max="2561" width="2.7109375" style="285" customWidth="1"/>
    <col min="2562" max="2562" width="66" style="285" customWidth="1"/>
    <col min="2563" max="2563" width="12" style="285" customWidth="1"/>
    <col min="2564" max="2564" width="5.85546875" style="285" customWidth="1"/>
    <col min="2565" max="2565" width="5.5703125" style="285" customWidth="1"/>
    <col min="2566" max="2566" width="17" style="285" customWidth="1"/>
    <col min="2567" max="2816" width="9.140625" style="285"/>
    <col min="2817" max="2817" width="2.7109375" style="285" customWidth="1"/>
    <col min="2818" max="2818" width="66" style="285" customWidth="1"/>
    <col min="2819" max="2819" width="12" style="285" customWidth="1"/>
    <col min="2820" max="2820" width="5.85546875" style="285" customWidth="1"/>
    <col min="2821" max="2821" width="5.5703125" style="285" customWidth="1"/>
    <col min="2822" max="2822" width="17" style="285" customWidth="1"/>
    <col min="2823" max="3072" width="9.140625" style="285"/>
    <col min="3073" max="3073" width="2.7109375" style="285" customWidth="1"/>
    <col min="3074" max="3074" width="66" style="285" customWidth="1"/>
    <col min="3075" max="3075" width="12" style="285" customWidth="1"/>
    <col min="3076" max="3076" width="5.85546875" style="285" customWidth="1"/>
    <col min="3077" max="3077" width="5.5703125" style="285" customWidth="1"/>
    <col min="3078" max="3078" width="17" style="285" customWidth="1"/>
    <col min="3079" max="3328" width="9.140625" style="285"/>
    <col min="3329" max="3329" width="2.7109375" style="285" customWidth="1"/>
    <col min="3330" max="3330" width="66" style="285" customWidth="1"/>
    <col min="3331" max="3331" width="12" style="285" customWidth="1"/>
    <col min="3332" max="3332" width="5.85546875" style="285" customWidth="1"/>
    <col min="3333" max="3333" width="5.5703125" style="285" customWidth="1"/>
    <col min="3334" max="3334" width="17" style="285" customWidth="1"/>
    <col min="3335" max="3584" width="9.140625" style="285"/>
    <col min="3585" max="3585" width="2.7109375" style="285" customWidth="1"/>
    <col min="3586" max="3586" width="66" style="285" customWidth="1"/>
    <col min="3587" max="3587" width="12" style="285" customWidth="1"/>
    <col min="3588" max="3588" width="5.85546875" style="285" customWidth="1"/>
    <col min="3589" max="3589" width="5.5703125" style="285" customWidth="1"/>
    <col min="3590" max="3590" width="17" style="285" customWidth="1"/>
    <col min="3591" max="3840" width="9.140625" style="285"/>
    <col min="3841" max="3841" width="2.7109375" style="285" customWidth="1"/>
    <col min="3842" max="3842" width="66" style="285" customWidth="1"/>
    <col min="3843" max="3843" width="12" style="285" customWidth="1"/>
    <col min="3844" max="3844" width="5.85546875" style="285" customWidth="1"/>
    <col min="3845" max="3845" width="5.5703125" style="285" customWidth="1"/>
    <col min="3846" max="3846" width="17" style="285" customWidth="1"/>
    <col min="3847" max="4096" width="9.140625" style="285"/>
    <col min="4097" max="4097" width="2.7109375" style="285" customWidth="1"/>
    <col min="4098" max="4098" width="66" style="285" customWidth="1"/>
    <col min="4099" max="4099" width="12" style="285" customWidth="1"/>
    <col min="4100" max="4100" width="5.85546875" style="285" customWidth="1"/>
    <col min="4101" max="4101" width="5.5703125" style="285" customWidth="1"/>
    <col min="4102" max="4102" width="17" style="285" customWidth="1"/>
    <col min="4103" max="4352" width="9.140625" style="285"/>
    <col min="4353" max="4353" width="2.7109375" style="285" customWidth="1"/>
    <col min="4354" max="4354" width="66" style="285" customWidth="1"/>
    <col min="4355" max="4355" width="12" style="285" customWidth="1"/>
    <col min="4356" max="4356" width="5.85546875" style="285" customWidth="1"/>
    <col min="4357" max="4357" width="5.5703125" style="285" customWidth="1"/>
    <col min="4358" max="4358" width="17" style="285" customWidth="1"/>
    <col min="4359" max="4608" width="9.140625" style="285"/>
    <col min="4609" max="4609" width="2.7109375" style="285" customWidth="1"/>
    <col min="4610" max="4610" width="66" style="285" customWidth="1"/>
    <col min="4611" max="4611" width="12" style="285" customWidth="1"/>
    <col min="4612" max="4612" width="5.85546875" style="285" customWidth="1"/>
    <col min="4613" max="4613" width="5.5703125" style="285" customWidth="1"/>
    <col min="4614" max="4614" width="17" style="285" customWidth="1"/>
    <col min="4615" max="4864" width="9.140625" style="285"/>
    <col min="4865" max="4865" width="2.7109375" style="285" customWidth="1"/>
    <col min="4866" max="4866" width="66" style="285" customWidth="1"/>
    <col min="4867" max="4867" width="12" style="285" customWidth="1"/>
    <col min="4868" max="4868" width="5.85546875" style="285" customWidth="1"/>
    <col min="4869" max="4869" width="5.5703125" style="285" customWidth="1"/>
    <col min="4870" max="4870" width="17" style="285" customWidth="1"/>
    <col min="4871" max="5120" width="9.140625" style="285"/>
    <col min="5121" max="5121" width="2.7109375" style="285" customWidth="1"/>
    <col min="5122" max="5122" width="66" style="285" customWidth="1"/>
    <col min="5123" max="5123" width="12" style="285" customWidth="1"/>
    <col min="5124" max="5124" width="5.85546875" style="285" customWidth="1"/>
    <col min="5125" max="5125" width="5.5703125" style="285" customWidth="1"/>
    <col min="5126" max="5126" width="17" style="285" customWidth="1"/>
    <col min="5127" max="5376" width="9.140625" style="285"/>
    <col min="5377" max="5377" width="2.7109375" style="285" customWidth="1"/>
    <col min="5378" max="5378" width="66" style="285" customWidth="1"/>
    <col min="5379" max="5379" width="12" style="285" customWidth="1"/>
    <col min="5380" max="5380" width="5.85546875" style="285" customWidth="1"/>
    <col min="5381" max="5381" width="5.5703125" style="285" customWidth="1"/>
    <col min="5382" max="5382" width="17" style="285" customWidth="1"/>
    <col min="5383" max="5632" width="9.140625" style="285"/>
    <col min="5633" max="5633" width="2.7109375" style="285" customWidth="1"/>
    <col min="5634" max="5634" width="66" style="285" customWidth="1"/>
    <col min="5635" max="5635" width="12" style="285" customWidth="1"/>
    <col min="5636" max="5636" width="5.85546875" style="285" customWidth="1"/>
    <col min="5637" max="5637" width="5.5703125" style="285" customWidth="1"/>
    <col min="5638" max="5638" width="17" style="285" customWidth="1"/>
    <col min="5639" max="5888" width="9.140625" style="285"/>
    <col min="5889" max="5889" width="2.7109375" style="285" customWidth="1"/>
    <col min="5890" max="5890" width="66" style="285" customWidth="1"/>
    <col min="5891" max="5891" width="12" style="285" customWidth="1"/>
    <col min="5892" max="5892" width="5.85546875" style="285" customWidth="1"/>
    <col min="5893" max="5893" width="5.5703125" style="285" customWidth="1"/>
    <col min="5894" max="5894" width="17" style="285" customWidth="1"/>
    <col min="5895" max="6144" width="9.140625" style="285"/>
    <col min="6145" max="6145" width="2.7109375" style="285" customWidth="1"/>
    <col min="6146" max="6146" width="66" style="285" customWidth="1"/>
    <col min="6147" max="6147" width="12" style="285" customWidth="1"/>
    <col min="6148" max="6148" width="5.85546875" style="285" customWidth="1"/>
    <col min="6149" max="6149" width="5.5703125" style="285" customWidth="1"/>
    <col min="6150" max="6150" width="17" style="285" customWidth="1"/>
    <col min="6151" max="6400" width="9.140625" style="285"/>
    <col min="6401" max="6401" width="2.7109375" style="285" customWidth="1"/>
    <col min="6402" max="6402" width="66" style="285" customWidth="1"/>
    <col min="6403" max="6403" width="12" style="285" customWidth="1"/>
    <col min="6404" max="6404" width="5.85546875" style="285" customWidth="1"/>
    <col min="6405" max="6405" width="5.5703125" style="285" customWidth="1"/>
    <col min="6406" max="6406" width="17" style="285" customWidth="1"/>
    <col min="6407" max="6656" width="9.140625" style="285"/>
    <col min="6657" max="6657" width="2.7109375" style="285" customWidth="1"/>
    <col min="6658" max="6658" width="66" style="285" customWidth="1"/>
    <col min="6659" max="6659" width="12" style="285" customWidth="1"/>
    <col min="6660" max="6660" width="5.85546875" style="285" customWidth="1"/>
    <col min="6661" max="6661" width="5.5703125" style="285" customWidth="1"/>
    <col min="6662" max="6662" width="17" style="285" customWidth="1"/>
    <col min="6663" max="6912" width="9.140625" style="285"/>
    <col min="6913" max="6913" width="2.7109375" style="285" customWidth="1"/>
    <col min="6914" max="6914" width="66" style="285" customWidth="1"/>
    <col min="6915" max="6915" width="12" style="285" customWidth="1"/>
    <col min="6916" max="6916" width="5.85546875" style="285" customWidth="1"/>
    <col min="6917" max="6917" width="5.5703125" style="285" customWidth="1"/>
    <col min="6918" max="6918" width="17" style="285" customWidth="1"/>
    <col min="6919" max="7168" width="9.140625" style="285"/>
    <col min="7169" max="7169" width="2.7109375" style="285" customWidth="1"/>
    <col min="7170" max="7170" width="66" style="285" customWidth="1"/>
    <col min="7171" max="7171" width="12" style="285" customWidth="1"/>
    <col min="7172" max="7172" width="5.85546875" style="285" customWidth="1"/>
    <col min="7173" max="7173" width="5.5703125" style="285" customWidth="1"/>
    <col min="7174" max="7174" width="17" style="285" customWidth="1"/>
    <col min="7175" max="7424" width="9.140625" style="285"/>
    <col min="7425" max="7425" width="2.7109375" style="285" customWidth="1"/>
    <col min="7426" max="7426" width="66" style="285" customWidth="1"/>
    <col min="7427" max="7427" width="12" style="285" customWidth="1"/>
    <col min="7428" max="7428" width="5.85546875" style="285" customWidth="1"/>
    <col min="7429" max="7429" width="5.5703125" style="285" customWidth="1"/>
    <col min="7430" max="7430" width="17" style="285" customWidth="1"/>
    <col min="7431" max="7680" width="9.140625" style="285"/>
    <col min="7681" max="7681" width="2.7109375" style="285" customWidth="1"/>
    <col min="7682" max="7682" width="66" style="285" customWidth="1"/>
    <col min="7683" max="7683" width="12" style="285" customWidth="1"/>
    <col min="7684" max="7684" width="5.85546875" style="285" customWidth="1"/>
    <col min="7685" max="7685" width="5.5703125" style="285" customWidth="1"/>
    <col min="7686" max="7686" width="17" style="285" customWidth="1"/>
    <col min="7687" max="7936" width="9.140625" style="285"/>
    <col min="7937" max="7937" width="2.7109375" style="285" customWidth="1"/>
    <col min="7938" max="7938" width="66" style="285" customWidth="1"/>
    <col min="7939" max="7939" width="12" style="285" customWidth="1"/>
    <col min="7940" max="7940" width="5.85546875" style="285" customWidth="1"/>
    <col min="7941" max="7941" width="5.5703125" style="285" customWidth="1"/>
    <col min="7942" max="7942" width="17" style="285" customWidth="1"/>
    <col min="7943" max="8192" width="9.140625" style="285"/>
    <col min="8193" max="8193" width="2.7109375" style="285" customWidth="1"/>
    <col min="8194" max="8194" width="66" style="285" customWidth="1"/>
    <col min="8195" max="8195" width="12" style="285" customWidth="1"/>
    <col min="8196" max="8196" width="5.85546875" style="285" customWidth="1"/>
    <col min="8197" max="8197" width="5.5703125" style="285" customWidth="1"/>
    <col min="8198" max="8198" width="17" style="285" customWidth="1"/>
    <col min="8199" max="8448" width="9.140625" style="285"/>
    <col min="8449" max="8449" width="2.7109375" style="285" customWidth="1"/>
    <col min="8450" max="8450" width="66" style="285" customWidth="1"/>
    <col min="8451" max="8451" width="12" style="285" customWidth="1"/>
    <col min="8452" max="8452" width="5.85546875" style="285" customWidth="1"/>
    <col min="8453" max="8453" width="5.5703125" style="285" customWidth="1"/>
    <col min="8454" max="8454" width="17" style="285" customWidth="1"/>
    <col min="8455" max="8704" width="9.140625" style="285"/>
    <col min="8705" max="8705" width="2.7109375" style="285" customWidth="1"/>
    <col min="8706" max="8706" width="66" style="285" customWidth="1"/>
    <col min="8707" max="8707" width="12" style="285" customWidth="1"/>
    <col min="8708" max="8708" width="5.85546875" style="285" customWidth="1"/>
    <col min="8709" max="8709" width="5.5703125" style="285" customWidth="1"/>
    <col min="8710" max="8710" width="17" style="285" customWidth="1"/>
    <col min="8711" max="8960" width="9.140625" style="285"/>
    <col min="8961" max="8961" width="2.7109375" style="285" customWidth="1"/>
    <col min="8962" max="8962" width="66" style="285" customWidth="1"/>
    <col min="8963" max="8963" width="12" style="285" customWidth="1"/>
    <col min="8964" max="8964" width="5.85546875" style="285" customWidth="1"/>
    <col min="8965" max="8965" width="5.5703125" style="285" customWidth="1"/>
    <col min="8966" max="8966" width="17" style="285" customWidth="1"/>
    <col min="8967" max="9216" width="9.140625" style="285"/>
    <col min="9217" max="9217" width="2.7109375" style="285" customWidth="1"/>
    <col min="9218" max="9218" width="66" style="285" customWidth="1"/>
    <col min="9219" max="9219" width="12" style="285" customWidth="1"/>
    <col min="9220" max="9220" width="5.85546875" style="285" customWidth="1"/>
    <col min="9221" max="9221" width="5.5703125" style="285" customWidth="1"/>
    <col min="9222" max="9222" width="17" style="285" customWidth="1"/>
    <col min="9223" max="9472" width="9.140625" style="285"/>
    <col min="9473" max="9473" width="2.7109375" style="285" customWidth="1"/>
    <col min="9474" max="9474" width="66" style="285" customWidth="1"/>
    <col min="9475" max="9475" width="12" style="285" customWidth="1"/>
    <col min="9476" max="9476" width="5.85546875" style="285" customWidth="1"/>
    <col min="9477" max="9477" width="5.5703125" style="285" customWidth="1"/>
    <col min="9478" max="9478" width="17" style="285" customWidth="1"/>
    <col min="9479" max="9728" width="9.140625" style="285"/>
    <col min="9729" max="9729" width="2.7109375" style="285" customWidth="1"/>
    <col min="9730" max="9730" width="66" style="285" customWidth="1"/>
    <col min="9731" max="9731" width="12" style="285" customWidth="1"/>
    <col min="9732" max="9732" width="5.85546875" style="285" customWidth="1"/>
    <col min="9733" max="9733" width="5.5703125" style="285" customWidth="1"/>
    <col min="9734" max="9734" width="17" style="285" customWidth="1"/>
    <col min="9735" max="9984" width="9.140625" style="285"/>
    <col min="9985" max="9985" width="2.7109375" style="285" customWidth="1"/>
    <col min="9986" max="9986" width="66" style="285" customWidth="1"/>
    <col min="9987" max="9987" width="12" style="285" customWidth="1"/>
    <col min="9988" max="9988" width="5.85546875" style="285" customWidth="1"/>
    <col min="9989" max="9989" width="5.5703125" style="285" customWidth="1"/>
    <col min="9990" max="9990" width="17" style="285" customWidth="1"/>
    <col min="9991" max="10240" width="9.140625" style="285"/>
    <col min="10241" max="10241" width="2.7109375" style="285" customWidth="1"/>
    <col min="10242" max="10242" width="66" style="285" customWidth="1"/>
    <col min="10243" max="10243" width="12" style="285" customWidth="1"/>
    <col min="10244" max="10244" width="5.85546875" style="285" customWidth="1"/>
    <col min="10245" max="10245" width="5.5703125" style="285" customWidth="1"/>
    <col min="10246" max="10246" width="17" style="285" customWidth="1"/>
    <col min="10247" max="10496" width="9.140625" style="285"/>
    <col min="10497" max="10497" width="2.7109375" style="285" customWidth="1"/>
    <col min="10498" max="10498" width="66" style="285" customWidth="1"/>
    <col min="10499" max="10499" width="12" style="285" customWidth="1"/>
    <col min="10500" max="10500" width="5.85546875" style="285" customWidth="1"/>
    <col min="10501" max="10501" width="5.5703125" style="285" customWidth="1"/>
    <col min="10502" max="10502" width="17" style="285" customWidth="1"/>
    <col min="10503" max="10752" width="9.140625" style="285"/>
    <col min="10753" max="10753" width="2.7109375" style="285" customWidth="1"/>
    <col min="10754" max="10754" width="66" style="285" customWidth="1"/>
    <col min="10755" max="10755" width="12" style="285" customWidth="1"/>
    <col min="10756" max="10756" width="5.85546875" style="285" customWidth="1"/>
    <col min="10757" max="10757" width="5.5703125" style="285" customWidth="1"/>
    <col min="10758" max="10758" width="17" style="285" customWidth="1"/>
    <col min="10759" max="11008" width="9.140625" style="285"/>
    <col min="11009" max="11009" width="2.7109375" style="285" customWidth="1"/>
    <col min="11010" max="11010" width="66" style="285" customWidth="1"/>
    <col min="11011" max="11011" width="12" style="285" customWidth="1"/>
    <col min="11012" max="11012" width="5.85546875" style="285" customWidth="1"/>
    <col min="11013" max="11013" width="5.5703125" style="285" customWidth="1"/>
    <col min="11014" max="11014" width="17" style="285" customWidth="1"/>
    <col min="11015" max="11264" width="9.140625" style="285"/>
    <col min="11265" max="11265" width="2.7109375" style="285" customWidth="1"/>
    <col min="11266" max="11266" width="66" style="285" customWidth="1"/>
    <col min="11267" max="11267" width="12" style="285" customWidth="1"/>
    <col min="11268" max="11268" width="5.85546875" style="285" customWidth="1"/>
    <col min="11269" max="11269" width="5.5703125" style="285" customWidth="1"/>
    <col min="11270" max="11270" width="17" style="285" customWidth="1"/>
    <col min="11271" max="11520" width="9.140625" style="285"/>
    <col min="11521" max="11521" width="2.7109375" style="285" customWidth="1"/>
    <col min="11522" max="11522" width="66" style="285" customWidth="1"/>
    <col min="11523" max="11523" width="12" style="285" customWidth="1"/>
    <col min="11524" max="11524" width="5.85546875" style="285" customWidth="1"/>
    <col min="11525" max="11525" width="5.5703125" style="285" customWidth="1"/>
    <col min="11526" max="11526" width="17" style="285" customWidth="1"/>
    <col min="11527" max="11776" width="9.140625" style="285"/>
    <col min="11777" max="11777" width="2.7109375" style="285" customWidth="1"/>
    <col min="11778" max="11778" width="66" style="285" customWidth="1"/>
    <col min="11779" max="11779" width="12" style="285" customWidth="1"/>
    <col min="11780" max="11780" width="5.85546875" style="285" customWidth="1"/>
    <col min="11781" max="11781" width="5.5703125" style="285" customWidth="1"/>
    <col min="11782" max="11782" width="17" style="285" customWidth="1"/>
    <col min="11783" max="12032" width="9.140625" style="285"/>
    <col min="12033" max="12033" width="2.7109375" style="285" customWidth="1"/>
    <col min="12034" max="12034" width="66" style="285" customWidth="1"/>
    <col min="12035" max="12035" width="12" style="285" customWidth="1"/>
    <col min="12036" max="12036" width="5.85546875" style="285" customWidth="1"/>
    <col min="12037" max="12037" width="5.5703125" style="285" customWidth="1"/>
    <col min="12038" max="12038" width="17" style="285" customWidth="1"/>
    <col min="12039" max="12288" width="9.140625" style="285"/>
    <col min="12289" max="12289" width="2.7109375" style="285" customWidth="1"/>
    <col min="12290" max="12290" width="66" style="285" customWidth="1"/>
    <col min="12291" max="12291" width="12" style="285" customWidth="1"/>
    <col min="12292" max="12292" width="5.85546875" style="285" customWidth="1"/>
    <col min="12293" max="12293" width="5.5703125" style="285" customWidth="1"/>
    <col min="12294" max="12294" width="17" style="285" customWidth="1"/>
    <col min="12295" max="12544" width="9.140625" style="285"/>
    <col min="12545" max="12545" width="2.7109375" style="285" customWidth="1"/>
    <col min="12546" max="12546" width="66" style="285" customWidth="1"/>
    <col min="12547" max="12547" width="12" style="285" customWidth="1"/>
    <col min="12548" max="12548" width="5.85546875" style="285" customWidth="1"/>
    <col min="12549" max="12549" width="5.5703125" style="285" customWidth="1"/>
    <col min="12550" max="12550" width="17" style="285" customWidth="1"/>
    <col min="12551" max="12800" width="9.140625" style="285"/>
    <col min="12801" max="12801" width="2.7109375" style="285" customWidth="1"/>
    <col min="12802" max="12802" width="66" style="285" customWidth="1"/>
    <col min="12803" max="12803" width="12" style="285" customWidth="1"/>
    <col min="12804" max="12804" width="5.85546875" style="285" customWidth="1"/>
    <col min="12805" max="12805" width="5.5703125" style="285" customWidth="1"/>
    <col min="12806" max="12806" width="17" style="285" customWidth="1"/>
    <col min="12807" max="13056" width="9.140625" style="285"/>
    <col min="13057" max="13057" width="2.7109375" style="285" customWidth="1"/>
    <col min="13058" max="13058" width="66" style="285" customWidth="1"/>
    <col min="13059" max="13059" width="12" style="285" customWidth="1"/>
    <col min="13060" max="13060" width="5.85546875" style="285" customWidth="1"/>
    <col min="13061" max="13061" width="5.5703125" style="285" customWidth="1"/>
    <col min="13062" max="13062" width="17" style="285" customWidth="1"/>
    <col min="13063" max="13312" width="9.140625" style="285"/>
    <col min="13313" max="13313" width="2.7109375" style="285" customWidth="1"/>
    <col min="13314" max="13314" width="66" style="285" customWidth="1"/>
    <col min="13315" max="13315" width="12" style="285" customWidth="1"/>
    <col min="13316" max="13316" width="5.85546875" style="285" customWidth="1"/>
    <col min="13317" max="13317" width="5.5703125" style="285" customWidth="1"/>
    <col min="13318" max="13318" width="17" style="285" customWidth="1"/>
    <col min="13319" max="13568" width="9.140625" style="285"/>
    <col min="13569" max="13569" width="2.7109375" style="285" customWidth="1"/>
    <col min="13570" max="13570" width="66" style="285" customWidth="1"/>
    <col min="13571" max="13571" width="12" style="285" customWidth="1"/>
    <col min="13572" max="13572" width="5.85546875" style="285" customWidth="1"/>
    <col min="13573" max="13573" width="5.5703125" style="285" customWidth="1"/>
    <col min="13574" max="13574" width="17" style="285" customWidth="1"/>
    <col min="13575" max="13824" width="9.140625" style="285"/>
    <col min="13825" max="13825" width="2.7109375" style="285" customWidth="1"/>
    <col min="13826" max="13826" width="66" style="285" customWidth="1"/>
    <col min="13827" max="13827" width="12" style="285" customWidth="1"/>
    <col min="13828" max="13828" width="5.85546875" style="285" customWidth="1"/>
    <col min="13829" max="13829" width="5.5703125" style="285" customWidth="1"/>
    <col min="13830" max="13830" width="17" style="285" customWidth="1"/>
    <col min="13831" max="14080" width="9.140625" style="285"/>
    <col min="14081" max="14081" width="2.7109375" style="285" customWidth="1"/>
    <col min="14082" max="14082" width="66" style="285" customWidth="1"/>
    <col min="14083" max="14083" width="12" style="285" customWidth="1"/>
    <col min="14084" max="14084" width="5.85546875" style="285" customWidth="1"/>
    <col min="14085" max="14085" width="5.5703125" style="285" customWidth="1"/>
    <col min="14086" max="14086" width="17" style="285" customWidth="1"/>
    <col min="14087" max="14336" width="9.140625" style="285"/>
    <col min="14337" max="14337" width="2.7109375" style="285" customWidth="1"/>
    <col min="14338" max="14338" width="66" style="285" customWidth="1"/>
    <col min="14339" max="14339" width="12" style="285" customWidth="1"/>
    <col min="14340" max="14340" width="5.85546875" style="285" customWidth="1"/>
    <col min="14341" max="14341" width="5.5703125" style="285" customWidth="1"/>
    <col min="14342" max="14342" width="17" style="285" customWidth="1"/>
    <col min="14343" max="14592" width="9.140625" style="285"/>
    <col min="14593" max="14593" width="2.7109375" style="285" customWidth="1"/>
    <col min="14594" max="14594" width="66" style="285" customWidth="1"/>
    <col min="14595" max="14595" width="12" style="285" customWidth="1"/>
    <col min="14596" max="14596" width="5.85546875" style="285" customWidth="1"/>
    <col min="14597" max="14597" width="5.5703125" style="285" customWidth="1"/>
    <col min="14598" max="14598" width="17" style="285" customWidth="1"/>
    <col min="14599" max="14848" width="9.140625" style="285"/>
    <col min="14849" max="14849" width="2.7109375" style="285" customWidth="1"/>
    <col min="14850" max="14850" width="66" style="285" customWidth="1"/>
    <col min="14851" max="14851" width="12" style="285" customWidth="1"/>
    <col min="14852" max="14852" width="5.85546875" style="285" customWidth="1"/>
    <col min="14853" max="14853" width="5.5703125" style="285" customWidth="1"/>
    <col min="14854" max="14854" width="17" style="285" customWidth="1"/>
    <col min="14855" max="15104" width="9.140625" style="285"/>
    <col min="15105" max="15105" width="2.7109375" style="285" customWidth="1"/>
    <col min="15106" max="15106" width="66" style="285" customWidth="1"/>
    <col min="15107" max="15107" width="12" style="285" customWidth="1"/>
    <col min="15108" max="15108" width="5.85546875" style="285" customWidth="1"/>
    <col min="15109" max="15109" width="5.5703125" style="285" customWidth="1"/>
    <col min="15110" max="15110" width="17" style="285" customWidth="1"/>
    <col min="15111" max="15360" width="9.140625" style="285"/>
    <col min="15361" max="15361" width="2.7109375" style="285" customWidth="1"/>
    <col min="15362" max="15362" width="66" style="285" customWidth="1"/>
    <col min="15363" max="15363" width="12" style="285" customWidth="1"/>
    <col min="15364" max="15364" width="5.85546875" style="285" customWidth="1"/>
    <col min="15365" max="15365" width="5.5703125" style="285" customWidth="1"/>
    <col min="15366" max="15366" width="17" style="285" customWidth="1"/>
    <col min="15367" max="15616" width="9.140625" style="285"/>
    <col min="15617" max="15617" width="2.7109375" style="285" customWidth="1"/>
    <col min="15618" max="15618" width="66" style="285" customWidth="1"/>
    <col min="15619" max="15619" width="12" style="285" customWidth="1"/>
    <col min="15620" max="15620" width="5.85546875" style="285" customWidth="1"/>
    <col min="15621" max="15621" width="5.5703125" style="285" customWidth="1"/>
    <col min="15622" max="15622" width="17" style="285" customWidth="1"/>
    <col min="15623" max="15872" width="9.140625" style="285"/>
    <col min="15873" max="15873" width="2.7109375" style="285" customWidth="1"/>
    <col min="15874" max="15874" width="66" style="285" customWidth="1"/>
    <col min="15875" max="15875" width="12" style="285" customWidth="1"/>
    <col min="15876" max="15876" width="5.85546875" style="285" customWidth="1"/>
    <col min="15877" max="15877" width="5.5703125" style="285" customWidth="1"/>
    <col min="15878" max="15878" width="17" style="285" customWidth="1"/>
    <col min="15879" max="16128" width="9.140625" style="285"/>
    <col min="16129" max="16129" width="2.7109375" style="285" customWidth="1"/>
    <col min="16130" max="16130" width="66" style="285" customWidth="1"/>
    <col min="16131" max="16131" width="12" style="285" customWidth="1"/>
    <col min="16132" max="16132" width="5.85546875" style="285" customWidth="1"/>
    <col min="16133" max="16133" width="5.5703125" style="285" customWidth="1"/>
    <col min="16134" max="16134" width="17" style="285" customWidth="1"/>
    <col min="16135" max="16384" width="9.140625" style="285"/>
  </cols>
  <sheetData>
    <row r="1" spans="1:6" x14ac:dyDescent="0.25">
      <c r="A1" s="285" t="s">
        <v>0</v>
      </c>
      <c r="F1" s="287" t="s">
        <v>725</v>
      </c>
    </row>
    <row r="2" spans="1:6" x14ac:dyDescent="0.25">
      <c r="F2" s="288" t="s">
        <v>391</v>
      </c>
    </row>
    <row r="3" spans="1:6" x14ac:dyDescent="0.25">
      <c r="A3" s="331"/>
      <c r="B3" s="331"/>
      <c r="C3" s="331"/>
      <c r="D3" s="331"/>
      <c r="E3" s="331"/>
      <c r="F3" s="288" t="s">
        <v>811</v>
      </c>
    </row>
    <row r="4" spans="1:6" x14ac:dyDescent="0.25">
      <c r="A4" s="331"/>
      <c r="B4" s="331"/>
      <c r="C4" s="331"/>
      <c r="D4" s="331"/>
      <c r="E4" s="331"/>
      <c r="F4" s="331"/>
    </row>
    <row r="5" spans="1:6" ht="44.25" customHeight="1" x14ac:dyDescent="0.25">
      <c r="A5" s="331"/>
      <c r="B5" s="470" t="s">
        <v>726</v>
      </c>
      <c r="C5" s="471"/>
      <c r="D5" s="471"/>
      <c r="E5" s="471"/>
      <c r="F5" s="471"/>
    </row>
    <row r="6" spans="1:6" ht="31.5" customHeight="1" x14ac:dyDescent="0.25">
      <c r="A6" s="472" t="s">
        <v>384</v>
      </c>
      <c r="B6" s="473"/>
      <c r="C6" s="332" t="s">
        <v>696</v>
      </c>
      <c r="D6" s="472" t="s">
        <v>727</v>
      </c>
      <c r="E6" s="473"/>
      <c r="F6" s="332" t="s">
        <v>807</v>
      </c>
    </row>
    <row r="7" spans="1:6" ht="15.75" customHeight="1" x14ac:dyDescent="0.25">
      <c r="A7" s="382" t="s">
        <v>697</v>
      </c>
      <c r="B7" s="373"/>
      <c r="C7" s="373"/>
      <c r="D7" s="373"/>
      <c r="E7" s="373"/>
      <c r="F7" s="373"/>
    </row>
    <row r="8" spans="1:6" ht="15.75" customHeight="1" x14ac:dyDescent="0.25">
      <c r="A8" s="382" t="s">
        <v>698</v>
      </c>
      <c r="B8" s="373"/>
      <c r="C8" s="291">
        <v>16308</v>
      </c>
      <c r="D8" s="474">
        <v>0</v>
      </c>
      <c r="E8" s="474"/>
      <c r="F8" s="291">
        <v>16308</v>
      </c>
    </row>
    <row r="9" spans="1:6" ht="15.75" customHeight="1" x14ac:dyDescent="0.25">
      <c r="A9" s="372" t="s">
        <v>702</v>
      </c>
      <c r="B9" s="373"/>
      <c r="C9" s="292">
        <v>16308</v>
      </c>
      <c r="D9" s="475">
        <v>0</v>
      </c>
      <c r="E9" s="475"/>
      <c r="F9" s="292">
        <v>16308</v>
      </c>
    </row>
    <row r="10" spans="1:6" ht="15.75" customHeight="1" x14ac:dyDescent="0.25">
      <c r="A10" s="372" t="s">
        <v>703</v>
      </c>
      <c r="B10" s="373"/>
      <c r="C10" s="292">
        <v>16308</v>
      </c>
      <c r="D10" s="475">
        <v>0</v>
      </c>
      <c r="E10" s="475"/>
      <c r="F10" s="292">
        <v>16308</v>
      </c>
    </row>
    <row r="11" spans="1:6" ht="14.25" customHeight="1" x14ac:dyDescent="0.25"/>
    <row r="12" spans="1:6" ht="15.75" customHeight="1" x14ac:dyDescent="0.25">
      <c r="A12" s="382" t="s">
        <v>707</v>
      </c>
      <c r="B12" s="373"/>
      <c r="C12" s="373"/>
      <c r="D12" s="373"/>
      <c r="E12" s="373"/>
      <c r="F12" s="373"/>
    </row>
    <row r="13" spans="1:6" ht="15.75" customHeight="1" x14ac:dyDescent="0.25">
      <c r="A13" s="382" t="s">
        <v>698</v>
      </c>
      <c r="B13" s="373"/>
      <c r="C13" s="291">
        <v>16308</v>
      </c>
      <c r="D13" s="474">
        <v>0</v>
      </c>
      <c r="E13" s="474"/>
      <c r="F13" s="291">
        <v>16308</v>
      </c>
    </row>
    <row r="14" spans="1:6" ht="15.75" customHeight="1" x14ac:dyDescent="0.25">
      <c r="A14" s="372" t="s">
        <v>702</v>
      </c>
      <c r="B14" s="373"/>
      <c r="C14" s="292">
        <v>16308</v>
      </c>
      <c r="D14" s="475">
        <v>0</v>
      </c>
      <c r="E14" s="475"/>
      <c r="F14" s="292">
        <v>16308</v>
      </c>
    </row>
    <row r="15" spans="1:6" ht="15.75" customHeight="1" x14ac:dyDescent="0.25">
      <c r="A15" s="372" t="s">
        <v>703</v>
      </c>
      <c r="B15" s="373"/>
      <c r="C15" s="292">
        <v>16308</v>
      </c>
      <c r="D15" s="475">
        <v>0</v>
      </c>
      <c r="E15" s="475"/>
      <c r="F15" s="292">
        <v>16308</v>
      </c>
    </row>
    <row r="16" spans="1:6" ht="14.25" customHeight="1" x14ac:dyDescent="0.25"/>
    <row r="17" spans="1:6" ht="15.75" customHeight="1" x14ac:dyDescent="0.25">
      <c r="A17" s="382" t="s">
        <v>708</v>
      </c>
      <c r="B17" s="373"/>
      <c r="C17" s="373"/>
      <c r="D17" s="373"/>
      <c r="E17" s="373"/>
      <c r="F17" s="373"/>
    </row>
    <row r="18" spans="1:6" ht="15.75" customHeight="1" x14ac:dyDescent="0.25">
      <c r="A18" s="382" t="s">
        <v>698</v>
      </c>
      <c r="B18" s="373"/>
      <c r="C18" s="291">
        <v>2300</v>
      </c>
      <c r="D18" s="474">
        <v>-2177</v>
      </c>
      <c r="E18" s="474"/>
      <c r="F18" s="291">
        <v>123</v>
      </c>
    </row>
    <row r="19" spans="1:6" ht="15.75" customHeight="1" x14ac:dyDescent="0.25">
      <c r="A19" s="372" t="s">
        <v>702</v>
      </c>
      <c r="B19" s="373"/>
      <c r="C19" s="292">
        <v>2300</v>
      </c>
      <c r="D19" s="475">
        <v>-2177</v>
      </c>
      <c r="E19" s="475"/>
      <c r="F19" s="292">
        <v>123</v>
      </c>
    </row>
    <row r="20" spans="1:6" ht="15.75" customHeight="1" x14ac:dyDescent="0.25">
      <c r="A20" s="372" t="s">
        <v>703</v>
      </c>
      <c r="B20" s="373"/>
      <c r="C20" s="292">
        <v>2048</v>
      </c>
      <c r="D20" s="475">
        <v>-1925</v>
      </c>
      <c r="E20" s="475"/>
      <c r="F20" s="292">
        <v>123</v>
      </c>
    </row>
    <row r="21" spans="1:6" ht="31.5" customHeight="1" x14ac:dyDescent="0.25">
      <c r="A21" s="372" t="s">
        <v>704</v>
      </c>
      <c r="B21" s="373"/>
      <c r="C21" s="292">
        <v>252</v>
      </c>
      <c r="D21" s="475">
        <v>-252</v>
      </c>
      <c r="E21" s="475"/>
      <c r="F21" s="292">
        <v>0</v>
      </c>
    </row>
    <row r="22" spans="1:6" ht="14.25" customHeight="1" x14ac:dyDescent="0.25"/>
    <row r="23" spans="1:6" ht="15.75" customHeight="1" x14ac:dyDescent="0.25">
      <c r="A23" s="382" t="s">
        <v>728</v>
      </c>
      <c r="B23" s="373"/>
      <c r="C23" s="373"/>
      <c r="D23" s="373"/>
      <c r="E23" s="373"/>
      <c r="F23" s="373"/>
    </row>
    <row r="24" spans="1:6" ht="15.75" customHeight="1" x14ac:dyDescent="0.25">
      <c r="A24" s="382" t="s">
        <v>698</v>
      </c>
      <c r="B24" s="373"/>
      <c r="C24" s="350">
        <v>2300</v>
      </c>
      <c r="D24" s="474">
        <v>-2177</v>
      </c>
      <c r="E24" s="474"/>
      <c r="F24" s="350">
        <v>123</v>
      </c>
    </row>
    <row r="25" spans="1:6" ht="15.75" customHeight="1" x14ac:dyDescent="0.25">
      <c r="A25" s="372" t="s">
        <v>702</v>
      </c>
      <c r="B25" s="373"/>
      <c r="C25" s="351">
        <v>2300</v>
      </c>
      <c r="D25" s="475">
        <v>-2177</v>
      </c>
      <c r="E25" s="475"/>
      <c r="F25" s="351">
        <v>123</v>
      </c>
    </row>
    <row r="26" spans="1:6" ht="15.75" customHeight="1" x14ac:dyDescent="0.25">
      <c r="A26" s="372" t="s">
        <v>703</v>
      </c>
      <c r="B26" s="373"/>
      <c r="C26" s="351">
        <v>2048</v>
      </c>
      <c r="D26" s="475">
        <v>-1925</v>
      </c>
      <c r="E26" s="475"/>
      <c r="F26" s="351">
        <v>123</v>
      </c>
    </row>
    <row r="27" spans="1:6" ht="31.5" customHeight="1" x14ac:dyDescent="0.25">
      <c r="A27" s="372" t="s">
        <v>704</v>
      </c>
      <c r="B27" s="373"/>
      <c r="C27" s="351">
        <v>252</v>
      </c>
      <c r="D27" s="475">
        <v>-252</v>
      </c>
      <c r="E27" s="475"/>
      <c r="F27" s="351">
        <v>0</v>
      </c>
    </row>
    <row r="28" spans="1:6" ht="14.25" customHeight="1" x14ac:dyDescent="0.25"/>
    <row r="29" spans="1:6" ht="15.75" customHeight="1" x14ac:dyDescent="0.25">
      <c r="A29" s="382" t="s">
        <v>709</v>
      </c>
      <c r="B29" s="373"/>
      <c r="C29" s="373"/>
      <c r="D29" s="373"/>
      <c r="E29" s="373"/>
      <c r="F29" s="373"/>
    </row>
    <row r="30" spans="1:6" ht="15.75" customHeight="1" x14ac:dyDescent="0.25">
      <c r="A30" s="382" t="s">
        <v>698</v>
      </c>
      <c r="B30" s="373"/>
      <c r="C30" s="291">
        <v>1979343</v>
      </c>
      <c r="D30" s="474">
        <v>0</v>
      </c>
      <c r="E30" s="474"/>
      <c r="F30" s="291">
        <v>1979343</v>
      </c>
    </row>
    <row r="31" spans="1:6" ht="15.75" customHeight="1" x14ac:dyDescent="0.25">
      <c r="A31" s="372" t="s">
        <v>699</v>
      </c>
      <c r="B31" s="373"/>
      <c r="C31" s="292">
        <v>59818</v>
      </c>
      <c r="D31" s="475">
        <v>0</v>
      </c>
      <c r="E31" s="475"/>
      <c r="F31" s="292">
        <v>59818</v>
      </c>
    </row>
    <row r="32" spans="1:6" ht="15.75" customHeight="1" x14ac:dyDescent="0.25">
      <c r="A32" s="372" t="s">
        <v>700</v>
      </c>
      <c r="B32" s="373"/>
      <c r="C32" s="292">
        <f>46464-1200</f>
        <v>45264</v>
      </c>
      <c r="D32" s="475">
        <v>0</v>
      </c>
      <c r="E32" s="476"/>
      <c r="F32" s="292">
        <v>45264</v>
      </c>
    </row>
    <row r="33" spans="1:6" ht="15.75" customHeight="1" x14ac:dyDescent="0.25">
      <c r="A33" s="372" t="s">
        <v>701</v>
      </c>
      <c r="B33" s="373"/>
      <c r="C33" s="292">
        <f>13354+1200</f>
        <v>14554</v>
      </c>
      <c r="D33" s="475">
        <v>0</v>
      </c>
      <c r="E33" s="476"/>
      <c r="F33" s="292">
        <v>14554</v>
      </c>
    </row>
    <row r="34" spans="1:6" ht="15.75" customHeight="1" x14ac:dyDescent="0.25">
      <c r="A34" s="372" t="s">
        <v>702</v>
      </c>
      <c r="B34" s="373"/>
      <c r="C34" s="292">
        <v>946995</v>
      </c>
      <c r="D34" s="475">
        <v>0</v>
      </c>
      <c r="E34" s="475"/>
      <c r="F34" s="292">
        <v>946995</v>
      </c>
    </row>
    <row r="35" spans="1:6" ht="15.75" customHeight="1" x14ac:dyDescent="0.25">
      <c r="A35" s="372" t="s">
        <v>703</v>
      </c>
      <c r="B35" s="373"/>
      <c r="C35" s="292">
        <v>935995</v>
      </c>
      <c r="D35" s="475">
        <v>0</v>
      </c>
      <c r="E35" s="475"/>
      <c r="F35" s="292">
        <v>935995</v>
      </c>
    </row>
    <row r="36" spans="1:6" ht="31.5" customHeight="1" x14ac:dyDescent="0.25">
      <c r="A36" s="372" t="s">
        <v>704</v>
      </c>
      <c r="B36" s="373"/>
      <c r="C36" s="292">
        <v>11000</v>
      </c>
      <c r="D36" s="475">
        <v>0</v>
      </c>
      <c r="E36" s="475"/>
      <c r="F36" s="292">
        <v>11000</v>
      </c>
    </row>
    <row r="37" spans="1:6" ht="15.75" customHeight="1" x14ac:dyDescent="0.25">
      <c r="A37" s="372" t="s">
        <v>710</v>
      </c>
      <c r="B37" s="373"/>
      <c r="C37" s="292">
        <v>522630</v>
      </c>
      <c r="D37" s="475">
        <v>0</v>
      </c>
      <c r="E37" s="475"/>
      <c r="F37" s="292">
        <v>522630</v>
      </c>
    </row>
    <row r="38" spans="1:6" ht="31.5" customHeight="1" x14ac:dyDescent="0.25">
      <c r="A38" s="372" t="s">
        <v>712</v>
      </c>
      <c r="B38" s="373"/>
      <c r="C38" s="292">
        <v>522630</v>
      </c>
      <c r="D38" s="475">
        <v>0</v>
      </c>
      <c r="E38" s="475"/>
      <c r="F38" s="292">
        <v>522630</v>
      </c>
    </row>
    <row r="39" spans="1:6" ht="15.75" customHeight="1" x14ac:dyDescent="0.25">
      <c r="A39" s="372" t="s">
        <v>705</v>
      </c>
      <c r="B39" s="373"/>
      <c r="C39" s="292">
        <v>449900</v>
      </c>
      <c r="D39" s="475">
        <v>0</v>
      </c>
      <c r="E39" s="475"/>
      <c r="F39" s="292">
        <v>449900</v>
      </c>
    </row>
    <row r="40" spans="1:6" ht="15.75" customHeight="1" x14ac:dyDescent="0.25">
      <c r="A40" s="372" t="s">
        <v>706</v>
      </c>
      <c r="B40" s="373"/>
      <c r="C40" s="292">
        <v>449900</v>
      </c>
      <c r="D40" s="475">
        <v>0</v>
      </c>
      <c r="E40" s="475"/>
      <c r="F40" s="292">
        <v>449900</v>
      </c>
    </row>
    <row r="41" spans="1:6" ht="14.25" customHeight="1" x14ac:dyDescent="0.25"/>
    <row r="42" spans="1:6" ht="15.75" customHeight="1" x14ac:dyDescent="0.25">
      <c r="A42" s="382" t="s">
        <v>729</v>
      </c>
      <c r="B42" s="373"/>
      <c r="C42" s="373"/>
      <c r="D42" s="373"/>
      <c r="E42" s="373"/>
      <c r="F42" s="373"/>
    </row>
    <row r="43" spans="1:6" ht="15.75" customHeight="1" x14ac:dyDescent="0.25">
      <c r="A43" s="382" t="s">
        <v>698</v>
      </c>
      <c r="B43" s="373"/>
      <c r="C43" s="291">
        <v>522630</v>
      </c>
      <c r="D43" s="474">
        <v>0</v>
      </c>
      <c r="E43" s="474"/>
      <c r="F43" s="291">
        <v>522630</v>
      </c>
    </row>
    <row r="44" spans="1:6" ht="15.75" customHeight="1" x14ac:dyDescent="0.25">
      <c r="A44" s="372" t="s">
        <v>710</v>
      </c>
      <c r="B44" s="373"/>
      <c r="C44" s="292">
        <v>522630</v>
      </c>
      <c r="D44" s="475">
        <v>0</v>
      </c>
      <c r="E44" s="475"/>
      <c r="F44" s="292">
        <v>522630</v>
      </c>
    </row>
    <row r="45" spans="1:6" ht="31.5" customHeight="1" x14ac:dyDescent="0.25">
      <c r="A45" s="372" t="s">
        <v>712</v>
      </c>
      <c r="B45" s="373"/>
      <c r="C45" s="292">
        <v>522630</v>
      </c>
      <c r="D45" s="475">
        <v>0</v>
      </c>
      <c r="E45" s="475"/>
      <c r="F45" s="292">
        <v>522630</v>
      </c>
    </row>
    <row r="46" spans="1:6" ht="14.25" customHeight="1" x14ac:dyDescent="0.25"/>
    <row r="47" spans="1:6" ht="15.75" customHeight="1" x14ac:dyDescent="0.25">
      <c r="A47" s="382" t="s">
        <v>713</v>
      </c>
      <c r="B47" s="373"/>
      <c r="C47" s="373"/>
      <c r="D47" s="373"/>
      <c r="E47" s="373"/>
      <c r="F47" s="373"/>
    </row>
    <row r="48" spans="1:6" ht="15.75" customHeight="1" x14ac:dyDescent="0.25">
      <c r="A48" s="382" t="s">
        <v>698</v>
      </c>
      <c r="B48" s="373"/>
      <c r="C48" s="291">
        <v>1456713</v>
      </c>
      <c r="D48" s="474">
        <v>0</v>
      </c>
      <c r="E48" s="474"/>
      <c r="F48" s="291">
        <v>1456713</v>
      </c>
    </row>
    <row r="49" spans="1:6" ht="15.75" customHeight="1" x14ac:dyDescent="0.25">
      <c r="A49" s="372" t="s">
        <v>699</v>
      </c>
      <c r="B49" s="373"/>
      <c r="C49" s="292">
        <v>59818</v>
      </c>
      <c r="D49" s="475">
        <v>0</v>
      </c>
      <c r="E49" s="475"/>
      <c r="F49" s="292">
        <v>59818</v>
      </c>
    </row>
    <row r="50" spans="1:6" ht="15.75" customHeight="1" x14ac:dyDescent="0.25">
      <c r="A50" s="372" t="s">
        <v>700</v>
      </c>
      <c r="B50" s="373"/>
      <c r="C50" s="292">
        <f>46464-1200</f>
        <v>45264</v>
      </c>
      <c r="D50" s="475">
        <v>0</v>
      </c>
      <c r="E50" s="476"/>
      <c r="F50" s="292">
        <v>45264</v>
      </c>
    </row>
    <row r="51" spans="1:6" ht="15.75" customHeight="1" x14ac:dyDescent="0.25">
      <c r="A51" s="372" t="s">
        <v>701</v>
      </c>
      <c r="B51" s="373"/>
      <c r="C51" s="292">
        <f>13354+1200</f>
        <v>14554</v>
      </c>
      <c r="D51" s="475">
        <v>0</v>
      </c>
      <c r="E51" s="476"/>
      <c r="F51" s="292">
        <v>14554</v>
      </c>
    </row>
    <row r="52" spans="1:6" ht="15.75" customHeight="1" x14ac:dyDescent="0.25">
      <c r="A52" s="372" t="s">
        <v>702</v>
      </c>
      <c r="B52" s="373"/>
      <c r="C52" s="292">
        <v>946995</v>
      </c>
      <c r="D52" s="475">
        <v>0</v>
      </c>
      <c r="E52" s="475"/>
      <c r="F52" s="292">
        <v>946995</v>
      </c>
    </row>
    <row r="53" spans="1:6" ht="15.75" customHeight="1" x14ac:dyDescent="0.25">
      <c r="A53" s="372" t="s">
        <v>703</v>
      </c>
      <c r="B53" s="373"/>
      <c r="C53" s="292">
        <v>935995</v>
      </c>
      <c r="D53" s="475">
        <v>0</v>
      </c>
      <c r="E53" s="475"/>
      <c r="F53" s="292">
        <v>935995</v>
      </c>
    </row>
    <row r="54" spans="1:6" ht="31.5" customHeight="1" x14ac:dyDescent="0.25">
      <c r="A54" s="372" t="s">
        <v>704</v>
      </c>
      <c r="B54" s="373"/>
      <c r="C54" s="292">
        <v>11000</v>
      </c>
      <c r="D54" s="475">
        <v>0</v>
      </c>
      <c r="E54" s="475"/>
      <c r="F54" s="292">
        <v>11000</v>
      </c>
    </row>
    <row r="55" spans="1:6" ht="15.75" customHeight="1" x14ac:dyDescent="0.25">
      <c r="A55" s="372" t="s">
        <v>705</v>
      </c>
      <c r="B55" s="373"/>
      <c r="C55" s="292">
        <v>449900</v>
      </c>
      <c r="D55" s="475">
        <v>0</v>
      </c>
      <c r="E55" s="475"/>
      <c r="F55" s="292">
        <v>449900</v>
      </c>
    </row>
    <row r="56" spans="1:6" ht="15.75" customHeight="1" x14ac:dyDescent="0.25">
      <c r="A56" s="372" t="s">
        <v>706</v>
      </c>
      <c r="B56" s="373"/>
      <c r="C56" s="292">
        <v>449900</v>
      </c>
      <c r="D56" s="475">
        <v>0</v>
      </c>
      <c r="E56" s="475"/>
      <c r="F56" s="292">
        <v>449900</v>
      </c>
    </row>
    <row r="57" spans="1:6" ht="14.25" customHeight="1" x14ac:dyDescent="0.25"/>
    <row r="58" spans="1:6" ht="15.75" customHeight="1" x14ac:dyDescent="0.25">
      <c r="A58" s="382" t="s">
        <v>714</v>
      </c>
      <c r="B58" s="373"/>
      <c r="C58" s="373"/>
      <c r="D58" s="373"/>
      <c r="E58" s="373"/>
      <c r="F58" s="373"/>
    </row>
    <row r="59" spans="1:6" ht="15.75" customHeight="1" x14ac:dyDescent="0.25">
      <c r="A59" s="382" t="s">
        <v>698</v>
      </c>
      <c r="B59" s="373"/>
      <c r="C59" s="291">
        <v>119649</v>
      </c>
      <c r="D59" s="474">
        <v>25935</v>
      </c>
      <c r="E59" s="474"/>
      <c r="F59" s="291">
        <v>145584</v>
      </c>
    </row>
    <row r="60" spans="1:6" ht="15.75" customHeight="1" x14ac:dyDescent="0.25">
      <c r="A60" s="372" t="s">
        <v>702</v>
      </c>
      <c r="B60" s="373"/>
      <c r="C60" s="292">
        <v>15020</v>
      </c>
      <c r="D60" s="475">
        <v>1521</v>
      </c>
      <c r="E60" s="475"/>
      <c r="F60" s="292">
        <v>16541</v>
      </c>
    </row>
    <row r="61" spans="1:6" ht="15.75" customHeight="1" x14ac:dyDescent="0.25">
      <c r="A61" s="372" t="s">
        <v>703</v>
      </c>
      <c r="B61" s="373"/>
      <c r="C61" s="292">
        <v>15020</v>
      </c>
      <c r="D61" s="475">
        <v>1521</v>
      </c>
      <c r="E61" s="475"/>
      <c r="F61" s="292">
        <v>16541</v>
      </c>
    </row>
    <row r="62" spans="1:6" ht="15.75" customHeight="1" x14ac:dyDescent="0.25">
      <c r="A62" s="372" t="s">
        <v>710</v>
      </c>
      <c r="B62" s="373"/>
      <c r="C62" s="292">
        <v>79629</v>
      </c>
      <c r="D62" s="475">
        <v>12560</v>
      </c>
      <c r="E62" s="475"/>
      <c r="F62" s="292">
        <v>92189</v>
      </c>
    </row>
    <row r="63" spans="1:6" ht="31.5" customHeight="1" x14ac:dyDescent="0.25">
      <c r="A63" s="372" t="s">
        <v>711</v>
      </c>
      <c r="B63" s="373"/>
      <c r="C63" s="292">
        <v>79629</v>
      </c>
      <c r="D63" s="475">
        <v>12560</v>
      </c>
      <c r="E63" s="475"/>
      <c r="F63" s="292">
        <v>92189</v>
      </c>
    </row>
    <row r="64" spans="1:6" ht="15.75" customHeight="1" x14ac:dyDescent="0.25">
      <c r="A64" s="372" t="s">
        <v>705</v>
      </c>
      <c r="B64" s="373"/>
      <c r="C64" s="292">
        <v>25000</v>
      </c>
      <c r="D64" s="475">
        <v>11854</v>
      </c>
      <c r="E64" s="475"/>
      <c r="F64" s="292">
        <v>36854</v>
      </c>
    </row>
    <row r="65" spans="1:6" ht="15.75" customHeight="1" x14ac:dyDescent="0.25">
      <c r="A65" s="372" t="s">
        <v>706</v>
      </c>
      <c r="B65" s="373"/>
      <c r="C65" s="292">
        <v>25000</v>
      </c>
      <c r="D65" s="475">
        <v>11854</v>
      </c>
      <c r="E65" s="475"/>
      <c r="F65" s="292">
        <v>36854</v>
      </c>
    </row>
    <row r="66" spans="1:6" ht="14.25" customHeight="1" x14ac:dyDescent="0.25"/>
    <row r="67" spans="1:6" ht="15.75" customHeight="1" x14ac:dyDescent="0.25">
      <c r="A67" s="382" t="s">
        <v>715</v>
      </c>
      <c r="B67" s="373"/>
      <c r="C67" s="373"/>
      <c r="D67" s="373"/>
      <c r="E67" s="373"/>
      <c r="F67" s="373"/>
    </row>
    <row r="68" spans="1:6" ht="15.75" customHeight="1" x14ac:dyDescent="0.25">
      <c r="A68" s="382" t="s">
        <v>698</v>
      </c>
      <c r="B68" s="373"/>
      <c r="C68" s="291">
        <v>40000</v>
      </c>
      <c r="D68" s="474">
        <v>13385</v>
      </c>
      <c r="E68" s="474"/>
      <c r="F68" s="291">
        <v>53385</v>
      </c>
    </row>
    <row r="69" spans="1:6" ht="15.75" customHeight="1" x14ac:dyDescent="0.25">
      <c r="A69" s="372" t="s">
        <v>702</v>
      </c>
      <c r="B69" s="373"/>
      <c r="C69" s="292">
        <v>15000</v>
      </c>
      <c r="D69" s="475">
        <v>1531</v>
      </c>
      <c r="E69" s="475"/>
      <c r="F69" s="292">
        <v>16531</v>
      </c>
    </row>
    <row r="70" spans="1:6" ht="15.75" customHeight="1" x14ac:dyDescent="0.25">
      <c r="A70" s="372" t="s">
        <v>703</v>
      </c>
      <c r="B70" s="373"/>
      <c r="C70" s="292">
        <v>15000</v>
      </c>
      <c r="D70" s="475">
        <v>1531</v>
      </c>
      <c r="E70" s="475"/>
      <c r="F70" s="292">
        <v>16531</v>
      </c>
    </row>
    <row r="71" spans="1:6" ht="15.75" customHeight="1" x14ac:dyDescent="0.25">
      <c r="A71" s="372" t="s">
        <v>705</v>
      </c>
      <c r="B71" s="373"/>
      <c r="C71" s="292">
        <v>25000</v>
      </c>
      <c r="D71" s="475">
        <v>11854</v>
      </c>
      <c r="E71" s="475"/>
      <c r="F71" s="292">
        <v>36854</v>
      </c>
    </row>
    <row r="72" spans="1:6" ht="15.75" customHeight="1" x14ac:dyDescent="0.25">
      <c r="A72" s="372" t="s">
        <v>706</v>
      </c>
      <c r="B72" s="373"/>
      <c r="C72" s="292">
        <v>25000</v>
      </c>
      <c r="D72" s="475">
        <v>11854</v>
      </c>
      <c r="E72" s="475"/>
      <c r="F72" s="292">
        <v>36854</v>
      </c>
    </row>
    <row r="73" spans="1:6" ht="14.25" customHeight="1" x14ac:dyDescent="0.25"/>
    <row r="74" spans="1:6" ht="15.75" customHeight="1" x14ac:dyDescent="0.25">
      <c r="A74" s="382" t="s">
        <v>730</v>
      </c>
      <c r="B74" s="373"/>
      <c r="C74" s="373"/>
      <c r="D74" s="373"/>
      <c r="E74" s="373"/>
      <c r="F74" s="373"/>
    </row>
    <row r="75" spans="1:6" ht="15.75" customHeight="1" x14ac:dyDescent="0.25">
      <c r="A75" s="382" t="s">
        <v>698</v>
      </c>
      <c r="B75" s="373"/>
      <c r="C75" s="291">
        <v>79649</v>
      </c>
      <c r="D75" s="474">
        <v>12550</v>
      </c>
      <c r="E75" s="474"/>
      <c r="F75" s="291">
        <v>92199</v>
      </c>
    </row>
    <row r="76" spans="1:6" ht="15.75" customHeight="1" x14ac:dyDescent="0.25">
      <c r="A76" s="372" t="s">
        <v>702</v>
      </c>
      <c r="B76" s="373"/>
      <c r="C76" s="292">
        <v>20</v>
      </c>
      <c r="D76" s="475">
        <v>-10</v>
      </c>
      <c r="E76" s="475"/>
      <c r="F76" s="292">
        <v>10</v>
      </c>
    </row>
    <row r="77" spans="1:6" ht="15.75" customHeight="1" x14ac:dyDescent="0.25">
      <c r="A77" s="372" t="s">
        <v>703</v>
      </c>
      <c r="B77" s="373"/>
      <c r="C77" s="292">
        <v>20</v>
      </c>
      <c r="D77" s="475">
        <v>-10</v>
      </c>
      <c r="E77" s="475"/>
      <c r="F77" s="292">
        <v>10</v>
      </c>
    </row>
    <row r="78" spans="1:6" ht="15.75" customHeight="1" x14ac:dyDescent="0.25">
      <c r="A78" s="372" t="s">
        <v>710</v>
      </c>
      <c r="B78" s="373"/>
      <c r="C78" s="292">
        <v>79629</v>
      </c>
      <c r="D78" s="475">
        <v>12560</v>
      </c>
      <c r="E78" s="475"/>
      <c r="F78" s="292">
        <v>92189</v>
      </c>
    </row>
    <row r="79" spans="1:6" ht="31.5" customHeight="1" x14ac:dyDescent="0.25">
      <c r="A79" s="372" t="s">
        <v>711</v>
      </c>
      <c r="B79" s="373"/>
      <c r="C79" s="292">
        <v>79629</v>
      </c>
      <c r="D79" s="475">
        <v>12560</v>
      </c>
      <c r="E79" s="475"/>
      <c r="F79" s="292">
        <v>92189</v>
      </c>
    </row>
    <row r="80" spans="1:6" ht="14.25" customHeight="1" x14ac:dyDescent="0.25"/>
    <row r="81" spans="1:6" ht="15.75" customHeight="1" x14ac:dyDescent="0.25">
      <c r="A81" s="382" t="s">
        <v>716</v>
      </c>
      <c r="B81" s="373"/>
      <c r="C81" s="373"/>
      <c r="D81" s="373"/>
      <c r="E81" s="373"/>
      <c r="F81" s="373"/>
    </row>
    <row r="82" spans="1:6" ht="15.75" customHeight="1" x14ac:dyDescent="0.25">
      <c r="A82" s="382" t="s">
        <v>698</v>
      </c>
      <c r="B82" s="373"/>
      <c r="C82" s="291">
        <v>1100</v>
      </c>
      <c r="D82" s="474">
        <v>0</v>
      </c>
      <c r="E82" s="476"/>
      <c r="F82" s="291">
        <v>1100</v>
      </c>
    </row>
    <row r="83" spans="1:6" ht="15.75" customHeight="1" x14ac:dyDescent="0.25">
      <c r="A83" s="372" t="s">
        <v>702</v>
      </c>
      <c r="B83" s="373"/>
      <c r="C83" s="292">
        <v>100</v>
      </c>
      <c r="D83" s="475">
        <v>0</v>
      </c>
      <c r="E83" s="476"/>
      <c r="F83" s="292">
        <v>100</v>
      </c>
    </row>
    <row r="84" spans="1:6" ht="15.75" customHeight="1" x14ac:dyDescent="0.25">
      <c r="A84" s="372" t="s">
        <v>703</v>
      </c>
      <c r="B84" s="373"/>
      <c r="C84" s="292">
        <v>100</v>
      </c>
      <c r="D84" s="475">
        <v>0</v>
      </c>
      <c r="E84" s="476"/>
      <c r="F84" s="292">
        <v>100</v>
      </c>
    </row>
    <row r="85" spans="1:6" ht="15.75" customHeight="1" x14ac:dyDescent="0.25">
      <c r="A85" s="372" t="s">
        <v>705</v>
      </c>
      <c r="B85" s="373"/>
      <c r="C85" s="330">
        <v>1000</v>
      </c>
      <c r="D85" s="475">
        <v>0</v>
      </c>
      <c r="E85" s="475"/>
      <c r="F85" s="330">
        <v>1000</v>
      </c>
    </row>
    <row r="86" spans="1:6" ht="15.75" customHeight="1" x14ac:dyDescent="0.25">
      <c r="A86" s="372" t="s">
        <v>706</v>
      </c>
      <c r="B86" s="373"/>
      <c r="C86" s="330">
        <v>1000</v>
      </c>
      <c r="D86" s="475">
        <v>0</v>
      </c>
      <c r="E86" s="475"/>
      <c r="F86" s="330">
        <v>1000</v>
      </c>
    </row>
    <row r="87" spans="1:6" ht="14.25" customHeight="1" x14ac:dyDescent="0.25"/>
    <row r="88" spans="1:6" ht="15.75" customHeight="1" x14ac:dyDescent="0.25">
      <c r="A88" s="382" t="s">
        <v>717</v>
      </c>
      <c r="B88" s="373"/>
      <c r="C88" s="373"/>
      <c r="D88" s="373"/>
      <c r="E88" s="373"/>
      <c r="F88" s="373"/>
    </row>
    <row r="89" spans="1:6" ht="15.75" customHeight="1" x14ac:dyDescent="0.25">
      <c r="A89" s="382" t="s">
        <v>698</v>
      </c>
      <c r="B89" s="373"/>
      <c r="C89" s="350">
        <v>1100</v>
      </c>
      <c r="D89" s="474">
        <v>0</v>
      </c>
      <c r="E89" s="476"/>
      <c r="F89" s="350">
        <v>1100</v>
      </c>
    </row>
    <row r="90" spans="1:6" ht="15.75" customHeight="1" x14ac:dyDescent="0.25">
      <c r="A90" s="372" t="s">
        <v>702</v>
      </c>
      <c r="B90" s="373"/>
      <c r="C90" s="351">
        <v>100</v>
      </c>
      <c r="D90" s="475">
        <v>0</v>
      </c>
      <c r="E90" s="476"/>
      <c r="F90" s="351">
        <v>100</v>
      </c>
    </row>
    <row r="91" spans="1:6" ht="15.75" customHeight="1" x14ac:dyDescent="0.25">
      <c r="A91" s="372" t="s">
        <v>703</v>
      </c>
      <c r="B91" s="373"/>
      <c r="C91" s="351">
        <v>100</v>
      </c>
      <c r="D91" s="475">
        <v>0</v>
      </c>
      <c r="E91" s="476"/>
      <c r="F91" s="351">
        <v>100</v>
      </c>
    </row>
    <row r="92" spans="1:6" ht="15.75" customHeight="1" x14ac:dyDescent="0.25">
      <c r="A92" s="372" t="s">
        <v>705</v>
      </c>
      <c r="B92" s="373"/>
      <c r="C92" s="351">
        <v>1000</v>
      </c>
      <c r="D92" s="475">
        <v>0</v>
      </c>
      <c r="E92" s="475"/>
      <c r="F92" s="351">
        <v>1000</v>
      </c>
    </row>
    <row r="93" spans="1:6" ht="15.75" customHeight="1" x14ac:dyDescent="0.25">
      <c r="A93" s="372" t="s">
        <v>706</v>
      </c>
      <c r="B93" s="373"/>
      <c r="C93" s="351">
        <v>1000</v>
      </c>
      <c r="D93" s="475">
        <v>0</v>
      </c>
      <c r="E93" s="475"/>
      <c r="F93" s="351">
        <v>1000</v>
      </c>
    </row>
    <row r="94" spans="1:6" ht="14.25" customHeight="1" x14ac:dyDescent="0.25"/>
    <row r="95" spans="1:6" ht="15.75" customHeight="1" x14ac:dyDescent="0.25">
      <c r="A95" s="382" t="s">
        <v>718</v>
      </c>
      <c r="B95" s="373"/>
      <c r="C95" s="373"/>
      <c r="D95" s="373"/>
      <c r="E95" s="373"/>
      <c r="F95" s="373"/>
    </row>
    <row r="96" spans="1:6" ht="15.75" customHeight="1" x14ac:dyDescent="0.25">
      <c r="A96" s="382" t="s">
        <v>698</v>
      </c>
      <c r="B96" s="373"/>
      <c r="C96" s="291">
        <v>132252</v>
      </c>
      <c r="D96" s="474">
        <v>0</v>
      </c>
      <c r="E96" s="474"/>
      <c r="F96" s="291">
        <v>132252</v>
      </c>
    </row>
    <row r="97" spans="1:6" ht="15.75" customHeight="1" x14ac:dyDescent="0.25">
      <c r="A97" s="372" t="s">
        <v>699</v>
      </c>
      <c r="B97" s="373"/>
      <c r="C97" s="292">
        <v>2000</v>
      </c>
      <c r="D97" s="475">
        <v>0</v>
      </c>
      <c r="E97" s="475"/>
      <c r="F97" s="292">
        <v>2000</v>
      </c>
    </row>
    <row r="98" spans="1:6" ht="15.75" customHeight="1" x14ac:dyDescent="0.25">
      <c r="A98" s="372" t="s">
        <v>700</v>
      </c>
      <c r="B98" s="373"/>
      <c r="C98" s="292">
        <v>2000</v>
      </c>
      <c r="D98" s="475">
        <v>0</v>
      </c>
      <c r="E98" s="475"/>
      <c r="F98" s="292">
        <v>2000</v>
      </c>
    </row>
    <row r="99" spans="1:6" ht="15.75" customHeight="1" x14ac:dyDescent="0.25">
      <c r="A99" s="372" t="s">
        <v>702</v>
      </c>
      <c r="B99" s="373"/>
      <c r="C99" s="292">
        <v>33894</v>
      </c>
      <c r="D99" s="475">
        <v>0</v>
      </c>
      <c r="E99" s="475"/>
      <c r="F99" s="292">
        <v>33894</v>
      </c>
    </row>
    <row r="100" spans="1:6" ht="15.75" customHeight="1" x14ac:dyDescent="0.25">
      <c r="A100" s="372" t="s">
        <v>703</v>
      </c>
      <c r="B100" s="373"/>
      <c r="C100" s="292">
        <v>26344</v>
      </c>
      <c r="D100" s="475">
        <v>0</v>
      </c>
      <c r="E100" s="475"/>
      <c r="F100" s="292">
        <v>26344</v>
      </c>
    </row>
    <row r="101" spans="1:6" ht="31.5" customHeight="1" x14ac:dyDescent="0.25">
      <c r="A101" s="372" t="s">
        <v>704</v>
      </c>
      <c r="B101" s="373"/>
      <c r="C101" s="292">
        <v>7550</v>
      </c>
      <c r="D101" s="475">
        <v>0</v>
      </c>
      <c r="E101" s="475"/>
      <c r="F101" s="292">
        <v>7550</v>
      </c>
    </row>
    <row r="102" spans="1:6" ht="15.75" customHeight="1" x14ac:dyDescent="0.25">
      <c r="A102" s="372" t="s">
        <v>710</v>
      </c>
      <c r="B102" s="373"/>
      <c r="C102" s="292">
        <v>96358</v>
      </c>
      <c r="D102" s="475">
        <v>0</v>
      </c>
      <c r="E102" s="475"/>
      <c r="F102" s="292">
        <v>96358</v>
      </c>
    </row>
    <row r="103" spans="1:6" ht="31.5" customHeight="1" x14ac:dyDescent="0.25">
      <c r="A103" s="372" t="s">
        <v>711</v>
      </c>
      <c r="B103" s="373"/>
      <c r="C103" s="292">
        <v>96358</v>
      </c>
      <c r="D103" s="475">
        <v>0</v>
      </c>
      <c r="E103" s="475"/>
      <c r="F103" s="292">
        <v>96358</v>
      </c>
    </row>
    <row r="105" spans="1:6" ht="15.75" customHeight="1" x14ac:dyDescent="0.25">
      <c r="A105" s="382" t="s">
        <v>757</v>
      </c>
      <c r="B105" s="373"/>
      <c r="C105" s="373"/>
      <c r="D105" s="373"/>
      <c r="E105" s="373"/>
      <c r="F105" s="373"/>
    </row>
    <row r="106" spans="1:6" ht="15.75" customHeight="1" x14ac:dyDescent="0.25">
      <c r="A106" s="382" t="s">
        <v>698</v>
      </c>
      <c r="B106" s="373"/>
      <c r="C106" s="291">
        <v>99368</v>
      </c>
      <c r="D106" s="474">
        <v>0</v>
      </c>
      <c r="E106" s="474"/>
      <c r="F106" s="291">
        <v>99368</v>
      </c>
    </row>
    <row r="107" spans="1:6" ht="15.75" customHeight="1" x14ac:dyDescent="0.25">
      <c r="A107" s="372" t="s">
        <v>702</v>
      </c>
      <c r="B107" s="373"/>
      <c r="C107" s="292">
        <v>3010</v>
      </c>
      <c r="D107" s="475">
        <v>0</v>
      </c>
      <c r="E107" s="475"/>
      <c r="F107" s="292">
        <v>3010</v>
      </c>
    </row>
    <row r="108" spans="1:6" ht="15.75" customHeight="1" x14ac:dyDescent="0.25">
      <c r="A108" s="372" t="s">
        <v>703</v>
      </c>
      <c r="B108" s="373"/>
      <c r="C108" s="292">
        <v>2010</v>
      </c>
      <c r="D108" s="475">
        <v>0</v>
      </c>
      <c r="E108" s="475"/>
      <c r="F108" s="292">
        <v>2010</v>
      </c>
    </row>
    <row r="109" spans="1:6" ht="31.5" customHeight="1" x14ac:dyDescent="0.25">
      <c r="A109" s="372" t="s">
        <v>704</v>
      </c>
      <c r="B109" s="373"/>
      <c r="C109" s="292">
        <v>1000</v>
      </c>
      <c r="D109" s="475">
        <v>0</v>
      </c>
      <c r="E109" s="475"/>
      <c r="F109" s="292">
        <v>1000</v>
      </c>
    </row>
    <row r="110" spans="1:6" ht="15.75" customHeight="1" x14ac:dyDescent="0.25">
      <c r="A110" s="372" t="s">
        <v>710</v>
      </c>
      <c r="B110" s="373"/>
      <c r="C110" s="292">
        <v>96358</v>
      </c>
      <c r="D110" s="475">
        <v>0</v>
      </c>
      <c r="E110" s="475"/>
      <c r="F110" s="292">
        <v>96358</v>
      </c>
    </row>
    <row r="111" spans="1:6" ht="31.5" customHeight="1" x14ac:dyDescent="0.25">
      <c r="A111" s="372" t="s">
        <v>711</v>
      </c>
      <c r="B111" s="373"/>
      <c r="C111" s="292">
        <v>96358</v>
      </c>
      <c r="D111" s="475">
        <v>0</v>
      </c>
      <c r="E111" s="475"/>
      <c r="F111" s="292">
        <v>96358</v>
      </c>
    </row>
    <row r="113" spans="1:6" ht="15.75" customHeight="1" x14ac:dyDescent="0.25">
      <c r="A113" s="382" t="s">
        <v>758</v>
      </c>
      <c r="B113" s="373"/>
      <c r="C113" s="373"/>
      <c r="D113" s="373"/>
      <c r="E113" s="373"/>
      <c r="F113" s="373"/>
    </row>
    <row r="114" spans="1:6" ht="15.75" customHeight="1" x14ac:dyDescent="0.25">
      <c r="A114" s="382" t="s">
        <v>698</v>
      </c>
      <c r="B114" s="373"/>
      <c r="C114" s="291">
        <v>1589</v>
      </c>
      <c r="D114" s="474">
        <v>0</v>
      </c>
      <c r="E114" s="474"/>
      <c r="F114" s="291">
        <v>1589</v>
      </c>
    </row>
    <row r="115" spans="1:6" ht="15.75" customHeight="1" x14ac:dyDescent="0.25">
      <c r="A115" s="372" t="s">
        <v>702</v>
      </c>
      <c r="B115" s="373"/>
      <c r="C115" s="292">
        <v>1589</v>
      </c>
      <c r="D115" s="475">
        <v>0</v>
      </c>
      <c r="E115" s="475"/>
      <c r="F115" s="292">
        <v>1589</v>
      </c>
    </row>
    <row r="116" spans="1:6" ht="15.75" customHeight="1" x14ac:dyDescent="0.25">
      <c r="A116" s="372" t="s">
        <v>703</v>
      </c>
      <c r="B116" s="373"/>
      <c r="C116" s="292">
        <v>1589</v>
      </c>
      <c r="D116" s="475">
        <v>0</v>
      </c>
      <c r="E116" s="475"/>
      <c r="F116" s="292">
        <v>1589</v>
      </c>
    </row>
    <row r="118" spans="1:6" ht="15.75" customHeight="1" x14ac:dyDescent="0.25">
      <c r="A118" s="382" t="s">
        <v>759</v>
      </c>
      <c r="B118" s="373"/>
      <c r="C118" s="373"/>
      <c r="D118" s="373"/>
      <c r="E118" s="373"/>
      <c r="F118" s="373"/>
    </row>
    <row r="119" spans="1:6" ht="15.75" customHeight="1" x14ac:dyDescent="0.25">
      <c r="A119" s="382" t="s">
        <v>698</v>
      </c>
      <c r="B119" s="373"/>
      <c r="C119" s="291">
        <v>31295</v>
      </c>
      <c r="D119" s="474">
        <v>0</v>
      </c>
      <c r="E119" s="474"/>
      <c r="F119" s="291">
        <v>31295</v>
      </c>
    </row>
    <row r="120" spans="1:6" ht="15.75" customHeight="1" x14ac:dyDescent="0.25">
      <c r="A120" s="372" t="s">
        <v>699</v>
      </c>
      <c r="B120" s="373"/>
      <c r="C120" s="292">
        <v>2000</v>
      </c>
      <c r="D120" s="475">
        <v>0</v>
      </c>
      <c r="E120" s="475"/>
      <c r="F120" s="292">
        <v>2000</v>
      </c>
    </row>
    <row r="121" spans="1:6" ht="15.75" customHeight="1" x14ac:dyDescent="0.25">
      <c r="A121" s="372" t="s">
        <v>700</v>
      </c>
      <c r="B121" s="373"/>
      <c r="C121" s="292">
        <v>2000</v>
      </c>
      <c r="D121" s="475">
        <v>0</v>
      </c>
      <c r="E121" s="475"/>
      <c r="F121" s="292">
        <v>2000</v>
      </c>
    </row>
    <row r="122" spans="1:6" ht="15.75" customHeight="1" x14ac:dyDescent="0.25">
      <c r="A122" s="372" t="s">
        <v>702</v>
      </c>
      <c r="B122" s="373"/>
      <c r="C122" s="292">
        <v>29295</v>
      </c>
      <c r="D122" s="475">
        <v>0</v>
      </c>
      <c r="E122" s="475"/>
      <c r="F122" s="292">
        <v>29295</v>
      </c>
    </row>
    <row r="123" spans="1:6" ht="15.75" customHeight="1" x14ac:dyDescent="0.25">
      <c r="A123" s="372" t="s">
        <v>703</v>
      </c>
      <c r="B123" s="373"/>
      <c r="C123" s="292">
        <v>22745</v>
      </c>
      <c r="D123" s="475">
        <v>0</v>
      </c>
      <c r="E123" s="475"/>
      <c r="F123" s="292">
        <v>22745</v>
      </c>
    </row>
    <row r="124" spans="1:6" ht="31.5" customHeight="1" x14ac:dyDescent="0.25">
      <c r="A124" s="372" t="s">
        <v>704</v>
      </c>
      <c r="B124" s="373"/>
      <c r="C124" s="292">
        <v>6550</v>
      </c>
      <c r="D124" s="475">
        <v>0</v>
      </c>
      <c r="E124" s="475"/>
      <c r="F124" s="292">
        <v>6550</v>
      </c>
    </row>
    <row r="125" spans="1:6" ht="14.25" customHeight="1" x14ac:dyDescent="0.25"/>
    <row r="126" spans="1:6" ht="15.75" customHeight="1" x14ac:dyDescent="0.25">
      <c r="A126" s="382" t="s">
        <v>719</v>
      </c>
      <c r="B126" s="373"/>
      <c r="C126" s="373"/>
      <c r="D126" s="373"/>
      <c r="E126" s="373"/>
      <c r="F126" s="373"/>
    </row>
    <row r="127" spans="1:6" ht="15.75" customHeight="1" x14ac:dyDescent="0.25">
      <c r="A127" s="382" t="s">
        <v>698</v>
      </c>
      <c r="B127" s="373"/>
      <c r="C127" s="291">
        <f>27768+1000</f>
        <v>28768</v>
      </c>
      <c r="D127" s="474">
        <v>0</v>
      </c>
      <c r="E127" s="476"/>
      <c r="F127" s="291">
        <v>28768</v>
      </c>
    </row>
    <row r="128" spans="1:6" ht="15.75" customHeight="1" x14ac:dyDescent="0.25">
      <c r="A128" s="372" t="s">
        <v>702</v>
      </c>
      <c r="B128" s="373"/>
      <c r="C128" s="292">
        <f>13874+1000</f>
        <v>14874</v>
      </c>
      <c r="D128" s="475">
        <v>0</v>
      </c>
      <c r="E128" s="476"/>
      <c r="F128" s="292">
        <v>14874</v>
      </c>
    </row>
    <row r="129" spans="1:6" ht="15.75" customHeight="1" x14ac:dyDescent="0.25">
      <c r="A129" s="372" t="s">
        <v>703</v>
      </c>
      <c r="B129" s="373"/>
      <c r="C129" s="292">
        <f>8272+1000</f>
        <v>9272</v>
      </c>
      <c r="D129" s="475">
        <v>0</v>
      </c>
      <c r="E129" s="476"/>
      <c r="F129" s="292">
        <v>9272</v>
      </c>
    </row>
    <row r="130" spans="1:6" ht="31.5" customHeight="1" x14ac:dyDescent="0.25">
      <c r="A130" s="372" t="s">
        <v>704</v>
      </c>
      <c r="B130" s="373"/>
      <c r="C130" s="292">
        <v>5602</v>
      </c>
      <c r="D130" s="475">
        <v>0</v>
      </c>
      <c r="E130" s="475"/>
      <c r="F130" s="292">
        <v>5602</v>
      </c>
    </row>
    <row r="131" spans="1:6" ht="15.75" customHeight="1" x14ac:dyDescent="0.25">
      <c r="A131" s="372" t="s">
        <v>705</v>
      </c>
      <c r="B131" s="373"/>
      <c r="C131" s="292">
        <v>13894</v>
      </c>
      <c r="D131" s="475">
        <v>0</v>
      </c>
      <c r="E131" s="475"/>
      <c r="F131" s="292">
        <v>13894</v>
      </c>
    </row>
    <row r="132" spans="1:6" ht="15.75" customHeight="1" x14ac:dyDescent="0.25">
      <c r="A132" s="372" t="s">
        <v>706</v>
      </c>
      <c r="B132" s="373"/>
      <c r="C132" s="292">
        <v>13894</v>
      </c>
      <c r="D132" s="475">
        <v>0</v>
      </c>
      <c r="E132" s="475"/>
      <c r="F132" s="292">
        <v>13894</v>
      </c>
    </row>
    <row r="134" spans="1:6" ht="15.75" customHeight="1" x14ac:dyDescent="0.25">
      <c r="A134" s="382" t="s">
        <v>720</v>
      </c>
      <c r="B134" s="373"/>
      <c r="C134" s="373"/>
      <c r="D134" s="373"/>
      <c r="E134" s="373"/>
      <c r="F134" s="373"/>
    </row>
    <row r="135" spans="1:6" ht="15.75" customHeight="1" x14ac:dyDescent="0.25">
      <c r="A135" s="382" t="s">
        <v>698</v>
      </c>
      <c r="B135" s="373"/>
      <c r="C135" s="291">
        <v>5274</v>
      </c>
      <c r="D135" s="474">
        <v>0</v>
      </c>
      <c r="E135" s="474"/>
      <c r="F135" s="291">
        <v>5274</v>
      </c>
    </row>
    <row r="136" spans="1:6" ht="15.75" customHeight="1" x14ac:dyDescent="0.25">
      <c r="A136" s="372" t="s">
        <v>702</v>
      </c>
      <c r="B136" s="373"/>
      <c r="C136" s="292">
        <v>274</v>
      </c>
      <c r="D136" s="475">
        <v>0</v>
      </c>
      <c r="E136" s="475"/>
      <c r="F136" s="292">
        <v>274</v>
      </c>
    </row>
    <row r="137" spans="1:6" ht="31.5" customHeight="1" x14ac:dyDescent="0.25">
      <c r="A137" s="372" t="s">
        <v>704</v>
      </c>
      <c r="B137" s="373"/>
      <c r="C137" s="292">
        <v>274</v>
      </c>
      <c r="D137" s="475">
        <v>0</v>
      </c>
      <c r="E137" s="475"/>
      <c r="F137" s="292">
        <v>274</v>
      </c>
    </row>
    <row r="138" spans="1:6" ht="15.75" customHeight="1" x14ac:dyDescent="0.25">
      <c r="A138" s="372" t="s">
        <v>705</v>
      </c>
      <c r="B138" s="373"/>
      <c r="C138" s="292">
        <v>5000</v>
      </c>
      <c r="D138" s="475">
        <v>0</v>
      </c>
      <c r="E138" s="475"/>
      <c r="F138" s="292">
        <v>5000</v>
      </c>
    </row>
    <row r="139" spans="1:6" ht="15.75" customHeight="1" x14ac:dyDescent="0.25">
      <c r="A139" s="372" t="s">
        <v>706</v>
      </c>
      <c r="B139" s="373"/>
      <c r="C139" s="292">
        <v>5000</v>
      </c>
      <c r="D139" s="475">
        <v>0</v>
      </c>
      <c r="E139" s="475"/>
      <c r="F139" s="292">
        <v>5000</v>
      </c>
    </row>
    <row r="141" spans="1:6" ht="15.75" customHeight="1" x14ac:dyDescent="0.25">
      <c r="A141" s="382" t="s">
        <v>721</v>
      </c>
      <c r="B141" s="373"/>
      <c r="C141" s="373"/>
      <c r="D141" s="373"/>
      <c r="E141" s="373"/>
      <c r="F141" s="373"/>
    </row>
    <row r="142" spans="1:6" ht="15.75" customHeight="1" x14ac:dyDescent="0.25">
      <c r="A142" s="382" t="s">
        <v>698</v>
      </c>
      <c r="B142" s="373"/>
      <c r="C142" s="291">
        <v>7074</v>
      </c>
      <c r="D142" s="474">
        <v>0</v>
      </c>
      <c r="E142" s="474"/>
      <c r="F142" s="291">
        <v>7074</v>
      </c>
    </row>
    <row r="143" spans="1:6" ht="15.75" customHeight="1" x14ac:dyDescent="0.25">
      <c r="A143" s="372" t="s">
        <v>702</v>
      </c>
      <c r="B143" s="373"/>
      <c r="C143" s="292">
        <v>3513</v>
      </c>
      <c r="D143" s="475">
        <v>0</v>
      </c>
      <c r="E143" s="475"/>
      <c r="F143" s="292">
        <v>3513</v>
      </c>
    </row>
    <row r="144" spans="1:6" ht="15.75" customHeight="1" x14ac:dyDescent="0.25">
      <c r="A144" s="372" t="s">
        <v>703</v>
      </c>
      <c r="B144" s="373"/>
      <c r="C144" s="292">
        <v>3185</v>
      </c>
      <c r="D144" s="475">
        <v>0</v>
      </c>
      <c r="E144" s="475"/>
      <c r="F144" s="292">
        <v>3185</v>
      </c>
    </row>
    <row r="145" spans="1:6" ht="31.5" customHeight="1" x14ac:dyDescent="0.25">
      <c r="A145" s="372" t="s">
        <v>704</v>
      </c>
      <c r="B145" s="373"/>
      <c r="C145" s="292">
        <v>328</v>
      </c>
      <c r="D145" s="475">
        <v>0</v>
      </c>
      <c r="E145" s="475"/>
      <c r="F145" s="292">
        <v>328</v>
      </c>
    </row>
    <row r="146" spans="1:6" ht="15.75" customHeight="1" x14ac:dyDescent="0.25">
      <c r="A146" s="372" t="s">
        <v>705</v>
      </c>
      <c r="B146" s="373"/>
      <c r="C146" s="292">
        <v>3561</v>
      </c>
      <c r="D146" s="475">
        <v>0</v>
      </c>
      <c r="E146" s="475"/>
      <c r="F146" s="292">
        <v>3561</v>
      </c>
    </row>
    <row r="147" spans="1:6" ht="15.75" customHeight="1" x14ac:dyDescent="0.25">
      <c r="A147" s="372" t="s">
        <v>706</v>
      </c>
      <c r="B147" s="373"/>
      <c r="C147" s="292">
        <v>3561</v>
      </c>
      <c r="D147" s="475">
        <v>0</v>
      </c>
      <c r="E147" s="475"/>
      <c r="F147" s="292">
        <v>3561</v>
      </c>
    </row>
    <row r="148" spans="1:6" ht="14.25" customHeight="1" x14ac:dyDescent="0.25"/>
    <row r="149" spans="1:6" ht="15.75" customHeight="1" x14ac:dyDescent="0.25">
      <c r="A149" s="382" t="s">
        <v>722</v>
      </c>
      <c r="B149" s="373"/>
      <c r="C149" s="373"/>
      <c r="D149" s="373"/>
      <c r="E149" s="373"/>
      <c r="F149" s="373"/>
    </row>
    <row r="150" spans="1:6" ht="15.75" customHeight="1" x14ac:dyDescent="0.25">
      <c r="A150" s="382" t="s">
        <v>698</v>
      </c>
      <c r="B150" s="373"/>
      <c r="C150" s="291">
        <v>13436</v>
      </c>
      <c r="D150" s="474">
        <v>0</v>
      </c>
      <c r="E150" s="474"/>
      <c r="F150" s="291">
        <v>13436</v>
      </c>
    </row>
    <row r="151" spans="1:6" ht="15.75" customHeight="1" x14ac:dyDescent="0.25">
      <c r="A151" s="372" t="s">
        <v>702</v>
      </c>
      <c r="B151" s="373"/>
      <c r="C151" s="292">
        <v>8103</v>
      </c>
      <c r="D151" s="475">
        <v>0</v>
      </c>
      <c r="E151" s="475"/>
      <c r="F151" s="292">
        <v>8103</v>
      </c>
    </row>
    <row r="152" spans="1:6" ht="15.75" customHeight="1" x14ac:dyDescent="0.25">
      <c r="A152" s="372" t="s">
        <v>703</v>
      </c>
      <c r="B152" s="373"/>
      <c r="C152" s="292">
        <v>3103</v>
      </c>
      <c r="D152" s="475">
        <v>0</v>
      </c>
      <c r="E152" s="475"/>
      <c r="F152" s="292">
        <v>3103</v>
      </c>
    </row>
    <row r="153" spans="1:6" ht="31.5" customHeight="1" x14ac:dyDescent="0.25">
      <c r="A153" s="372" t="s">
        <v>704</v>
      </c>
      <c r="B153" s="373"/>
      <c r="C153" s="292">
        <v>5000</v>
      </c>
      <c r="D153" s="475">
        <v>0</v>
      </c>
      <c r="E153" s="475"/>
      <c r="F153" s="292">
        <v>5000</v>
      </c>
    </row>
    <row r="154" spans="1:6" ht="15.75" customHeight="1" x14ac:dyDescent="0.25">
      <c r="A154" s="372" t="s">
        <v>705</v>
      </c>
      <c r="B154" s="373"/>
      <c r="C154" s="292">
        <v>5333</v>
      </c>
      <c r="D154" s="475">
        <v>0</v>
      </c>
      <c r="E154" s="475"/>
      <c r="F154" s="292">
        <v>5333</v>
      </c>
    </row>
    <row r="155" spans="1:6" ht="15.75" customHeight="1" x14ac:dyDescent="0.25">
      <c r="A155" s="372" t="s">
        <v>706</v>
      </c>
      <c r="B155" s="373"/>
      <c r="C155" s="292">
        <v>5333</v>
      </c>
      <c r="D155" s="475">
        <v>0</v>
      </c>
      <c r="E155" s="475"/>
      <c r="F155" s="292">
        <v>5333</v>
      </c>
    </row>
    <row r="156" spans="1:6" ht="14.25" customHeight="1" x14ac:dyDescent="0.25"/>
    <row r="157" spans="1:6" ht="15.75" customHeight="1" x14ac:dyDescent="0.25">
      <c r="A157" s="382" t="s">
        <v>760</v>
      </c>
      <c r="B157" s="373"/>
      <c r="C157" s="373"/>
      <c r="D157" s="373"/>
      <c r="E157" s="373"/>
      <c r="F157" s="373"/>
    </row>
    <row r="158" spans="1:6" ht="15.75" customHeight="1" x14ac:dyDescent="0.25">
      <c r="A158" s="382" t="s">
        <v>698</v>
      </c>
      <c r="B158" s="373"/>
      <c r="C158" s="291">
        <v>1984</v>
      </c>
      <c r="D158" s="474">
        <v>0</v>
      </c>
      <c r="E158" s="474"/>
      <c r="F158" s="291">
        <v>1984</v>
      </c>
    </row>
    <row r="159" spans="1:6" ht="15.75" customHeight="1" x14ac:dyDescent="0.25">
      <c r="A159" s="372" t="s">
        <v>702</v>
      </c>
      <c r="B159" s="373"/>
      <c r="C159" s="292">
        <v>1984</v>
      </c>
      <c r="D159" s="475">
        <v>0</v>
      </c>
      <c r="E159" s="475"/>
      <c r="F159" s="292">
        <v>1984</v>
      </c>
    </row>
    <row r="160" spans="1:6" ht="15.75" customHeight="1" x14ac:dyDescent="0.25">
      <c r="A160" s="372" t="s">
        <v>703</v>
      </c>
      <c r="B160" s="373"/>
      <c r="C160" s="292">
        <v>1984</v>
      </c>
      <c r="D160" s="475">
        <v>0</v>
      </c>
      <c r="E160" s="475"/>
      <c r="F160" s="292">
        <v>1984</v>
      </c>
    </row>
    <row r="161" spans="1:6" ht="14.25" customHeight="1" x14ac:dyDescent="0.25"/>
    <row r="162" spans="1:6" ht="15.75" customHeight="1" x14ac:dyDescent="0.25">
      <c r="A162" s="382" t="s">
        <v>761</v>
      </c>
      <c r="B162" s="373"/>
      <c r="C162" s="373"/>
      <c r="D162" s="373"/>
      <c r="E162" s="373"/>
      <c r="F162" s="373"/>
    </row>
    <row r="163" spans="1:6" ht="15.75" customHeight="1" x14ac:dyDescent="0.25">
      <c r="A163" s="382" t="s">
        <v>698</v>
      </c>
      <c r="B163" s="373"/>
      <c r="C163" s="291">
        <v>1000</v>
      </c>
      <c r="D163" s="474">
        <v>0</v>
      </c>
      <c r="E163" s="476"/>
      <c r="F163" s="291">
        <v>1000</v>
      </c>
    </row>
    <row r="164" spans="1:6" ht="15.75" customHeight="1" x14ac:dyDescent="0.25">
      <c r="A164" s="372" t="s">
        <v>702</v>
      </c>
      <c r="B164" s="373"/>
      <c r="C164" s="292">
        <v>1000</v>
      </c>
      <c r="D164" s="475">
        <v>0</v>
      </c>
      <c r="E164" s="476"/>
      <c r="F164" s="292">
        <v>1000</v>
      </c>
    </row>
    <row r="165" spans="1:6" ht="15.75" customHeight="1" x14ac:dyDescent="0.25">
      <c r="A165" s="372" t="s">
        <v>703</v>
      </c>
      <c r="B165" s="373"/>
      <c r="C165" s="292">
        <v>1000</v>
      </c>
      <c r="D165" s="475">
        <v>0</v>
      </c>
      <c r="E165" s="476"/>
      <c r="F165" s="292">
        <v>1000</v>
      </c>
    </row>
    <row r="166" spans="1:6" ht="14.25" customHeight="1" x14ac:dyDescent="0.25"/>
    <row r="167" spans="1:6" ht="15.75" customHeight="1" x14ac:dyDescent="0.25">
      <c r="A167" s="382" t="s">
        <v>723</v>
      </c>
      <c r="B167" s="373"/>
      <c r="C167" s="373"/>
      <c r="D167" s="373"/>
      <c r="E167" s="373"/>
      <c r="F167" s="373"/>
    </row>
    <row r="168" spans="1:6" ht="15.75" customHeight="1" x14ac:dyDescent="0.25">
      <c r="A168" s="382" t="s">
        <v>698</v>
      </c>
      <c r="B168" s="373"/>
      <c r="C168" s="291">
        <v>3436</v>
      </c>
      <c r="D168" s="474">
        <v>0</v>
      </c>
      <c r="E168" s="474"/>
      <c r="F168" s="291">
        <v>3436</v>
      </c>
    </row>
    <row r="169" spans="1:6" ht="15.75" customHeight="1" x14ac:dyDescent="0.25">
      <c r="A169" s="372" t="s">
        <v>702</v>
      </c>
      <c r="B169" s="373"/>
      <c r="C169" s="292">
        <v>3436</v>
      </c>
      <c r="D169" s="475">
        <v>0</v>
      </c>
      <c r="E169" s="475"/>
      <c r="F169" s="292">
        <v>3436</v>
      </c>
    </row>
    <row r="170" spans="1:6" ht="15.75" customHeight="1" x14ac:dyDescent="0.25">
      <c r="A170" s="372" t="s">
        <v>703</v>
      </c>
      <c r="B170" s="373"/>
      <c r="C170" s="292">
        <v>11</v>
      </c>
      <c r="D170" s="475">
        <v>0</v>
      </c>
      <c r="E170" s="475"/>
      <c r="F170" s="292">
        <v>11</v>
      </c>
    </row>
    <row r="171" spans="1:6" ht="31.5" customHeight="1" x14ac:dyDescent="0.25">
      <c r="A171" s="372" t="s">
        <v>704</v>
      </c>
      <c r="B171" s="373"/>
      <c r="C171" s="292">
        <v>3425</v>
      </c>
      <c r="D171" s="475">
        <v>0</v>
      </c>
      <c r="E171" s="475"/>
      <c r="F171" s="292">
        <v>3425</v>
      </c>
    </row>
    <row r="172" spans="1:6" ht="14.25" customHeight="1" x14ac:dyDescent="0.25"/>
    <row r="173" spans="1:6" ht="15.75" customHeight="1" x14ac:dyDescent="0.25">
      <c r="A173" s="382" t="s">
        <v>762</v>
      </c>
      <c r="B173" s="373"/>
      <c r="C173" s="373"/>
      <c r="D173" s="373"/>
      <c r="E173" s="373"/>
      <c r="F173" s="373"/>
    </row>
    <row r="174" spans="1:6" ht="15.75" customHeight="1" x14ac:dyDescent="0.25">
      <c r="A174" s="382" t="s">
        <v>698</v>
      </c>
      <c r="B174" s="373"/>
      <c r="C174" s="291">
        <v>3436</v>
      </c>
      <c r="D174" s="474">
        <v>0</v>
      </c>
      <c r="E174" s="474"/>
      <c r="F174" s="291">
        <v>3436</v>
      </c>
    </row>
    <row r="175" spans="1:6" ht="15.75" customHeight="1" x14ac:dyDescent="0.25">
      <c r="A175" s="372" t="s">
        <v>702</v>
      </c>
      <c r="B175" s="373"/>
      <c r="C175" s="292">
        <v>3436</v>
      </c>
      <c r="D175" s="475">
        <v>0</v>
      </c>
      <c r="E175" s="475"/>
      <c r="F175" s="292">
        <v>3436</v>
      </c>
    </row>
    <row r="176" spans="1:6" ht="15.75" customHeight="1" x14ac:dyDescent="0.25">
      <c r="A176" s="372" t="s">
        <v>703</v>
      </c>
      <c r="B176" s="373"/>
      <c r="C176" s="292">
        <v>11</v>
      </c>
      <c r="D176" s="475">
        <v>0</v>
      </c>
      <c r="E176" s="475"/>
      <c r="F176" s="292">
        <v>11</v>
      </c>
    </row>
    <row r="177" spans="1:6" ht="31.5" customHeight="1" x14ac:dyDescent="0.25">
      <c r="A177" s="372" t="s">
        <v>704</v>
      </c>
      <c r="B177" s="373"/>
      <c r="C177" s="292">
        <v>3425</v>
      </c>
      <c r="D177" s="475">
        <v>0</v>
      </c>
      <c r="E177" s="475"/>
      <c r="F177" s="292">
        <v>3425</v>
      </c>
    </row>
    <row r="178" spans="1:6" ht="14.25" customHeight="1" x14ac:dyDescent="0.25"/>
    <row r="179" spans="1:6" ht="15.75" customHeight="1" x14ac:dyDescent="0.25">
      <c r="A179" s="382" t="s">
        <v>724</v>
      </c>
      <c r="B179" s="373"/>
      <c r="C179" s="373"/>
      <c r="D179" s="373"/>
      <c r="E179" s="373"/>
      <c r="F179" s="373"/>
    </row>
    <row r="180" spans="1:6" ht="15.75" customHeight="1" x14ac:dyDescent="0.25">
      <c r="A180" s="382" t="s">
        <v>698</v>
      </c>
      <c r="B180" s="373"/>
      <c r="C180" s="291">
        <v>2283156</v>
      </c>
      <c r="D180" s="474">
        <v>23758</v>
      </c>
      <c r="E180" s="476"/>
      <c r="F180" s="291">
        <v>2306914</v>
      </c>
    </row>
    <row r="181" spans="1:6" ht="15.75" customHeight="1" x14ac:dyDescent="0.25">
      <c r="A181" s="382" t="s">
        <v>699</v>
      </c>
      <c r="B181" s="383"/>
      <c r="C181" s="329">
        <v>61818</v>
      </c>
      <c r="D181" s="474">
        <v>0</v>
      </c>
      <c r="E181" s="474"/>
      <c r="F181" s="329">
        <v>61818</v>
      </c>
    </row>
    <row r="182" spans="1:6" ht="15.75" customHeight="1" x14ac:dyDescent="0.25">
      <c r="A182" s="372" t="s">
        <v>700</v>
      </c>
      <c r="B182" s="373"/>
      <c r="C182" s="292">
        <f>48464-1200</f>
        <v>47264</v>
      </c>
      <c r="D182" s="475">
        <v>0</v>
      </c>
      <c r="E182" s="476"/>
      <c r="F182" s="292">
        <v>47264</v>
      </c>
    </row>
    <row r="183" spans="1:6" ht="15.75" customHeight="1" x14ac:dyDescent="0.25">
      <c r="A183" s="372" t="s">
        <v>701</v>
      </c>
      <c r="B183" s="373"/>
      <c r="C183" s="292">
        <f>13354+1200</f>
        <v>14554</v>
      </c>
      <c r="D183" s="475">
        <v>0</v>
      </c>
      <c r="E183" s="476"/>
      <c r="F183" s="292">
        <v>14554</v>
      </c>
    </row>
    <row r="184" spans="1:6" ht="15.75" customHeight="1" x14ac:dyDescent="0.25">
      <c r="A184" s="382" t="s">
        <v>702</v>
      </c>
      <c r="B184" s="383"/>
      <c r="C184" s="329">
        <f>1031827+1100</f>
        <v>1032927</v>
      </c>
      <c r="D184" s="474">
        <v>-656</v>
      </c>
      <c r="E184" s="477"/>
      <c r="F184" s="329">
        <v>1032271</v>
      </c>
    </row>
    <row r="185" spans="1:6" ht="15.75" customHeight="1" x14ac:dyDescent="0.25">
      <c r="A185" s="372" t="s">
        <v>703</v>
      </c>
      <c r="B185" s="373"/>
      <c r="C185" s="292">
        <f>1003998+1100</f>
        <v>1005098</v>
      </c>
      <c r="D185" s="475">
        <v>-404</v>
      </c>
      <c r="E185" s="476"/>
      <c r="F185" s="292">
        <v>1004694</v>
      </c>
    </row>
    <row r="186" spans="1:6" ht="31.5" customHeight="1" x14ac:dyDescent="0.25">
      <c r="A186" s="372" t="s">
        <v>704</v>
      </c>
      <c r="B186" s="373"/>
      <c r="C186" s="292">
        <v>27829</v>
      </c>
      <c r="D186" s="475">
        <v>-252</v>
      </c>
      <c r="E186" s="475"/>
      <c r="F186" s="292">
        <v>27577</v>
      </c>
    </row>
    <row r="187" spans="1:6" ht="15.75" customHeight="1" x14ac:dyDescent="0.25">
      <c r="A187" s="382" t="s">
        <v>710</v>
      </c>
      <c r="B187" s="383"/>
      <c r="C187" s="329">
        <v>698617</v>
      </c>
      <c r="D187" s="474">
        <v>12560</v>
      </c>
      <c r="E187" s="474"/>
      <c r="F187" s="329">
        <v>711177</v>
      </c>
    </row>
    <row r="188" spans="1:6" ht="31.5" customHeight="1" x14ac:dyDescent="0.25">
      <c r="A188" s="372" t="s">
        <v>711</v>
      </c>
      <c r="B188" s="373"/>
      <c r="C188" s="292">
        <v>175987</v>
      </c>
      <c r="D188" s="475">
        <v>12560</v>
      </c>
      <c r="E188" s="475"/>
      <c r="F188" s="292">
        <v>188547</v>
      </c>
    </row>
    <row r="189" spans="1:6" ht="31.5" customHeight="1" x14ac:dyDescent="0.25">
      <c r="A189" s="372" t="s">
        <v>712</v>
      </c>
      <c r="B189" s="373"/>
      <c r="C189" s="292">
        <v>522630</v>
      </c>
      <c r="D189" s="475">
        <v>0</v>
      </c>
      <c r="E189" s="475"/>
      <c r="F189" s="292">
        <v>522630</v>
      </c>
    </row>
    <row r="190" spans="1:6" ht="15.75" customHeight="1" x14ac:dyDescent="0.25">
      <c r="A190" s="382" t="s">
        <v>705</v>
      </c>
      <c r="B190" s="383"/>
      <c r="C190" s="329">
        <v>489794</v>
      </c>
      <c r="D190" s="474">
        <v>11854</v>
      </c>
      <c r="E190" s="474"/>
      <c r="F190" s="329">
        <v>501648</v>
      </c>
    </row>
    <row r="191" spans="1:6" ht="15.75" customHeight="1" x14ac:dyDescent="0.25">
      <c r="A191" s="372" t="s">
        <v>706</v>
      </c>
      <c r="B191" s="373"/>
      <c r="C191" s="292">
        <v>489794</v>
      </c>
      <c r="D191" s="475">
        <v>11854</v>
      </c>
      <c r="E191" s="475"/>
      <c r="F191" s="330">
        <v>501648</v>
      </c>
    </row>
    <row r="192" spans="1:6" ht="15.75" customHeight="1" x14ac:dyDescent="0.25">
      <c r="E192" s="478"/>
      <c r="F192" s="479"/>
    </row>
    <row r="193" spans="2:6" ht="18.75" x14ac:dyDescent="0.3">
      <c r="B193" s="289" t="s">
        <v>126</v>
      </c>
      <c r="C193" s="289"/>
      <c r="D193" s="289" t="s">
        <v>127</v>
      </c>
      <c r="E193" s="290"/>
      <c r="F193" s="286"/>
    </row>
    <row r="194" spans="2:6" x14ac:dyDescent="0.25">
      <c r="C194" s="286"/>
      <c r="D194" s="286"/>
      <c r="E194" s="286"/>
      <c r="F194" s="286"/>
    </row>
  </sheetData>
  <mergeCells count="301">
    <mergeCell ref="A190:B190"/>
    <mergeCell ref="D190:E190"/>
    <mergeCell ref="A191:B191"/>
    <mergeCell ref="D191:E191"/>
    <mergeCell ref="E192:F192"/>
    <mergeCell ref="A187:B187"/>
    <mergeCell ref="D187:E187"/>
    <mergeCell ref="A188:B188"/>
    <mergeCell ref="D188:E188"/>
    <mergeCell ref="A189:B189"/>
    <mergeCell ref="D189:E189"/>
    <mergeCell ref="A184:B184"/>
    <mergeCell ref="D184:E184"/>
    <mergeCell ref="A185:B185"/>
    <mergeCell ref="D185:E185"/>
    <mergeCell ref="A186:B186"/>
    <mergeCell ref="D186:E186"/>
    <mergeCell ref="A181:B181"/>
    <mergeCell ref="D181:E181"/>
    <mergeCell ref="A182:B182"/>
    <mergeCell ref="D182:E182"/>
    <mergeCell ref="A183:B183"/>
    <mergeCell ref="D183:E183"/>
    <mergeCell ref="A176:B176"/>
    <mergeCell ref="D176:E176"/>
    <mergeCell ref="A177:B177"/>
    <mergeCell ref="D177:E177"/>
    <mergeCell ref="A179:F179"/>
    <mergeCell ref="A180:B180"/>
    <mergeCell ref="D180:E180"/>
    <mergeCell ref="A171:B171"/>
    <mergeCell ref="D171:E171"/>
    <mergeCell ref="A173:F173"/>
    <mergeCell ref="A174:B174"/>
    <mergeCell ref="D174:E174"/>
    <mergeCell ref="A175:B175"/>
    <mergeCell ref="D175:E175"/>
    <mergeCell ref="A167:F167"/>
    <mergeCell ref="A168:B168"/>
    <mergeCell ref="D168:E168"/>
    <mergeCell ref="A169:B169"/>
    <mergeCell ref="D169:E169"/>
    <mergeCell ref="A170:B170"/>
    <mergeCell ref="D170:E170"/>
    <mergeCell ref="A162:F162"/>
    <mergeCell ref="A163:B163"/>
    <mergeCell ref="D163:E163"/>
    <mergeCell ref="A164:B164"/>
    <mergeCell ref="D164:E164"/>
    <mergeCell ref="A165:B165"/>
    <mergeCell ref="D165:E165"/>
    <mergeCell ref="A157:F157"/>
    <mergeCell ref="A158:B158"/>
    <mergeCell ref="D158:E158"/>
    <mergeCell ref="A159:B159"/>
    <mergeCell ref="D159:E159"/>
    <mergeCell ref="A160:B160"/>
    <mergeCell ref="D160:E160"/>
    <mergeCell ref="A153:B153"/>
    <mergeCell ref="D153:E153"/>
    <mergeCell ref="A154:B154"/>
    <mergeCell ref="D154:E154"/>
    <mergeCell ref="A155:B155"/>
    <mergeCell ref="D155:E155"/>
    <mergeCell ref="A150:B150"/>
    <mergeCell ref="D150:E150"/>
    <mergeCell ref="A151:B151"/>
    <mergeCell ref="D151:E151"/>
    <mergeCell ref="A152:B152"/>
    <mergeCell ref="D152:E152"/>
    <mergeCell ref="A145:B145"/>
    <mergeCell ref="D145:E145"/>
    <mergeCell ref="A146:B146"/>
    <mergeCell ref="D146:E146"/>
    <mergeCell ref="A147:B147"/>
    <mergeCell ref="D147:E147"/>
    <mergeCell ref="A144:B144"/>
    <mergeCell ref="D144:E144"/>
    <mergeCell ref="A137:B137"/>
    <mergeCell ref="D137:E137"/>
    <mergeCell ref="A138:B138"/>
    <mergeCell ref="D138:E138"/>
    <mergeCell ref="A139:B139"/>
    <mergeCell ref="D139:E139"/>
    <mergeCell ref="A149:F149"/>
    <mergeCell ref="A135:B135"/>
    <mergeCell ref="D135:E135"/>
    <mergeCell ref="A136:B136"/>
    <mergeCell ref="D136:E136"/>
    <mergeCell ref="A141:F141"/>
    <mergeCell ref="A142:B142"/>
    <mergeCell ref="D142:E142"/>
    <mergeCell ref="A143:B143"/>
    <mergeCell ref="D143:E143"/>
    <mergeCell ref="A132:B132"/>
    <mergeCell ref="D132:E132"/>
    <mergeCell ref="A129:B129"/>
    <mergeCell ref="D129:E129"/>
    <mergeCell ref="A130:B130"/>
    <mergeCell ref="D130:E130"/>
    <mergeCell ref="A131:B131"/>
    <mergeCell ref="D131:E131"/>
    <mergeCell ref="A134:F134"/>
    <mergeCell ref="A124:B124"/>
    <mergeCell ref="D124:E124"/>
    <mergeCell ref="A126:F126"/>
    <mergeCell ref="A127:B127"/>
    <mergeCell ref="D127:E127"/>
    <mergeCell ref="A128:B128"/>
    <mergeCell ref="D128:E128"/>
    <mergeCell ref="A121:B121"/>
    <mergeCell ref="D121:E121"/>
    <mergeCell ref="A122:B122"/>
    <mergeCell ref="D122:E122"/>
    <mergeCell ref="A123:B123"/>
    <mergeCell ref="D123:E123"/>
    <mergeCell ref="A116:B116"/>
    <mergeCell ref="D116:E116"/>
    <mergeCell ref="A118:F118"/>
    <mergeCell ref="A119:B119"/>
    <mergeCell ref="D119:E119"/>
    <mergeCell ref="A120:B120"/>
    <mergeCell ref="D120:E120"/>
    <mergeCell ref="A111:B111"/>
    <mergeCell ref="D111:E111"/>
    <mergeCell ref="A113:F113"/>
    <mergeCell ref="A114:B114"/>
    <mergeCell ref="D114:E114"/>
    <mergeCell ref="A115:B115"/>
    <mergeCell ref="D115:E115"/>
    <mergeCell ref="A108:B108"/>
    <mergeCell ref="D108:E108"/>
    <mergeCell ref="A109:B109"/>
    <mergeCell ref="D109:E109"/>
    <mergeCell ref="A110:B110"/>
    <mergeCell ref="D110:E110"/>
    <mergeCell ref="A103:B103"/>
    <mergeCell ref="D103:E103"/>
    <mergeCell ref="A105:F105"/>
    <mergeCell ref="A106:B106"/>
    <mergeCell ref="D106:E106"/>
    <mergeCell ref="A107:B107"/>
    <mergeCell ref="D107:E107"/>
    <mergeCell ref="A100:B100"/>
    <mergeCell ref="D100:E100"/>
    <mergeCell ref="A101:B101"/>
    <mergeCell ref="D101:E101"/>
    <mergeCell ref="A102:B102"/>
    <mergeCell ref="D102:E102"/>
    <mergeCell ref="A97:B97"/>
    <mergeCell ref="D97:E97"/>
    <mergeCell ref="A98:B98"/>
    <mergeCell ref="D98:E98"/>
    <mergeCell ref="A99:B99"/>
    <mergeCell ref="D99:E99"/>
    <mergeCell ref="A90:B90"/>
    <mergeCell ref="D90:E90"/>
    <mergeCell ref="A91:B91"/>
    <mergeCell ref="D91:E91"/>
    <mergeCell ref="A95:F95"/>
    <mergeCell ref="A96:B96"/>
    <mergeCell ref="D96:E96"/>
    <mergeCell ref="A83:B83"/>
    <mergeCell ref="D83:E83"/>
    <mergeCell ref="A84:B84"/>
    <mergeCell ref="D84:E84"/>
    <mergeCell ref="A88:F88"/>
    <mergeCell ref="A89:B89"/>
    <mergeCell ref="D89:E89"/>
    <mergeCell ref="A85:B85"/>
    <mergeCell ref="A86:B86"/>
    <mergeCell ref="D85:E85"/>
    <mergeCell ref="D86:E86"/>
    <mergeCell ref="A92:B92"/>
    <mergeCell ref="D92:E92"/>
    <mergeCell ref="A93:B93"/>
    <mergeCell ref="D93:E93"/>
    <mergeCell ref="A78:B78"/>
    <mergeCell ref="D78:E78"/>
    <mergeCell ref="A79:B79"/>
    <mergeCell ref="D79:E79"/>
    <mergeCell ref="A81:F81"/>
    <mergeCell ref="A82:B82"/>
    <mergeCell ref="D82:E82"/>
    <mergeCell ref="A74:F74"/>
    <mergeCell ref="A75:B75"/>
    <mergeCell ref="D75:E75"/>
    <mergeCell ref="A76:B76"/>
    <mergeCell ref="D76:E76"/>
    <mergeCell ref="A77:B77"/>
    <mergeCell ref="D77:E77"/>
    <mergeCell ref="A70:B70"/>
    <mergeCell ref="D70:E70"/>
    <mergeCell ref="A71:B71"/>
    <mergeCell ref="D71:E71"/>
    <mergeCell ref="A72:B72"/>
    <mergeCell ref="D72:E72"/>
    <mergeCell ref="A65:B65"/>
    <mergeCell ref="D65:E65"/>
    <mergeCell ref="A67:F67"/>
    <mergeCell ref="A68:B68"/>
    <mergeCell ref="D68:E68"/>
    <mergeCell ref="A69:B69"/>
    <mergeCell ref="D69:E69"/>
    <mergeCell ref="A62:B62"/>
    <mergeCell ref="D62:E62"/>
    <mergeCell ref="A63:B63"/>
    <mergeCell ref="D63:E63"/>
    <mergeCell ref="A64:B64"/>
    <mergeCell ref="D64:E64"/>
    <mergeCell ref="A58:F58"/>
    <mergeCell ref="A59:B59"/>
    <mergeCell ref="D59:E59"/>
    <mergeCell ref="A60:B60"/>
    <mergeCell ref="D60:E60"/>
    <mergeCell ref="A61:B61"/>
    <mergeCell ref="D61:E61"/>
    <mergeCell ref="A54:B54"/>
    <mergeCell ref="D54:E54"/>
    <mergeCell ref="A55:B55"/>
    <mergeCell ref="D55:E55"/>
    <mergeCell ref="A56:B56"/>
    <mergeCell ref="D56:E56"/>
    <mergeCell ref="A51:B51"/>
    <mergeCell ref="D51:E51"/>
    <mergeCell ref="A52:B52"/>
    <mergeCell ref="D52:E52"/>
    <mergeCell ref="A53:B53"/>
    <mergeCell ref="D53:E53"/>
    <mergeCell ref="A47:F47"/>
    <mergeCell ref="A48:B48"/>
    <mergeCell ref="D48:E48"/>
    <mergeCell ref="A49:B49"/>
    <mergeCell ref="D49:E49"/>
    <mergeCell ref="A50:B50"/>
    <mergeCell ref="D50:E50"/>
    <mergeCell ref="A42:F42"/>
    <mergeCell ref="A43:B43"/>
    <mergeCell ref="D43:E43"/>
    <mergeCell ref="A44:B44"/>
    <mergeCell ref="D44:E44"/>
    <mergeCell ref="A45:B45"/>
    <mergeCell ref="D45:E45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A37:B37"/>
    <mergeCell ref="D37:E37"/>
    <mergeCell ref="A32:B32"/>
    <mergeCell ref="D32:E32"/>
    <mergeCell ref="A33:B33"/>
    <mergeCell ref="D33:E33"/>
    <mergeCell ref="A34:B34"/>
    <mergeCell ref="D34:E34"/>
    <mergeCell ref="A27:B27"/>
    <mergeCell ref="D27:E27"/>
    <mergeCell ref="A29:F29"/>
    <mergeCell ref="A30:B30"/>
    <mergeCell ref="D30:E30"/>
    <mergeCell ref="A31:B31"/>
    <mergeCell ref="D31:E31"/>
    <mergeCell ref="A23:F23"/>
    <mergeCell ref="A24:B24"/>
    <mergeCell ref="D24:E24"/>
    <mergeCell ref="A25:B25"/>
    <mergeCell ref="D25:E25"/>
    <mergeCell ref="A26:B26"/>
    <mergeCell ref="D26:E26"/>
    <mergeCell ref="A19:B19"/>
    <mergeCell ref="D19:E19"/>
    <mergeCell ref="A20:B20"/>
    <mergeCell ref="D20:E20"/>
    <mergeCell ref="A21:B21"/>
    <mergeCell ref="D21:E21"/>
    <mergeCell ref="A17:F17"/>
    <mergeCell ref="A18:B18"/>
    <mergeCell ref="D18:E18"/>
    <mergeCell ref="A9:B9"/>
    <mergeCell ref="D9:E9"/>
    <mergeCell ref="A10:B10"/>
    <mergeCell ref="D10:E10"/>
    <mergeCell ref="A12:F12"/>
    <mergeCell ref="A13:B13"/>
    <mergeCell ref="D13:E13"/>
    <mergeCell ref="B5:F5"/>
    <mergeCell ref="A6:B6"/>
    <mergeCell ref="D6:E6"/>
    <mergeCell ref="A7:F7"/>
    <mergeCell ref="A8:B8"/>
    <mergeCell ref="D8:E8"/>
    <mergeCell ref="A14:B14"/>
    <mergeCell ref="D14:E14"/>
    <mergeCell ref="A15:B15"/>
    <mergeCell ref="D15:E15"/>
  </mergeCells>
  <printOptions horizontalCentered="1"/>
  <pageMargins left="1.1811023622047245" right="0.59055118110236227" top="0.59055118110236227" bottom="0.39370078740157483" header="0.19685039370078741" footer="0.19685039370078741"/>
  <pageSetup scale="80" pageOrder="overThenDown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Kristīne Pēce</cp:lastModifiedBy>
  <cp:lastPrinted>2017-10-11T10:31:15Z</cp:lastPrinted>
  <dcterms:created xsi:type="dcterms:W3CDTF">2016-06-01T06:50:59Z</dcterms:created>
  <dcterms:modified xsi:type="dcterms:W3CDTF">2017-10-11T10:31:19Z</dcterms:modified>
</cp:coreProperties>
</file>