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150" windowHeight="9915" activeTab="5"/>
  </bookViews>
  <sheets>
    <sheet name="1.pielikums" sheetId="1" r:id="rId1"/>
    <sheet name="2.pielikums" sheetId="2" r:id="rId2"/>
    <sheet name="3.pielikums" sheetId="3" r:id="rId3"/>
    <sheet name="4.pielikums" sheetId="14" r:id="rId4"/>
    <sheet name="6.pielikums" sheetId="9" r:id="rId5"/>
    <sheet name="7.pielikums" sheetId="12" r:id="rId6"/>
  </sheets>
  <definedNames>
    <definedName name="_xlnm.Print_Titles" localSheetId="0">'1.pielikums'!$8:$8</definedName>
    <definedName name="_xlnm.Print_Titles" localSheetId="2">'3.pielikums'!$8:$10</definedName>
    <definedName name="_xlnm.Print_Titles" localSheetId="3">'4.pielikums'!$6:$6</definedName>
    <definedName name="_xlnm.Print_Titles" localSheetId="5">'7.pielikums'!$6:$6</definedName>
  </definedNames>
  <calcPr calcId="152511"/>
</workbook>
</file>

<file path=xl/calcChain.xml><?xml version="1.0" encoding="utf-8"?>
<calcChain xmlns="http://schemas.openxmlformats.org/spreadsheetml/2006/main">
  <c r="E33" i="3" l="1"/>
  <c r="F33" i="3"/>
  <c r="G33" i="3"/>
  <c r="H33" i="3"/>
  <c r="I33" i="3"/>
  <c r="J33" i="3"/>
  <c r="K33" i="3"/>
  <c r="L33" i="3"/>
  <c r="D33" i="3"/>
  <c r="C35" i="3"/>
  <c r="C36" i="3"/>
  <c r="H107" i="3" l="1"/>
  <c r="E113" i="3"/>
  <c r="D73" i="1"/>
  <c r="E68" i="3" l="1"/>
  <c r="E30" i="3"/>
  <c r="E104" i="3"/>
  <c r="E62" i="3"/>
  <c r="G8" i="9" l="1"/>
  <c r="D174" i="3"/>
  <c r="D171" i="3"/>
  <c r="D170" i="3"/>
  <c r="D158" i="3"/>
  <c r="D149" i="3"/>
  <c r="H144" i="3"/>
  <c r="D134" i="3"/>
  <c r="H135" i="3"/>
  <c r="F136" i="3"/>
  <c r="H132" i="3"/>
  <c r="H131" i="3"/>
  <c r="F130" i="3"/>
  <c r="D130" i="3"/>
  <c r="H122" i="3"/>
  <c r="H121" i="3"/>
  <c r="F121" i="3"/>
  <c r="H119" i="3"/>
  <c r="H118" i="3"/>
  <c r="H115" i="3"/>
  <c r="H114" i="3"/>
  <c r="H113" i="3"/>
  <c r="F113" i="3"/>
  <c r="D113" i="3"/>
  <c r="D99" i="3"/>
  <c r="D104" i="3"/>
  <c r="F90" i="3"/>
  <c r="D80" i="3"/>
  <c r="H76" i="3"/>
  <c r="D63" i="3"/>
  <c r="D62" i="3"/>
  <c r="H62" i="3"/>
  <c r="J59" i="3"/>
  <c r="D40" i="3"/>
  <c r="D30" i="3"/>
  <c r="H16" i="3"/>
  <c r="E38" i="3" l="1"/>
  <c r="F38" i="3"/>
  <c r="G38" i="3"/>
  <c r="H38" i="3"/>
  <c r="I38" i="3"/>
  <c r="J38" i="3"/>
  <c r="K38" i="3"/>
  <c r="L38" i="3"/>
  <c r="C42" i="3"/>
  <c r="E43" i="3"/>
  <c r="F43" i="3"/>
  <c r="G43" i="3"/>
  <c r="I43" i="3"/>
  <c r="J43" i="3"/>
  <c r="K43" i="3"/>
  <c r="L43" i="3"/>
  <c r="D43" i="3"/>
  <c r="C46" i="3"/>
  <c r="E46" i="1" l="1"/>
  <c r="E45" i="1" s="1"/>
  <c r="D45" i="1"/>
  <c r="C45" i="1"/>
  <c r="I27" i="9"/>
  <c r="I26" i="9"/>
  <c r="I25" i="9"/>
  <c r="E32" i="9" l="1"/>
  <c r="G10" i="9"/>
  <c r="H152" i="3"/>
  <c r="D156" i="3"/>
  <c r="D147" i="3"/>
  <c r="D139" i="3"/>
  <c r="F118" i="3"/>
  <c r="D114" i="3"/>
  <c r="D108" i="3"/>
  <c r="D107" i="3"/>
  <c r="D98" i="3"/>
  <c r="H94" i="3"/>
  <c r="H88" i="3"/>
  <c r="H91" i="3"/>
  <c r="H90" i="3"/>
  <c r="F91" i="3"/>
  <c r="H86" i="3"/>
  <c r="D84" i="3"/>
  <c r="H60" i="3"/>
  <c r="H44" i="3"/>
  <c r="H43" i="3" s="1"/>
  <c r="D39" i="3"/>
  <c r="D38" i="3" s="1"/>
  <c r="H23" i="3"/>
  <c r="C65" i="1"/>
  <c r="C60" i="1"/>
  <c r="D65" i="1" l="1"/>
  <c r="E67" i="1"/>
  <c r="L21" i="3" l="1"/>
  <c r="K21" i="3"/>
  <c r="J21" i="3"/>
  <c r="I21" i="3"/>
  <c r="H21" i="3"/>
  <c r="G21" i="3"/>
  <c r="F21" i="3"/>
  <c r="E21" i="3"/>
  <c r="D21" i="3"/>
  <c r="C23" i="3"/>
  <c r="C22" i="3"/>
  <c r="L83" i="3" l="1"/>
  <c r="K83" i="3"/>
  <c r="J83" i="3"/>
  <c r="I83" i="3"/>
  <c r="H83" i="3"/>
  <c r="G83" i="3"/>
  <c r="F83" i="3"/>
  <c r="E83" i="3"/>
  <c r="D83" i="3"/>
  <c r="C86" i="3"/>
  <c r="L106" i="3"/>
  <c r="K106" i="3"/>
  <c r="J106" i="3"/>
  <c r="I106" i="3"/>
  <c r="H106" i="3"/>
  <c r="G106" i="3"/>
  <c r="E106" i="3"/>
  <c r="D106" i="3"/>
  <c r="C108" i="3"/>
  <c r="L71" i="3"/>
  <c r="K71" i="3"/>
  <c r="J71" i="3"/>
  <c r="I71" i="3"/>
  <c r="F16" i="2" s="1"/>
  <c r="H71" i="3"/>
  <c r="G71" i="3"/>
  <c r="F71" i="3"/>
  <c r="E71" i="3"/>
  <c r="D71" i="3"/>
  <c r="C76" i="3"/>
  <c r="C45" i="3"/>
  <c r="C127" i="12" l="1"/>
  <c r="C126" i="12"/>
  <c r="C125" i="12"/>
  <c r="C49" i="12"/>
  <c r="C48" i="12"/>
  <c r="C31" i="12"/>
  <c r="C30" i="12"/>
  <c r="E34" i="9"/>
  <c r="F123" i="3"/>
  <c r="H151" i="3"/>
  <c r="F151" i="3"/>
  <c r="F131" i="3"/>
  <c r="D127" i="3"/>
  <c r="F107" i="3"/>
  <c r="F106" i="3" s="1"/>
  <c r="D94" i="3"/>
  <c r="D91" i="3"/>
  <c r="D90" i="3"/>
  <c r="F65" i="3"/>
  <c r="D67" i="3"/>
  <c r="D66" i="3"/>
  <c r="D55" i="3"/>
  <c r="D53" i="3"/>
  <c r="D50" i="3"/>
  <c r="D49" i="3"/>
  <c r="D32" i="3"/>
  <c r="D28" i="3"/>
  <c r="D24" i="3"/>
  <c r="D18" i="3"/>
  <c r="H13" i="3"/>
  <c r="I13" i="3"/>
  <c r="C70" i="1"/>
  <c r="C32" i="1"/>
  <c r="E66" i="1" l="1"/>
  <c r="E120" i="3" l="1"/>
  <c r="F120" i="3"/>
  <c r="G120" i="3"/>
  <c r="H120" i="3"/>
  <c r="I120" i="3"/>
  <c r="J120" i="3"/>
  <c r="K120" i="3"/>
  <c r="L120" i="3"/>
  <c r="D120" i="3"/>
  <c r="C125" i="3"/>
  <c r="E110" i="3"/>
  <c r="F110" i="3"/>
  <c r="G110" i="3"/>
  <c r="H110" i="3"/>
  <c r="I110" i="3"/>
  <c r="J110" i="3"/>
  <c r="K110" i="3"/>
  <c r="L110" i="3"/>
  <c r="D110" i="3"/>
  <c r="C116" i="3"/>
  <c r="E64" i="3"/>
  <c r="F64" i="3"/>
  <c r="G64" i="3"/>
  <c r="H64" i="3"/>
  <c r="I64" i="3"/>
  <c r="J64" i="3"/>
  <c r="K64" i="3"/>
  <c r="L64" i="3"/>
  <c r="D64" i="3"/>
  <c r="C70" i="3"/>
  <c r="C64" i="3" l="1"/>
  <c r="G18" i="9"/>
  <c r="I18" i="9" s="1"/>
  <c r="I19" i="9"/>
  <c r="I20" i="9"/>
  <c r="G21" i="9"/>
  <c r="I21" i="9" s="1"/>
  <c r="I22" i="9"/>
  <c r="I23" i="9"/>
  <c r="I24" i="9"/>
  <c r="I28" i="9"/>
  <c r="D17" i="9"/>
  <c r="F17" i="9"/>
  <c r="C17" i="9"/>
  <c r="G17" i="9" l="1"/>
  <c r="I17" i="9" s="1"/>
  <c r="C41" i="3"/>
  <c r="E51" i="1"/>
  <c r="D48" i="1"/>
  <c r="C48" i="1"/>
  <c r="G33" i="9"/>
  <c r="I33" i="9" l="1"/>
  <c r="G32" i="9"/>
  <c r="G31" i="9"/>
  <c r="I31" i="9" s="1"/>
  <c r="G30" i="9"/>
  <c r="I30" i="9" s="1"/>
  <c r="H29" i="9"/>
  <c r="H34" i="9" s="1"/>
  <c r="F29" i="9"/>
  <c r="F34" i="9" s="1"/>
  <c r="D29" i="9"/>
  <c r="D34" i="9" s="1"/>
  <c r="C29" i="9"/>
  <c r="H12" i="9"/>
  <c r="G12" i="9"/>
  <c r="I11" i="9"/>
  <c r="I10" i="9"/>
  <c r="I9" i="9"/>
  <c r="I8" i="9"/>
  <c r="I32" i="9" l="1"/>
  <c r="G29" i="9"/>
  <c r="I29" i="9" s="1"/>
  <c r="I12" i="9"/>
  <c r="C34" i="9"/>
  <c r="G34" i="9" l="1"/>
  <c r="I34" i="9"/>
  <c r="C174" i="3" l="1"/>
  <c r="C53" i="1" l="1"/>
  <c r="D53" i="1"/>
  <c r="E138" i="3" l="1"/>
  <c r="F138" i="3"/>
  <c r="G138" i="3"/>
  <c r="H138" i="3"/>
  <c r="I138" i="3"/>
  <c r="J138" i="3"/>
  <c r="K138" i="3"/>
  <c r="L138" i="3"/>
  <c r="D138" i="3"/>
  <c r="C144" i="3"/>
  <c r="E129" i="3"/>
  <c r="F129" i="3"/>
  <c r="G129" i="3"/>
  <c r="H129" i="3"/>
  <c r="I129" i="3"/>
  <c r="J129" i="3"/>
  <c r="K129" i="3"/>
  <c r="L129" i="3"/>
  <c r="D129" i="3"/>
  <c r="C132" i="3"/>
  <c r="E54" i="1" l="1"/>
  <c r="E53" i="1" s="1"/>
  <c r="C167" i="3" l="1"/>
  <c r="C60" i="3"/>
  <c r="G28" i="2" l="1"/>
  <c r="F28" i="2"/>
  <c r="E28" i="2"/>
  <c r="E24" i="2"/>
  <c r="F24" i="2"/>
  <c r="G24" i="2"/>
  <c r="E25" i="2"/>
  <c r="F25" i="2"/>
  <c r="G25" i="2"/>
  <c r="D26" i="2"/>
  <c r="E26" i="2"/>
  <c r="F26" i="2"/>
  <c r="G26" i="2"/>
  <c r="D27" i="2"/>
  <c r="E27" i="2"/>
  <c r="F27" i="2"/>
  <c r="G27" i="2"/>
  <c r="G23" i="2"/>
  <c r="F23" i="2"/>
  <c r="E23" i="2"/>
  <c r="D23" i="2"/>
  <c r="G21" i="2"/>
  <c r="F21" i="2"/>
  <c r="E21" i="2"/>
  <c r="D21" i="2"/>
  <c r="E168" i="3"/>
  <c r="E166" i="3" s="1"/>
  <c r="F168" i="3"/>
  <c r="F166" i="3" s="1"/>
  <c r="G168" i="3"/>
  <c r="G166" i="3" s="1"/>
  <c r="H168" i="3"/>
  <c r="H166" i="3" s="1"/>
  <c r="I168" i="3"/>
  <c r="I166" i="3" s="1"/>
  <c r="J168" i="3"/>
  <c r="J166" i="3" s="1"/>
  <c r="K168" i="3"/>
  <c r="K166" i="3" s="1"/>
  <c r="L168" i="3"/>
  <c r="L166" i="3" s="1"/>
  <c r="D168" i="3"/>
  <c r="D166" i="3" s="1"/>
  <c r="C173" i="3"/>
  <c r="C172" i="3"/>
  <c r="C171" i="3"/>
  <c r="C170" i="3"/>
  <c r="C169" i="3"/>
  <c r="C166" i="3" l="1"/>
  <c r="H28" i="2"/>
  <c r="C168" i="3"/>
  <c r="E161" i="3" l="1"/>
  <c r="F161" i="3"/>
  <c r="G161" i="3"/>
  <c r="H161" i="3"/>
  <c r="I161" i="3"/>
  <c r="J161" i="3"/>
  <c r="K161" i="3"/>
  <c r="L161" i="3"/>
  <c r="D161" i="3"/>
  <c r="C163" i="3"/>
  <c r="C164" i="3"/>
  <c r="C165" i="3"/>
  <c r="C162" i="3"/>
  <c r="E154" i="3"/>
  <c r="F154" i="3"/>
  <c r="G154" i="3"/>
  <c r="H154" i="3"/>
  <c r="I154" i="3"/>
  <c r="J154" i="3"/>
  <c r="K154" i="3"/>
  <c r="L154" i="3"/>
  <c r="D154" i="3"/>
  <c r="C156" i="3"/>
  <c r="C157" i="3"/>
  <c r="C158" i="3"/>
  <c r="C159" i="3"/>
  <c r="C160" i="3"/>
  <c r="C155" i="3"/>
  <c r="C153" i="3"/>
  <c r="C152" i="3"/>
  <c r="E148" i="3"/>
  <c r="F148" i="3"/>
  <c r="G148" i="3"/>
  <c r="H148" i="3"/>
  <c r="I148" i="3"/>
  <c r="J148" i="3"/>
  <c r="K148" i="3"/>
  <c r="L148" i="3"/>
  <c r="D148" i="3"/>
  <c r="C150" i="3"/>
  <c r="C151" i="3"/>
  <c r="C149" i="3"/>
  <c r="E145" i="3"/>
  <c r="F145" i="3"/>
  <c r="G145" i="3"/>
  <c r="H145" i="3"/>
  <c r="I145" i="3"/>
  <c r="J145" i="3"/>
  <c r="K145" i="3"/>
  <c r="L145" i="3"/>
  <c r="D145" i="3"/>
  <c r="C147" i="3"/>
  <c r="C146" i="3"/>
  <c r="C140" i="3"/>
  <c r="C141" i="3"/>
  <c r="C142" i="3"/>
  <c r="C143" i="3"/>
  <c r="C139" i="3"/>
  <c r="J137" i="3" l="1"/>
  <c r="K137" i="3"/>
  <c r="G19" i="2" s="1"/>
  <c r="G137" i="3"/>
  <c r="E19" i="2" s="1"/>
  <c r="E137" i="3"/>
  <c r="D19" i="2" s="1"/>
  <c r="I137" i="3"/>
  <c r="H137" i="3"/>
  <c r="L137" i="3"/>
  <c r="F137" i="3"/>
  <c r="C161" i="3"/>
  <c r="C154" i="3"/>
  <c r="C148" i="3"/>
  <c r="C145" i="3"/>
  <c r="E133" i="3"/>
  <c r="F133" i="3"/>
  <c r="G133" i="3"/>
  <c r="H133" i="3"/>
  <c r="I133" i="3"/>
  <c r="J133" i="3"/>
  <c r="K133" i="3"/>
  <c r="L133" i="3"/>
  <c r="D133" i="3"/>
  <c r="C136" i="3"/>
  <c r="C135" i="3"/>
  <c r="C134" i="3"/>
  <c r="C131" i="3"/>
  <c r="C130" i="3"/>
  <c r="C128" i="3"/>
  <c r="C127" i="3"/>
  <c r="E126" i="3"/>
  <c r="F126" i="3"/>
  <c r="G126" i="3"/>
  <c r="H126" i="3"/>
  <c r="I126" i="3"/>
  <c r="J126" i="3"/>
  <c r="K126" i="3"/>
  <c r="L126" i="3"/>
  <c r="D126" i="3"/>
  <c r="C124" i="3"/>
  <c r="C123" i="3"/>
  <c r="C122" i="3"/>
  <c r="C121" i="3"/>
  <c r="E117" i="3"/>
  <c r="F117" i="3"/>
  <c r="G117" i="3"/>
  <c r="H117" i="3"/>
  <c r="I117" i="3"/>
  <c r="J117" i="3"/>
  <c r="K117" i="3"/>
  <c r="L117" i="3"/>
  <c r="D117" i="3"/>
  <c r="C119" i="3"/>
  <c r="C118" i="3"/>
  <c r="C112" i="3"/>
  <c r="C113" i="3"/>
  <c r="C114" i="3"/>
  <c r="C115" i="3"/>
  <c r="C111" i="3"/>
  <c r="C107" i="3"/>
  <c r="E100" i="3"/>
  <c r="F100" i="3"/>
  <c r="G100" i="3"/>
  <c r="H100" i="3"/>
  <c r="I100" i="3"/>
  <c r="J100" i="3"/>
  <c r="K100" i="3"/>
  <c r="L100" i="3"/>
  <c r="D100" i="3"/>
  <c r="C102" i="3"/>
  <c r="C103" i="3"/>
  <c r="C104" i="3"/>
  <c r="C101" i="3"/>
  <c r="C99" i="3"/>
  <c r="E96" i="3"/>
  <c r="F96" i="3"/>
  <c r="G96" i="3"/>
  <c r="H96" i="3"/>
  <c r="I96" i="3"/>
  <c r="J96" i="3"/>
  <c r="K96" i="3"/>
  <c r="L96" i="3"/>
  <c r="D96" i="3"/>
  <c r="C98" i="3"/>
  <c r="C97" i="3"/>
  <c r="E92" i="3"/>
  <c r="F92" i="3"/>
  <c r="G92" i="3"/>
  <c r="H92" i="3"/>
  <c r="I92" i="3"/>
  <c r="J92" i="3"/>
  <c r="K92" i="3"/>
  <c r="L92" i="3"/>
  <c r="D92" i="3"/>
  <c r="C95" i="3"/>
  <c r="C94" i="3"/>
  <c r="C93" i="3"/>
  <c r="E89" i="3"/>
  <c r="F89" i="3"/>
  <c r="G89" i="3"/>
  <c r="H89" i="3"/>
  <c r="I89" i="3"/>
  <c r="J89" i="3"/>
  <c r="K89" i="3"/>
  <c r="L89" i="3"/>
  <c r="D89" i="3"/>
  <c r="C91" i="3"/>
  <c r="C90" i="3"/>
  <c r="E87" i="3"/>
  <c r="F87" i="3"/>
  <c r="G87" i="3"/>
  <c r="H87" i="3"/>
  <c r="I87" i="3"/>
  <c r="J87" i="3"/>
  <c r="K87" i="3"/>
  <c r="L87" i="3"/>
  <c r="D87" i="3"/>
  <c r="C88" i="3"/>
  <c r="C85" i="3"/>
  <c r="C84" i="3"/>
  <c r="E78" i="3"/>
  <c r="F78" i="3"/>
  <c r="G78" i="3"/>
  <c r="H78" i="3"/>
  <c r="I78" i="3"/>
  <c r="J78" i="3"/>
  <c r="K78" i="3"/>
  <c r="L78" i="3"/>
  <c r="D78" i="3"/>
  <c r="C81" i="3"/>
  <c r="C80" i="3"/>
  <c r="C79" i="3"/>
  <c r="F82" i="3" l="1"/>
  <c r="J109" i="3"/>
  <c r="J105" i="3" s="1"/>
  <c r="F109" i="3"/>
  <c r="F105" i="3" s="1"/>
  <c r="K109" i="3"/>
  <c r="G109" i="3"/>
  <c r="G105" i="3" s="1"/>
  <c r="E18" i="2" s="1"/>
  <c r="L82" i="3"/>
  <c r="L77" i="3" s="1"/>
  <c r="H82" i="3"/>
  <c r="H77" i="3" s="1"/>
  <c r="J82" i="3"/>
  <c r="J77" i="3" s="1"/>
  <c r="F77" i="3"/>
  <c r="C89" i="3"/>
  <c r="C117" i="3"/>
  <c r="K82" i="3"/>
  <c r="K77" i="3" s="1"/>
  <c r="G17" i="2" s="1"/>
  <c r="G82" i="3"/>
  <c r="G77" i="3" s="1"/>
  <c r="L109" i="3"/>
  <c r="L105" i="3" s="1"/>
  <c r="H109" i="3"/>
  <c r="H105" i="3" s="1"/>
  <c r="K105" i="3"/>
  <c r="G18" i="2" s="1"/>
  <c r="D109" i="3"/>
  <c r="D105" i="3" s="1"/>
  <c r="I109" i="3"/>
  <c r="I105" i="3" s="1"/>
  <c r="F18" i="2" s="1"/>
  <c r="E109" i="3"/>
  <c r="E105" i="3" s="1"/>
  <c r="D18" i="2" s="1"/>
  <c r="C96" i="3"/>
  <c r="C87" i="3"/>
  <c r="C126" i="3"/>
  <c r="C133" i="3"/>
  <c r="D82" i="3"/>
  <c r="D77" i="3" s="1"/>
  <c r="I82" i="3"/>
  <c r="I77" i="3" s="1"/>
  <c r="E82" i="3"/>
  <c r="C129" i="3"/>
  <c r="C120" i="3"/>
  <c r="C110" i="3"/>
  <c r="C106" i="3"/>
  <c r="C78" i="3"/>
  <c r="C92" i="3"/>
  <c r="C100" i="3"/>
  <c r="C83" i="3"/>
  <c r="C73" i="3"/>
  <c r="C74" i="3"/>
  <c r="C75" i="3"/>
  <c r="C72" i="3"/>
  <c r="D16" i="2"/>
  <c r="E16" i="2"/>
  <c r="G16" i="2"/>
  <c r="E61" i="3"/>
  <c r="D15" i="2" s="1"/>
  <c r="F61" i="3"/>
  <c r="G61" i="3"/>
  <c r="E15" i="2" s="1"/>
  <c r="H61" i="3"/>
  <c r="I61" i="3"/>
  <c r="J61" i="3"/>
  <c r="K61" i="3"/>
  <c r="G15" i="2" s="1"/>
  <c r="L61" i="3"/>
  <c r="D61" i="3"/>
  <c r="C66" i="3"/>
  <c r="C67" i="3"/>
  <c r="C68" i="3"/>
  <c r="C69" i="3"/>
  <c r="C65" i="3"/>
  <c r="C63" i="3"/>
  <c r="C62" i="3"/>
  <c r="C61" i="3" l="1"/>
  <c r="C105" i="3"/>
  <c r="C109" i="3"/>
  <c r="C82" i="3"/>
  <c r="E77" i="3"/>
  <c r="D17" i="2" s="1"/>
  <c r="C71" i="3"/>
  <c r="C77" i="3" l="1"/>
  <c r="E52" i="3"/>
  <c r="F52" i="3"/>
  <c r="G52" i="3"/>
  <c r="H52" i="3"/>
  <c r="I52" i="3"/>
  <c r="J52" i="3"/>
  <c r="K52" i="3"/>
  <c r="L52" i="3"/>
  <c r="D52" i="3"/>
  <c r="E56" i="3"/>
  <c r="F56" i="3"/>
  <c r="G56" i="3"/>
  <c r="H56" i="3"/>
  <c r="I56" i="3"/>
  <c r="J56" i="3"/>
  <c r="K56" i="3"/>
  <c r="L56" i="3"/>
  <c r="D56" i="3"/>
  <c r="E58" i="3"/>
  <c r="F58" i="3"/>
  <c r="G58" i="3"/>
  <c r="H58" i="3"/>
  <c r="I58" i="3"/>
  <c r="J58" i="3"/>
  <c r="K58" i="3"/>
  <c r="L58" i="3"/>
  <c r="D58" i="3"/>
  <c r="C59" i="3"/>
  <c r="C57" i="3"/>
  <c r="C55" i="3"/>
  <c r="C54" i="3"/>
  <c r="C53" i="3"/>
  <c r="E47" i="3"/>
  <c r="F47" i="3"/>
  <c r="G47" i="3"/>
  <c r="H47" i="3"/>
  <c r="I47" i="3"/>
  <c r="J47" i="3"/>
  <c r="K47" i="3"/>
  <c r="L47" i="3"/>
  <c r="D47" i="3"/>
  <c r="C49" i="3"/>
  <c r="C50" i="3"/>
  <c r="C48" i="3"/>
  <c r="C44" i="3"/>
  <c r="C40" i="3"/>
  <c r="C39" i="3"/>
  <c r="C34" i="3"/>
  <c r="E31" i="3"/>
  <c r="F31" i="3"/>
  <c r="G31" i="3"/>
  <c r="E12" i="2" s="1"/>
  <c r="H31" i="3"/>
  <c r="I31" i="3"/>
  <c r="F12" i="2" s="1"/>
  <c r="J31" i="3"/>
  <c r="K31" i="3"/>
  <c r="G12" i="2" s="1"/>
  <c r="L31" i="3"/>
  <c r="D31" i="3"/>
  <c r="C32" i="3"/>
  <c r="C30" i="3"/>
  <c r="E26" i="3"/>
  <c r="F26" i="3"/>
  <c r="G26" i="3"/>
  <c r="H26" i="3"/>
  <c r="I26" i="3"/>
  <c r="J26" i="3"/>
  <c r="K26" i="3"/>
  <c r="L26" i="3"/>
  <c r="D26" i="3"/>
  <c r="C28" i="3"/>
  <c r="C29" i="3"/>
  <c r="C27" i="3"/>
  <c r="C24" i="3"/>
  <c r="C25" i="3"/>
  <c r="C21" i="3"/>
  <c r="E17" i="3"/>
  <c r="F17" i="3"/>
  <c r="G17" i="3"/>
  <c r="H17" i="3"/>
  <c r="I17" i="3"/>
  <c r="J17" i="3"/>
  <c r="K17" i="3"/>
  <c r="L17" i="3"/>
  <c r="D17" i="3"/>
  <c r="C19" i="3"/>
  <c r="C20" i="3"/>
  <c r="C18" i="3"/>
  <c r="D37" i="3" l="1"/>
  <c r="D12" i="2"/>
  <c r="L37" i="3"/>
  <c r="H37" i="3"/>
  <c r="K37" i="3"/>
  <c r="G37" i="3"/>
  <c r="C17" i="3"/>
  <c r="J51" i="3"/>
  <c r="F51" i="3"/>
  <c r="F37" i="3"/>
  <c r="J37" i="3"/>
  <c r="D51" i="3"/>
  <c r="E51" i="3"/>
  <c r="C38" i="3"/>
  <c r="I37" i="3"/>
  <c r="E37" i="3"/>
  <c r="D13" i="2" s="1"/>
  <c r="C58" i="3"/>
  <c r="K51" i="3"/>
  <c r="L51" i="3"/>
  <c r="H51" i="3"/>
  <c r="C43" i="3"/>
  <c r="I51" i="3"/>
  <c r="F14" i="2" s="1"/>
  <c r="G51" i="3"/>
  <c r="E14" i="2" s="1"/>
  <c r="C52" i="3"/>
  <c r="C56" i="3"/>
  <c r="C47" i="3"/>
  <c r="C31" i="3"/>
  <c r="C33" i="3"/>
  <c r="C26" i="3"/>
  <c r="C15" i="3"/>
  <c r="C16" i="3"/>
  <c r="C14" i="3"/>
  <c r="E13" i="3"/>
  <c r="F13" i="3"/>
  <c r="F12" i="3" s="1"/>
  <c r="G13" i="3"/>
  <c r="G12" i="3" s="1"/>
  <c r="E11" i="2" s="1"/>
  <c r="H12" i="3"/>
  <c r="I12" i="3"/>
  <c r="J13" i="3"/>
  <c r="J12" i="3" s="1"/>
  <c r="K13" i="3"/>
  <c r="K12" i="3" s="1"/>
  <c r="G11" i="2" s="1"/>
  <c r="L13" i="3"/>
  <c r="L12" i="3" s="1"/>
  <c r="D13" i="3"/>
  <c r="L11" i="3" l="1"/>
  <c r="L175" i="3" s="1"/>
  <c r="E12" i="3"/>
  <c r="J11" i="3"/>
  <c r="J175" i="3" s="1"/>
  <c r="G13" i="2"/>
  <c r="G10" i="2" s="1"/>
  <c r="K11" i="3"/>
  <c r="K175" i="3" s="1"/>
  <c r="F10" i="2"/>
  <c r="I11" i="3"/>
  <c r="I175" i="3" s="1"/>
  <c r="G11" i="3"/>
  <c r="G175" i="3" s="1"/>
  <c r="E13" i="2"/>
  <c r="E10" i="2" s="1"/>
  <c r="H11" i="3"/>
  <c r="H175" i="3" s="1"/>
  <c r="F11" i="3"/>
  <c r="F175" i="3" s="1"/>
  <c r="C37" i="3"/>
  <c r="C51" i="3"/>
  <c r="C13" i="3"/>
  <c r="D12" i="3"/>
  <c r="D22" i="2"/>
  <c r="D20" i="2" s="1"/>
  <c r="E22" i="2"/>
  <c r="E20" i="2" s="1"/>
  <c r="F22" i="2"/>
  <c r="F20" i="2" s="1"/>
  <c r="G22" i="2"/>
  <c r="G20" i="2" s="1"/>
  <c r="C22" i="2"/>
  <c r="C20" i="2" s="1"/>
  <c r="C10" i="2"/>
  <c r="H12" i="2"/>
  <c r="H14" i="2"/>
  <c r="H15" i="2"/>
  <c r="H16" i="2"/>
  <c r="H17" i="2"/>
  <c r="H18" i="2"/>
  <c r="H19" i="2"/>
  <c r="H21" i="2"/>
  <c r="H23" i="2"/>
  <c r="H24" i="2"/>
  <c r="H25" i="2"/>
  <c r="H26" i="2"/>
  <c r="H27" i="2"/>
  <c r="E77" i="1"/>
  <c r="E76" i="1"/>
  <c r="D75" i="1"/>
  <c r="C75" i="1"/>
  <c r="E74" i="1"/>
  <c r="E70" i="1"/>
  <c r="E71" i="1"/>
  <c r="E72" i="1"/>
  <c r="E73" i="1"/>
  <c r="E69" i="1"/>
  <c r="E65" i="1"/>
  <c r="D68" i="1"/>
  <c r="D64" i="1" s="1"/>
  <c r="D63" i="1" s="1"/>
  <c r="C68" i="1"/>
  <c r="E11" i="3" l="1"/>
  <c r="E175" i="3" s="1"/>
  <c r="D11" i="2"/>
  <c r="C64" i="1"/>
  <c r="C63" i="1" s="1"/>
  <c r="C29" i="2"/>
  <c r="H13" i="2"/>
  <c r="E68" i="1"/>
  <c r="E64" i="1" s="1"/>
  <c r="E63" i="1" s="1"/>
  <c r="C12" i="3"/>
  <c r="G29" i="2"/>
  <c r="F29" i="2"/>
  <c r="E29" i="2"/>
  <c r="H22" i="2"/>
  <c r="H20" i="2"/>
  <c r="E75" i="1"/>
  <c r="E58" i="1"/>
  <c r="E59" i="1"/>
  <c r="E60" i="1"/>
  <c r="E57" i="1"/>
  <c r="D56" i="1"/>
  <c r="D55" i="1" s="1"/>
  <c r="C56" i="1"/>
  <c r="C55" i="1" s="1"/>
  <c r="E62" i="1"/>
  <c r="E61" i="1" s="1"/>
  <c r="D61" i="1"/>
  <c r="C61" i="1"/>
  <c r="E50" i="1"/>
  <c r="E49" i="1"/>
  <c r="E47" i="1"/>
  <c r="E43" i="1"/>
  <c r="E44" i="1"/>
  <c r="E42" i="1"/>
  <c r="D41" i="1"/>
  <c r="D40" i="1" s="1"/>
  <c r="C41" i="1"/>
  <c r="C40" i="1" s="1"/>
  <c r="E39" i="1"/>
  <c r="E38" i="1"/>
  <c r="D37" i="1"/>
  <c r="D36" i="1" s="1"/>
  <c r="C37" i="1"/>
  <c r="C36" i="1" s="1"/>
  <c r="E30" i="1"/>
  <c r="E31" i="1"/>
  <c r="E32" i="1"/>
  <c r="E33" i="1"/>
  <c r="E34" i="1"/>
  <c r="E35" i="1"/>
  <c r="E29" i="1"/>
  <c r="E25" i="1"/>
  <c r="E26" i="1"/>
  <c r="E27" i="1"/>
  <c r="E24" i="1"/>
  <c r="E21" i="1"/>
  <c r="E20" i="1" s="1"/>
  <c r="E18" i="1"/>
  <c r="E17" i="1"/>
  <c r="E16" i="1"/>
  <c r="E15" i="1"/>
  <c r="E13" i="1"/>
  <c r="E12" i="1"/>
  <c r="D23" i="1"/>
  <c r="C23" i="1"/>
  <c r="D28" i="1"/>
  <c r="C28" i="1"/>
  <c r="D20" i="1"/>
  <c r="C20" i="1"/>
  <c r="D14" i="1"/>
  <c r="C14" i="1"/>
  <c r="D11" i="1"/>
  <c r="C11" i="1"/>
  <c r="E48" i="1" l="1"/>
  <c r="H11" i="2"/>
  <c r="D10" i="2"/>
  <c r="C52" i="1"/>
  <c r="D52" i="1"/>
  <c r="D10" i="1"/>
  <c r="D22" i="1"/>
  <c r="D19" i="1" s="1"/>
  <c r="E56" i="1"/>
  <c r="E55" i="1" s="1"/>
  <c r="E52" i="1" s="1"/>
  <c r="C22" i="1"/>
  <c r="C19" i="1" s="1"/>
  <c r="E28" i="1"/>
  <c r="E23" i="1"/>
  <c r="C10" i="1"/>
  <c r="E11" i="1"/>
  <c r="E41" i="1"/>
  <c r="E40" i="1" s="1"/>
  <c r="E37" i="1"/>
  <c r="E36" i="1" s="1"/>
  <c r="E14" i="1"/>
  <c r="D29" i="2" l="1"/>
  <c r="H29" i="2" s="1"/>
  <c r="H10" i="2"/>
  <c r="D9" i="1"/>
  <c r="D78" i="1" s="1"/>
  <c r="E22" i="1"/>
  <c r="E19" i="1" s="1"/>
  <c r="C9" i="1"/>
  <c r="C78" i="1" s="1"/>
  <c r="E10" i="1"/>
  <c r="E9" i="1" l="1"/>
  <c r="E78" i="1" s="1"/>
  <c r="C138" i="3" l="1"/>
  <c r="D137" i="3"/>
  <c r="C137" i="3" l="1"/>
  <c r="D11" i="3"/>
  <c r="C11" i="3" s="1"/>
  <c r="C175" i="3" s="1"/>
  <c r="D175" i="3" l="1"/>
</calcChain>
</file>

<file path=xl/sharedStrings.xml><?xml version="1.0" encoding="utf-8"?>
<sst xmlns="http://schemas.openxmlformats.org/spreadsheetml/2006/main" count="1902" uniqueCount="687">
  <si>
    <t>PROJEKTS</t>
  </si>
  <si>
    <t>1.pielikums</t>
  </si>
  <si>
    <t>Pamatbudžeta ieņēmumi</t>
  </si>
  <si>
    <t>Rādītāju nosaukums</t>
  </si>
  <si>
    <t>Grozījumi</t>
  </si>
  <si>
    <t>Klasifikā-cijas kods</t>
  </si>
  <si>
    <t>01.110.</t>
  </si>
  <si>
    <t>Iedzīvotāju ienākuma nodoklis</t>
  </si>
  <si>
    <t>01.111.</t>
  </si>
  <si>
    <t>Saņemts no Valsts kases sadales konta iepriekšējā gada nesadalītais iedzīvotāju ienākuma nodokļa atlikums</t>
  </si>
  <si>
    <t>01.112.</t>
  </si>
  <si>
    <t>Saņemts no Valsts kases sadales konta pārskata gadā ieskaitītais iedzīvotāju ienākuma nodoklis</t>
  </si>
  <si>
    <t>EUR</t>
  </si>
  <si>
    <t>04.100.</t>
  </si>
  <si>
    <t>Nekustamā īpašuma nodoklis</t>
  </si>
  <si>
    <t>04.110.</t>
  </si>
  <si>
    <t>Nekustamā īpašuma nodoklis par zemi</t>
  </si>
  <si>
    <t>04.120.</t>
  </si>
  <si>
    <t>Nekustamā īpašuma nodoklis par ēkām</t>
  </si>
  <si>
    <t>04.130.</t>
  </si>
  <si>
    <t>Nekustamā īpašuma nodoklis par mājokļiem</t>
  </si>
  <si>
    <t>05.410.</t>
  </si>
  <si>
    <t>Azartspēļu nodoklis</t>
  </si>
  <si>
    <t>I. IEŅĒMUMI KOPĀ (1+2+3+4)</t>
  </si>
  <si>
    <t>1. Nodokļu ieņēmumi</t>
  </si>
  <si>
    <t>2. Nenodokļu ieņēmumi</t>
  </si>
  <si>
    <t>08.000.</t>
  </si>
  <si>
    <t>Ieņēmumi no uzņēmējdarbības un īpašuma</t>
  </si>
  <si>
    <t>08.620.</t>
  </si>
  <si>
    <t>Procentu ieņēmumi no kontu atlikumiem</t>
  </si>
  <si>
    <t>09.000.</t>
  </si>
  <si>
    <t>Valsts (pašvaldību) nodevas un kancelejas nodevas</t>
  </si>
  <si>
    <t>09.400.</t>
  </si>
  <si>
    <t>Valsts nodevas, kuras ieskaita pašvaldību budžetā</t>
  </si>
  <si>
    <t>09.430.</t>
  </si>
  <si>
    <t>Valsts nodeva par uzvārda, vārda un tautības ieraksta maiņu personu apliecinošos dokumentos</t>
  </si>
  <si>
    <t>09.450.</t>
  </si>
  <si>
    <t>Valsts nodevas par laulības reģistrāciju, civilstāvokļa akta reģistra ieraksta aktualizēšanu vai atjaunošanu un atkārtotas civilstāvokļa aktu reģistrācijas apliecības izsniegšanu</t>
  </si>
  <si>
    <t>09.460.</t>
  </si>
  <si>
    <t>09.490.</t>
  </si>
  <si>
    <t>Pārējās valsts nodevas, kuras ieskaita pašvaldību budžetā</t>
  </si>
  <si>
    <t>09.500.</t>
  </si>
  <si>
    <t>Pašvaldību nodevas</t>
  </si>
  <si>
    <t>09.511.</t>
  </si>
  <si>
    <t>Pašvaldību nodeva par domes izstrādāto oficiālo dokumentu un apliecinātu to kopiju saņemšanu</t>
  </si>
  <si>
    <t>09.512.</t>
  </si>
  <si>
    <t>09.514.</t>
  </si>
  <si>
    <t>09.515.</t>
  </si>
  <si>
    <t>09.517.</t>
  </si>
  <si>
    <t>09.521.</t>
  </si>
  <si>
    <t>09.529.</t>
  </si>
  <si>
    <t>Pašvaldības nodeva par izklaidējoša rakstura pasākumu sarīkošanu publiskās vietās</t>
  </si>
  <si>
    <t>Pašvaldības nodeva par tirdzniecību publiskās vietās</t>
  </si>
  <si>
    <t>Pašvaldības nodeva par dzīvnieku turēšanu</t>
  </si>
  <si>
    <t>Pašvaldības nodeva par reklāmas, afišu un sludinājumu izvietošanu publiskās vietās</t>
  </si>
  <si>
    <t>Pašvaldības nodeva par būvatļaujas saņemšanu</t>
  </si>
  <si>
    <t>Pārējās nodevas, ko uzliek pašvaldības</t>
  </si>
  <si>
    <t>10.000.</t>
  </si>
  <si>
    <t>Naudas sodi un sankcijas</t>
  </si>
  <si>
    <t>10.140.</t>
  </si>
  <si>
    <t>Naudas sodi, ko uzliek pašvaldības</t>
  </si>
  <si>
    <t>10.100.</t>
  </si>
  <si>
    <t>Naudas sodi</t>
  </si>
  <si>
    <t>10.154.</t>
  </si>
  <si>
    <t>Naudas sodi, ko uzliek pašvaldību institūcijas par pārkāpumiem ceļu satiksmē</t>
  </si>
  <si>
    <t>12.000.</t>
  </si>
  <si>
    <t>Pārējie nenodokļu ieņēmumi</t>
  </si>
  <si>
    <t>12.310.</t>
  </si>
  <si>
    <t>Ieņēmumi no privatizācijas</t>
  </si>
  <si>
    <t>12.311.</t>
  </si>
  <si>
    <t>Ieņēmumi no apbūvēta zemesgabala privatizācijas</t>
  </si>
  <si>
    <t>12.312.</t>
  </si>
  <si>
    <t>12.313.</t>
  </si>
  <si>
    <t>Ieņēmumi no dzīvojamo māju privatizācijas</t>
  </si>
  <si>
    <t>12.390.</t>
  </si>
  <si>
    <t>Citi dažādi  nenodokļu ieņēmumi</t>
  </si>
  <si>
    <t>13.000.</t>
  </si>
  <si>
    <t>13.100.</t>
  </si>
  <si>
    <t>13.200.</t>
  </si>
  <si>
    <t>Ieņēmumi no ēku un būvju īpašuma pārdošanas</t>
  </si>
  <si>
    <t>Ieņēmumi no zemes, meža īpašuma pārdošanas</t>
  </si>
  <si>
    <t>Ieņēmumi no (valsts) pašvaldību īpašuma iznomāšanas, pārdošanas un no nodokļu pamatparāda kapitalizācijas</t>
  </si>
  <si>
    <t>3. Transferti</t>
  </si>
  <si>
    <t>18.000.</t>
  </si>
  <si>
    <t>Valsts budžeta transferti</t>
  </si>
  <si>
    <t>18.600.</t>
  </si>
  <si>
    <t>18.620.</t>
  </si>
  <si>
    <t>18.630.</t>
  </si>
  <si>
    <t>18.640.</t>
  </si>
  <si>
    <t>18.690.</t>
  </si>
  <si>
    <t>Pašvaldību saņemtie valsts budžeta transferti noteiktam mērķim</t>
  </si>
  <si>
    <t>Pašvaldību no valsts budžeta iestādēm saņemtie transferti Eiropas Savienības politiku instrumentu un pārējās ārvalstu finanšu palīdzības līdzfinansētajiem projektiem (pasākumiem)</t>
  </si>
  <si>
    <t>Pārējie pašvaldību saņemtie valsts budžeta iestāžu transferti</t>
  </si>
  <si>
    <t>Pašvaldību budžetā saņemtā dotācija no pašvaldību finanšu izlīdzināšanas fonda</t>
  </si>
  <si>
    <t>19.000.</t>
  </si>
  <si>
    <t>19.200.</t>
  </si>
  <si>
    <t>Pašvaldību saņemtie transferti no citām pašvaldībām</t>
  </si>
  <si>
    <t>4. Maksas pakalpojumi un citi pašu ieņēmumi</t>
  </si>
  <si>
    <t>21.000.</t>
  </si>
  <si>
    <t>Iestādes ieņēmumi</t>
  </si>
  <si>
    <t>21.100.</t>
  </si>
  <si>
    <t>Iestādes ieņēmumi no ārvalstu finanšu palīdzības</t>
  </si>
  <si>
    <t>21.300.</t>
  </si>
  <si>
    <t>Ieņēmumi no iestāžu sniegtajiem maksas pakalpojumiem un citi pašu ieņēmumi</t>
  </si>
  <si>
    <t>21.340.</t>
  </si>
  <si>
    <t>21.350.</t>
  </si>
  <si>
    <t>21.370.</t>
  </si>
  <si>
    <t>21.380.</t>
  </si>
  <si>
    <t>21.390.</t>
  </si>
  <si>
    <t>21.490.</t>
  </si>
  <si>
    <t>Procentu ieņēmumi par maksas pakalpojumu un citu pašu ieņēmumu ieguldījumiem depozītā vai kontu atlikumiem</t>
  </si>
  <si>
    <t>Maksa par izglītības pakalpojumiem</t>
  </si>
  <si>
    <t>Ieņēmumi par nomu un īri</t>
  </si>
  <si>
    <t>Citi iepriekš neklasificētie pašu ieņēmumi</t>
  </si>
  <si>
    <t>Ieņēmumi par dokumentu izsniegšanu un kancelejas pakalpojumiem</t>
  </si>
  <si>
    <t>II. FINANSĒŠANA</t>
  </si>
  <si>
    <t>F21010000</t>
  </si>
  <si>
    <t>F40020000</t>
  </si>
  <si>
    <t>Naudas līdzekļi uz perioda sākumu</t>
  </si>
  <si>
    <t>Aizņēmumi</t>
  </si>
  <si>
    <t>PAVISAM RESURSI (I+II)</t>
  </si>
  <si>
    <t>Grozījumi         + vai -</t>
  </si>
  <si>
    <t>Valdības funkcija</t>
  </si>
  <si>
    <t>Resursi izdevumu segšanai</t>
  </si>
  <si>
    <t>Dotācija no vispārējiem ieņēmumiem</t>
  </si>
  <si>
    <t>Budžeta iestāžu ieņēmumi</t>
  </si>
  <si>
    <t>Domes priekšsēdētājs</t>
  </si>
  <si>
    <t>A.Rāviņš</t>
  </si>
  <si>
    <t>I. Izdevumi atbilstoši funkcionālajām kategorijām</t>
  </si>
  <si>
    <t>Pamatbudžeta izdevumu grozījumi</t>
  </si>
  <si>
    <t>01.000.</t>
  </si>
  <si>
    <t>03.000.</t>
  </si>
  <si>
    <t>04.000.</t>
  </si>
  <si>
    <t>05.000.</t>
  </si>
  <si>
    <t>06.000.</t>
  </si>
  <si>
    <t>07.000.</t>
  </si>
  <si>
    <t>II. Finansēšana</t>
  </si>
  <si>
    <t>F40320020</t>
  </si>
  <si>
    <t>F50010000</t>
  </si>
  <si>
    <t>Vispārējie valdības dienesti</t>
  </si>
  <si>
    <t>Sabiedriskā kārtība un drošība</t>
  </si>
  <si>
    <t>Ekonomiskā darbība</t>
  </si>
  <si>
    <t>Vides aizsardzība</t>
  </si>
  <si>
    <t>Teritoriju un mājokļu apsaimniekošana</t>
  </si>
  <si>
    <t>Veselība</t>
  </si>
  <si>
    <t>Atpūta, kultūra un reliģija</t>
  </si>
  <si>
    <t>Izglītība</t>
  </si>
  <si>
    <t>Sociālā aizsardzība</t>
  </si>
  <si>
    <t>Saņemto ilgtermiņa aizņēmumu atmaksa</t>
  </si>
  <si>
    <t>Akcijas un cita līdzdalība komersantu pašu kapitālā</t>
  </si>
  <si>
    <t>PAVISAM IZDEVUMI (I+II)</t>
  </si>
  <si>
    <t>Naudas līdzekļu atlikums uz perioda beigām</t>
  </si>
  <si>
    <t>2.pielikums</t>
  </si>
  <si>
    <t>Pamatbudžeta izdevumu atšifrējums pa programmām</t>
  </si>
  <si>
    <t>Grozījumi dotācijai no vispārējiem ieņēmumiem</t>
  </si>
  <si>
    <t>Grozījumi valsts budžeta transfertiem</t>
  </si>
  <si>
    <t>Pašvaldību budžeta transferti</t>
  </si>
  <si>
    <t>3.pielikums</t>
  </si>
  <si>
    <t>Grozījumi pašvaldību budžeta transfertiem</t>
  </si>
  <si>
    <t>Grozījumi budžeta iestāžu ieņēmumiem</t>
  </si>
  <si>
    <t>Izpildvaras un likumdošanas varas institūcijas</t>
  </si>
  <si>
    <t>Izpildvaras institūcija</t>
  </si>
  <si>
    <t>01.113.</t>
  </si>
  <si>
    <t>01.114.</t>
  </si>
  <si>
    <t>01.120.</t>
  </si>
  <si>
    <t>01.122.</t>
  </si>
  <si>
    <t>01.123.</t>
  </si>
  <si>
    <t>01.124.</t>
  </si>
  <si>
    <t>01.330.</t>
  </si>
  <si>
    <t>01.600.</t>
  </si>
  <si>
    <t>01.720.</t>
  </si>
  <si>
    <t>01.830.</t>
  </si>
  <si>
    <t>01.831.</t>
  </si>
  <si>
    <t>01.832.</t>
  </si>
  <si>
    <t>01.833.</t>
  </si>
  <si>
    <t>01.890.</t>
  </si>
  <si>
    <t>Projekts "Komunikācija ar sabiedrību tās iesaistei pašvaldību lēmumu pieņemšanā"</t>
  </si>
  <si>
    <t>Finanšu un fiskālā vadība</t>
  </si>
  <si>
    <t>Nekustamā īpašuma nodokļa un citu pašvaldības ieņēmumu administrēšana</t>
  </si>
  <si>
    <t>Zvērināto auditoru pakalpojumi un grāmatvedības programmas "Horizon" uzturēšana</t>
  </si>
  <si>
    <t>Vēlēšanu organizēšana</t>
  </si>
  <si>
    <t>Parāda procentu nomaksa</t>
  </si>
  <si>
    <t>Vispārēja rakstura transferti no pašvaldību budžeta pašvaldību budžetam</t>
  </si>
  <si>
    <t>Iemaksas pašvaldību finanšu izlīdzināšanas fondā</t>
  </si>
  <si>
    <t>Izdevumi neparedzētiem gadījumiem</t>
  </si>
  <si>
    <t>Centralizēto datoru un datortīkla uzturēšana</t>
  </si>
  <si>
    <t>03.110.</t>
  </si>
  <si>
    <t>03.200.</t>
  </si>
  <si>
    <t>03.202.</t>
  </si>
  <si>
    <t>03.205.</t>
  </si>
  <si>
    <t>Ugunsdrošības, ugunsdzēsības, glābšanas un civilās drošības dienesti</t>
  </si>
  <si>
    <t>Projekts "Ikdienas negadījumu un katastrofu novēršana"</t>
  </si>
  <si>
    <t>04.510.</t>
  </si>
  <si>
    <t>04.511.</t>
  </si>
  <si>
    <t>04.515.</t>
  </si>
  <si>
    <t>04.730.</t>
  </si>
  <si>
    <t>04.733.</t>
  </si>
  <si>
    <t>04.900.</t>
  </si>
  <si>
    <t>04.901.</t>
  </si>
  <si>
    <t>04.905.</t>
  </si>
  <si>
    <t>04.909.</t>
  </si>
  <si>
    <t>Autotransports</t>
  </si>
  <si>
    <t>Zaudējumu kompensācija pašvaldības SIA "Jelgavas autobusu parks"</t>
  </si>
  <si>
    <t>Tūrisms</t>
  </si>
  <si>
    <t>Pārējā nekur citur neklasificētā ekonomiskā darbība</t>
  </si>
  <si>
    <t>Zemes reformas darbība, zemes īpašuma un lietošanas tiesību pārveidošana</t>
  </si>
  <si>
    <t>Dotācija "Zemgales plānošanas reģions"</t>
  </si>
  <si>
    <t>Pašvaldības līdzfinansējums biedrībai "Zemgales reģionālās enerģētikas aģentūra"</t>
  </si>
  <si>
    <t>05.100.</t>
  </si>
  <si>
    <t>05.101.</t>
  </si>
  <si>
    <t>05.102.</t>
  </si>
  <si>
    <t>05.202.</t>
  </si>
  <si>
    <t>05.300.</t>
  </si>
  <si>
    <t>05.600.</t>
  </si>
  <si>
    <t>05.602.</t>
  </si>
  <si>
    <t>Atkritumu apsaimniekošana</t>
  </si>
  <si>
    <t>Notekūdeņu apsaimniekošana</t>
  </si>
  <si>
    <t>Vides piesārņojuma novēršana un mazināšana</t>
  </si>
  <si>
    <t>05.xxx</t>
  </si>
  <si>
    <t>Pārējā nekur citur neklasificētā vides aizsardzība</t>
  </si>
  <si>
    <t>Pilsētas sanitārā tīrīšana (SIA "Zemgales EKO" funkcija)</t>
  </si>
  <si>
    <t>Ielu, laukumu, publisko dārzu un parku tīrīšana un atkritumu savākšana</t>
  </si>
  <si>
    <t>06.201.</t>
  </si>
  <si>
    <t>06.401.</t>
  </si>
  <si>
    <t>06.600.</t>
  </si>
  <si>
    <t>06.601.</t>
  </si>
  <si>
    <t>06.602.</t>
  </si>
  <si>
    <t>06.603.</t>
  </si>
  <si>
    <t>06.604.</t>
  </si>
  <si>
    <t>06.606.</t>
  </si>
  <si>
    <t>Ielu apgaismošana</t>
  </si>
  <si>
    <t>Pārējā citur neklasificētā pašvaldības teritoriju un mājokļu apsaimniekošanas darbība</t>
  </si>
  <si>
    <t>Pašvaldības dzīvokļu pārvaldīšana, remonts un veco māju nojaukšana</t>
  </si>
  <si>
    <t>Projektu sagatavošana, izstrāde un teritoriju attīstība</t>
  </si>
  <si>
    <t>07.100.</t>
  </si>
  <si>
    <t>07.200.</t>
  </si>
  <si>
    <t>07.300.</t>
  </si>
  <si>
    <t>07.450.</t>
  </si>
  <si>
    <t>Ārstniecības līdzekļi</t>
  </si>
  <si>
    <t>Ambulatoru ārstniecības iestāžu darbība un pakalpojumi</t>
  </si>
  <si>
    <t>Slimnīcu pakalpojumi</t>
  </si>
  <si>
    <t>Veselības veicināšanas pasākumi</t>
  </si>
  <si>
    <t>08.100.</t>
  </si>
  <si>
    <t>08.101.</t>
  </si>
  <si>
    <t>08.103.</t>
  </si>
  <si>
    <t>08.105.</t>
  </si>
  <si>
    <t>08.200.</t>
  </si>
  <si>
    <t>08.210.</t>
  </si>
  <si>
    <t>08.211.</t>
  </si>
  <si>
    <t>08.212.</t>
  </si>
  <si>
    <t>08.220.</t>
  </si>
  <si>
    <t>08.221.</t>
  </si>
  <si>
    <t>08.230.</t>
  </si>
  <si>
    <t>08.231.</t>
  </si>
  <si>
    <t>08.232.</t>
  </si>
  <si>
    <t>08.240.</t>
  </si>
  <si>
    <t>08.241.</t>
  </si>
  <si>
    <t>08.242.</t>
  </si>
  <si>
    <t>08.243.</t>
  </si>
  <si>
    <t>08.290.</t>
  </si>
  <si>
    <t>08.291.</t>
  </si>
  <si>
    <t>08.292.</t>
  </si>
  <si>
    <t>08.331.</t>
  </si>
  <si>
    <t>08.400.</t>
  </si>
  <si>
    <t>08.401.</t>
  </si>
  <si>
    <t>08.402.</t>
  </si>
  <si>
    <t>08.403.</t>
  </si>
  <si>
    <t>08.405.</t>
  </si>
  <si>
    <t>Atpūtas un sporta pasākumi</t>
  </si>
  <si>
    <t>Dotācijas sporta pasākumiem</t>
  </si>
  <si>
    <t>Kultūra</t>
  </si>
  <si>
    <t>Bibliotēkas</t>
  </si>
  <si>
    <t>Muzeji un izstādes</t>
  </si>
  <si>
    <t>Kultūras centri, nami un klubi</t>
  </si>
  <si>
    <t>Teātri, izrādes un koncertdarbība</t>
  </si>
  <si>
    <t>Jelgavas kamerorķestra darbības nodrošināšana</t>
  </si>
  <si>
    <t>Jelgavas Ā.Alunāna teātra darbības nodrošināšana</t>
  </si>
  <si>
    <t>Pārējā citur neklasificētā kultūra</t>
  </si>
  <si>
    <t>Tautas mākslas kolektīvu darbības nodrošināšana</t>
  </si>
  <si>
    <t>Pilsētas nozīmes pasākumi</t>
  </si>
  <si>
    <t>Reliģisko organizāciju un citu biedrību un nodibinājumu pakalpojumi</t>
  </si>
  <si>
    <t>Dotācijas projektu realizācijai NVO</t>
  </si>
  <si>
    <t>Kultūras padomes finansētie pasākumi</t>
  </si>
  <si>
    <t>Subsīdija nodibinājumam "Kultūras tālākizglītības atbalsta fonds"</t>
  </si>
  <si>
    <t>Dotācijas reliģiskajām un citām biedrībām, nodibinājumiem</t>
  </si>
  <si>
    <t>09.100.</t>
  </si>
  <si>
    <t>Pirmsskolas izglītība</t>
  </si>
  <si>
    <t>09.200.</t>
  </si>
  <si>
    <t>09.210.</t>
  </si>
  <si>
    <t>09.219.1.</t>
  </si>
  <si>
    <t>09.219.2.</t>
  </si>
  <si>
    <t>09.219.3.</t>
  </si>
  <si>
    <t>09.222.2.</t>
  </si>
  <si>
    <t>09.222.3.</t>
  </si>
  <si>
    <t>09.510.</t>
  </si>
  <si>
    <t>09.513.</t>
  </si>
  <si>
    <t>09.518.</t>
  </si>
  <si>
    <t>09.530.</t>
  </si>
  <si>
    <t>09.531.</t>
  </si>
  <si>
    <t>09.532.</t>
  </si>
  <si>
    <t>09.520.</t>
  </si>
  <si>
    <t>09.522.</t>
  </si>
  <si>
    <t>09.810.</t>
  </si>
  <si>
    <t>09.811.</t>
  </si>
  <si>
    <t>09.812.</t>
  </si>
  <si>
    <t>09.812.3.</t>
  </si>
  <si>
    <t>09.101.</t>
  </si>
  <si>
    <t>Vispārējā izglītība</t>
  </si>
  <si>
    <t>Internātpamatskolas un šo skolu projektu īstenošana</t>
  </si>
  <si>
    <t>Jelgavas vispārizglītojošo skolu projektu īstenošana</t>
  </si>
  <si>
    <t>Profesionālā vidējā izglītība</t>
  </si>
  <si>
    <t>Interešu un profesionālās ievirzes izglītība</t>
  </si>
  <si>
    <t>Pamatizglītība, vispārējā un profesionālā izglītība</t>
  </si>
  <si>
    <t>09.222.</t>
  </si>
  <si>
    <t>Jelgavas Amatu vidusskolas projektu īstenošana</t>
  </si>
  <si>
    <t>Citi interešu pasākumi, t.sk. Bērnu un jauniešu izglītības centrs "Junda"</t>
  </si>
  <si>
    <t>Bērnu un jauniešu izglītības centra "Junda" projektu īstenošana</t>
  </si>
  <si>
    <t>Atbalsta fondi</t>
  </si>
  <si>
    <t>Subsīdija nodibinājumam "Izglītības atbalsta fonds"</t>
  </si>
  <si>
    <t>Līmeņos nedefinētā izglītība pieaugušajiem</t>
  </si>
  <si>
    <t>Pārējā izglītības vadība</t>
  </si>
  <si>
    <t>Pirmsskolas izglītības iestāžu darbības nodrošināšana</t>
  </si>
  <si>
    <t>Subsīdija nodibinājumam "J.Bisenieka fonds"</t>
  </si>
  <si>
    <t>10.120.</t>
  </si>
  <si>
    <t>10.121.</t>
  </si>
  <si>
    <t>10.122.</t>
  </si>
  <si>
    <t>10.123.</t>
  </si>
  <si>
    <t>10.124.</t>
  </si>
  <si>
    <t>10.125.</t>
  </si>
  <si>
    <t>10.200.</t>
  </si>
  <si>
    <t>10.201.</t>
  </si>
  <si>
    <t>10.202.</t>
  </si>
  <si>
    <t>10.400.</t>
  </si>
  <si>
    <t>10.402.</t>
  </si>
  <si>
    <t>10.403.</t>
  </si>
  <si>
    <t>10.407.</t>
  </si>
  <si>
    <t>10.504.</t>
  </si>
  <si>
    <t>10.601.</t>
  </si>
  <si>
    <t>10.700.</t>
  </si>
  <si>
    <t>10.701.</t>
  </si>
  <si>
    <t>10.704.</t>
  </si>
  <si>
    <t>10.705.2.</t>
  </si>
  <si>
    <t>10.706.</t>
  </si>
  <si>
    <t>10.707.</t>
  </si>
  <si>
    <t>10.709.</t>
  </si>
  <si>
    <t>10.900.</t>
  </si>
  <si>
    <t>10.912.</t>
  </si>
  <si>
    <t>10.921.</t>
  </si>
  <si>
    <t>10.922.</t>
  </si>
  <si>
    <t>Dienas aprūpes centrs pilngadīgām personām ar smagiem funkcionāliem traucējumiem</t>
  </si>
  <si>
    <t>Dienas centrs "Integra"</t>
  </si>
  <si>
    <t>Dienas centrs "Atbalsts"</t>
  </si>
  <si>
    <t>Grupu dzīvokļi</t>
  </si>
  <si>
    <t>Sociālās un medicīniskās aprūpes centrs</t>
  </si>
  <si>
    <t>Palīdzība veciem cilvēkiem</t>
  </si>
  <si>
    <t>Atbalsts ģimenēm ar bērniem</t>
  </si>
  <si>
    <t>Sociālā palīdzība ģimenēm ar bērniem un vardarbībā cietušo bērnu rehabilitācija</t>
  </si>
  <si>
    <t>Projekts "Elastīga bērnu uzraudzības pakalpojuma nodrošināšana darbiniekiem, kas strādā nestandarta darba laiku"</t>
  </si>
  <si>
    <t>Atbalsts bezdarba gadījumā</t>
  </si>
  <si>
    <t>Dzīvokļa pabalsts un pabalsts individuālās apkures nodrošināšanai</t>
  </si>
  <si>
    <t>Pārējais citur neklasificētais atbalsts sociāli atstumtām personām</t>
  </si>
  <si>
    <t>Sociālā māja un sociālie dzīvokļi</t>
  </si>
  <si>
    <t>JSLP Naktspatversme</t>
  </si>
  <si>
    <t>Higiēnas centrs</t>
  </si>
  <si>
    <t>Pārējā citur neklasificētā sociālā aizsardzība</t>
  </si>
  <si>
    <t>10.911.</t>
  </si>
  <si>
    <t>Projekts "Lietpratīga pārvaldība un Latvijas pašvaldību veiktspējas uzlabošana"</t>
  </si>
  <si>
    <t>Braukšanas maksas atvieglojumi skolēniem sabiedriskajā transportā</t>
  </si>
  <si>
    <t>Sociālā aizsardzība invaliditātes gadījumā</t>
  </si>
  <si>
    <t>PAVISAM IZDEVUMI ( I+II)</t>
  </si>
  <si>
    <t>Valsts nodeva par speciālu atļauju (licenču) izsniegšanu</t>
  </si>
  <si>
    <t>Ieņēmumi no neapbūvēta zemesgabala privatizācijas</t>
  </si>
  <si>
    <t>Pašvaldību budžetu transferti</t>
  </si>
  <si>
    <t>Ieņēmumi par pārējiem sniegtajiem maksas pakalpojumiem</t>
  </si>
  <si>
    <t>Projekts "Integrētu teritoriālo investīciju projektu iesniegumu atlases nodrošināšana Jelgavas pilsētas pašvaldībā"</t>
  </si>
  <si>
    <t>Transferti citām pašvaldībām izglītības funkciju nodrošināšanai</t>
  </si>
  <si>
    <t>Transferti citām pašvaldībām sociālās aizsardzības funkciju nodrošināšanai</t>
  </si>
  <si>
    <t>Ceļu un ielu infrastruktūras funkcionēšana, izmantošana, būvniecība un uzturēšana</t>
  </si>
  <si>
    <t>Pašvaldības teritorijas, kapsētu un mežu apsaimniekošana, klaiņojošo dzīvnieku likvidācija</t>
  </si>
  <si>
    <t>Ar pašvaldības teritoriju saistīto normatīvo aktu un standartu sagatavošana un ieviešana</t>
  </si>
  <si>
    <t>Jelgavas bigbenda darbības nodrošināšana</t>
  </si>
  <si>
    <t>Atbalsts gados veciem cilvēkiem</t>
  </si>
  <si>
    <t>Pabalsti ārkārtas gadījumos, citi pabalsti un kompensācijas</t>
  </si>
  <si>
    <t>Nosaukums</t>
  </si>
  <si>
    <t>No valsts budžeta daļēji finansēto atvasināto publisko personu un budžeta nefinansēto iestāžu transferti</t>
  </si>
  <si>
    <t>Pašvaldību saņemtie transferti no valsts budžeta daļēji finansētām atvasinātām publiskām personām un no budžeta nefinansētām iestādēm</t>
  </si>
  <si>
    <t>09.533.</t>
  </si>
  <si>
    <t>Projekts "Proti un dari"</t>
  </si>
  <si>
    <t>10.127.</t>
  </si>
  <si>
    <t>Projekts "Atver sirdi Zemgalē"</t>
  </si>
  <si>
    <t>SAISTOŠAJIEM NOTEIKUMIEM Nr.___-___</t>
  </si>
  <si>
    <t>6.pielikums</t>
  </si>
  <si>
    <t>SAISTOŠAJIEM NOTEIKUMIEM Nr.___</t>
  </si>
  <si>
    <t>Speciālā budžeta resursi</t>
  </si>
  <si>
    <t>Ieņēmumu grozījumi               + vai -</t>
  </si>
  <si>
    <t>05.530.</t>
  </si>
  <si>
    <t>Dabas resursu nodoklis par dabas resursu ieguvi un vides piesārņojumu</t>
  </si>
  <si>
    <t>23.000.</t>
  </si>
  <si>
    <t>Saņemtie ziedojumi un dāvinājumi no fiziskām un juridiskā personām</t>
  </si>
  <si>
    <t>PAVISAM RESURSI KOPĀ</t>
  </si>
  <si>
    <t>Speciālā budžeta izdevumi</t>
  </si>
  <si>
    <t>Kods</t>
  </si>
  <si>
    <t>Speciālā budžeta nosaukums</t>
  </si>
  <si>
    <t>Izdevumu grozījumi          + vai -</t>
  </si>
  <si>
    <t>Nodokļa ieņēmumi</t>
  </si>
  <si>
    <t>I</t>
  </si>
  <si>
    <t>Dabas resursu nodokļa līdzekļi</t>
  </si>
  <si>
    <t>II</t>
  </si>
  <si>
    <t>Autoceļu (ielu) fonda līdzekļi</t>
  </si>
  <si>
    <t>Mērķdotācija autoceļu (ielu) fondam</t>
  </si>
  <si>
    <t>Mērķdotācija pašvaldībām pasažieru regulārajiem pārvadājumiem</t>
  </si>
  <si>
    <t>III</t>
  </si>
  <si>
    <t>Ziedojumu un dāvinājumu līdzekļi</t>
  </si>
  <si>
    <t>PAVISAM IZDEVUMI KOPĀ</t>
  </si>
  <si>
    <t>JELGAVAS PILSĒTAS PAŠVALDĪBAS 2017.GADA BUDŽETS</t>
  </si>
  <si>
    <t>Plāns 2017.gadam</t>
  </si>
  <si>
    <t>Naudas līdzekļu atlikums uz 31.12.2016.</t>
  </si>
  <si>
    <t>Jelgavas pilsētas pašvaldības 2017.gada speciālais budžets, EUR</t>
  </si>
  <si>
    <t>2017.gada ieņēmumu plāns</t>
  </si>
  <si>
    <t>2017.gada izdevumu plāns kopā</t>
  </si>
  <si>
    <t xml:space="preserve">Naudas līdzekļu atlikums uz 31.12.2016. </t>
  </si>
  <si>
    <t>13.400.</t>
  </si>
  <si>
    <t>Ieņēmumi no valsts un pašvaldību kustamā īpašuma un mantas realizācijas</t>
  </si>
  <si>
    <t>SIA "Jelgavas pilsētas slimnīca"</t>
  </si>
  <si>
    <t>SIA "Jelgavas poliklīnika"</t>
  </si>
  <si>
    <t xml:space="preserve"> SIA "Jelgavas ūdens"</t>
  </si>
  <si>
    <t>SIA "Zemgales olimpiskais centrs"</t>
  </si>
  <si>
    <t>SIA "Jelgavas ūdens"</t>
  </si>
  <si>
    <t>04.510.524.</t>
  </si>
  <si>
    <t>Projekts "Atmodas ielas posma no Dobeles šosejas līdz Dambja ielai un Rūpniecības ielas posma no Filozofu ielas līdz Tērvetes ielai asfalta seguma atjaunošana"</t>
  </si>
  <si>
    <t>SIA "Jelgavas nekustamā īpašuma pārvalde" apsaimniekošanā esošo grodu aku dzeramā ūdens kvalitātes laboratoriskā kontrole un nodrošināšana</t>
  </si>
  <si>
    <t>SIA "Jelgavas ūdens" -  programma saimnieciski - fekālās kanalizācijas sistēmas attīstībai</t>
  </si>
  <si>
    <t>SIA "Jelgavas ūdens" -  kanalizācijas sistēmas attīstība un pārslēgumi</t>
  </si>
  <si>
    <t>Pašvaldības administrācija - gaisa piesārņojuma monitorings Jelgavas pilsētas teritorijai</t>
  </si>
  <si>
    <t>Pašvaldības administrācija - dalības maksa vides aizsardzības semināriem, konferencēm, vides projektu pasākumiem, dabas resursu nodokļa ieņēmumu administrēšana</t>
  </si>
  <si>
    <t>IV</t>
  </si>
  <si>
    <t>06.607.</t>
  </si>
  <si>
    <t>Pašvaldības līdzfinansējums energoefektivitātes paaugstināšanas pasākumu veikšanai daudzdzīvokļu dzīvojamās mājās</t>
  </si>
  <si>
    <t>09.219.5.</t>
  </si>
  <si>
    <t xml:space="preserve">Pašvaldības izglītības iestāžu investīciju projekts "Jelgavas Valsts ģimnāzijas pārbūve" </t>
  </si>
  <si>
    <t>09.519.01.</t>
  </si>
  <si>
    <t>Projekts "Jelgava jauniešiem"</t>
  </si>
  <si>
    <t>21.150.</t>
  </si>
  <si>
    <t xml:space="preserve">Eiropas Savienības līdzfinansējums Kohēzijas un Eiropas Savienības struktūrfondu projektu īstenošanai </t>
  </si>
  <si>
    <t>2017.gada plāns</t>
  </si>
  <si>
    <t>01.000. VISPĀRĒJIE VALDĪBAS DIENESTI</t>
  </si>
  <si>
    <t>Izdevumi kopā</t>
  </si>
  <si>
    <t>1000. Atlīdzība - kopā</t>
  </si>
  <si>
    <t>1100. Atalgojums</t>
  </si>
  <si>
    <t>1200. VSAOI, pabalsti, kompensācijas</t>
  </si>
  <si>
    <t>2000. Preces un pakalpojumi - kopā</t>
  </si>
  <si>
    <t>2200. Pakalpojumi</t>
  </si>
  <si>
    <t>2300. Krājumi, materiāli, energoresursi, preces, biroja preces un inventārs, kurus neuzskaita kodā 5000</t>
  </si>
  <si>
    <t>5000. Pamatkapitāla veidošana - kopā</t>
  </si>
  <si>
    <t>5200. Pamatlīdzekļi</t>
  </si>
  <si>
    <t>01.111. Izpildvaras institūcija</t>
  </si>
  <si>
    <t>03.000. SABIEDRISKĀ KĀRTĪBA UN DROŠĪBA</t>
  </si>
  <si>
    <t>04.000. EKONOMISKĀ DARBĪBA</t>
  </si>
  <si>
    <t>3000. Subsīdijas un dotācijas - kopā</t>
  </si>
  <si>
    <t>3200. Subsīdijas un dotācijas komersantiem, biedrībām un nodibinājumiem</t>
  </si>
  <si>
    <t>3300. Subsīdijas komersantiem sabiedriskā transporta pakalpojumu nodrošināšanai (par pasažieru regulārajiem pārvadājumiem)</t>
  </si>
  <si>
    <t>04.511. Ceļu un ielu infrastruktūras funkcionēšana, izmantošana, būvniecība un uzturēšana</t>
  </si>
  <si>
    <t>05.000. VIDES AIZSARDZĪBA</t>
  </si>
  <si>
    <t>05.202. Notekūdeņu apsaimniekošana</t>
  </si>
  <si>
    <t>06.000. TERITORIJU UN MĀJOKĻU APSAIMNIEKOŠANA</t>
  </si>
  <si>
    <t>06.602. Pašvaldības teritorijas, mežu un kapsētu apsaimniekošana, klaiņojošo dzīvnieku likvidācija</t>
  </si>
  <si>
    <t>08.000. ATPŪTA, KULTŪRA UN RELIĢIJA</t>
  </si>
  <si>
    <t>09.000. IZGLĪTĪBA</t>
  </si>
  <si>
    <t>09.101. Jelgavas pirmsskolas izglītības iestāžu darbības nodrošināšana - kopsavilkums</t>
  </si>
  <si>
    <t>09.219.1. Jelgavas vispārizglītojošo skolu darbības nodrošināšana - kopsavilkums</t>
  </si>
  <si>
    <t>09.219.2. Jelgavas internātpamatskolas un šo skolu projektu īstenošana - kopsavilkums</t>
  </si>
  <si>
    <t>10.000. SOCIĀLĀ AIZSARDZĪBA</t>
  </si>
  <si>
    <t>KOPĀ izdevumi pēc ekonomiskās klasifikācijas</t>
  </si>
  <si>
    <t>7.pielikums</t>
  </si>
  <si>
    <t>JELGAVAS PILSĒTAS PAŠVALDĪBAS 2017.GADA SPECIĀLAIS BUDŽETS ATŠIFRĒJUMĀ PA EKONOMISKĀS KLASIFIKĀCIJAS KODIEM</t>
  </si>
  <si>
    <t>Grozījumi + vai -</t>
  </si>
  <si>
    <t>03.201. Civilās aizsardzības dienests</t>
  </si>
  <si>
    <t>04.501. Mērķdotācija SIA Jelgavas autobusu parks sabiedriskā transporta pakalpojuma nodrošināšanai</t>
  </si>
  <si>
    <t>05.303. Dotācija pašvaldības komersantiem</t>
  </si>
  <si>
    <t>PI "Pašvaldības iestāžu centralizētā grāmatvedība" darbības nodrošināšana</t>
  </si>
  <si>
    <t>PI "Jelgavas pilsētas pašvaldības policija" darbības nodrošināšana</t>
  </si>
  <si>
    <t>PI "Pašvaldības operatīvās informācijas centrs" darbības nodrošināšana</t>
  </si>
  <si>
    <t>PI "Jelgavas reģionālais tūrisma centrs" darbības nodrošināšana</t>
  </si>
  <si>
    <t>PI "Pilsētsaimniecība" darbības nodrošināšana</t>
  </si>
  <si>
    <t>PI "Sporta servisa centrs" darbības nodrošināšana</t>
  </si>
  <si>
    <t>PI "Jelgavas pilsētas bibliotēka" darbības nodrošināšana</t>
  </si>
  <si>
    <t>Projekts "Andragoģija: Tālmācības sistēma bibliotekāriem"</t>
  </si>
  <si>
    <t>PI "Ģ.Eliasa Jelgavas Vēstures un mākslas muzejs" darbības nodrošināšana</t>
  </si>
  <si>
    <t>PI "Kultūra" darbības nodrošināšana</t>
  </si>
  <si>
    <t>PI "Kultūra" pasākumi</t>
  </si>
  <si>
    <t>PI "Zemgales INFO" darbības nodrošināšana</t>
  </si>
  <si>
    <t>PI "Zemgales reģionālais kompetenču attīstības centrs" darbības nodrošināšana</t>
  </si>
  <si>
    <t>PI "Zemgales reģionālais kompetenču attīstības centrs" projektu īstenošana</t>
  </si>
  <si>
    <t>PI "Jelgavas izglītības pārvalde" darbības nodrošināšana</t>
  </si>
  <si>
    <t>PI "Jelgavas izglītības pārvalde" projektu īstenošana</t>
  </si>
  <si>
    <t>PI "Jelgavas izglītības pārvalde" iekļaujošas izglītības atbalsta centrs</t>
  </si>
  <si>
    <t>PI "Jelgavas pilsētas bāriņtiesa" darbības nodrošināšana</t>
  </si>
  <si>
    <t>PI "Jelgavas bērnu sociālās aprūpes centrs" darbības nodrošināšana</t>
  </si>
  <si>
    <t>PI "Jelgavas bērnu sociālās aprūpes centrs" str. Krīzes centrs</t>
  </si>
  <si>
    <t>PI "Jelgavas sociālo lietu pārvalde" darbības nodrošināšana</t>
  </si>
  <si>
    <t>SIA "Medicīnas sabiedrība OPTIMA -1"</t>
  </si>
  <si>
    <t>SIA "Medicīnas sabiedrība OPTIMA - 1"</t>
  </si>
  <si>
    <t>08.101. PI Sporta servisa centrs darbības nodrošināšana</t>
  </si>
  <si>
    <t>08.221. PI Ģ.Eliasa Jelgavas Vēstures un mākslas muzejs darbība nodrošināšana</t>
  </si>
  <si>
    <t>08.231. PI Kultūra darbības nodrošināšana</t>
  </si>
  <si>
    <t>09.811. PI Jelgavas izglītības pārvalde darbības nodrošināšana</t>
  </si>
  <si>
    <t>09.531. PI Zemgales reģiona kompetenču attīstības centrs darbības nodrošināšana</t>
  </si>
  <si>
    <t>10.706. PI Jelgavas bērnu sociālās aprūpes centrs darbības nodrošināšana</t>
  </si>
  <si>
    <t>PI "Pilsētsaimniecība" - naftas produktu piesārņojuma Kalnciema ceļā attīrīšanas projekta izstrāde</t>
  </si>
  <si>
    <t>PI "Pašvaldības operatīvās informācijas centrs" - mobilās gaisa kvalitātes kontroles laboratorijas mērījumu veikšana, laboratorijas iekārtu kalibrēšana</t>
  </si>
  <si>
    <t>GMI pabalsts, mirušo apbedīšanas izdevumi un citi naudas maksājumi maznodrošinātām un neaizsargātām personām</t>
  </si>
  <si>
    <t>Invalīdu rehabilitācijas pasākumi, invalīdu transports u.c. kompensācijas</t>
  </si>
  <si>
    <t>Pašvaldības īpašumu apsaimniekošana - finansējums SIA "Jelgavas nekustamā īpašuma pārvalde"</t>
  </si>
  <si>
    <t>Jelgavas vispārizglītojošo skolu darbības nodrošināšana</t>
  </si>
  <si>
    <t>Jelgavas Amatu vidusskolas darbības nodrošināšana</t>
  </si>
  <si>
    <t>Jelgavas Mākslas skolas darbības nodrošināšana</t>
  </si>
  <si>
    <t>Jelgavas sporta skolu darbības nodrošināšana</t>
  </si>
  <si>
    <t>Subsīdija nodibinājumam "Sporta tālākizglītības atbalsta fonds"</t>
  </si>
  <si>
    <t>Ziedojumi/ dāvinājumi</t>
  </si>
  <si>
    <t>04.735.</t>
  </si>
  <si>
    <t xml:space="preserve">Projekts "Starptautiskais kultūras tūrisma maršruts "Baltu ceļš"" </t>
  </si>
  <si>
    <t>07.452.</t>
  </si>
  <si>
    <t>Projekts "Kompleksu veselības veicināšanas un slimību profilakses pasākumu īstenošana Jelgavas pilsētā, 1.kārta"</t>
  </si>
  <si>
    <t>09.108.</t>
  </si>
  <si>
    <t>Projekts "Jelgavas pilsētas pašvaldības pirmsskolas izglītības iestādes "Rotaļa" rekonstrukcija - VI kārta"</t>
  </si>
  <si>
    <t>Projekts "Inovatīvu bibliotēku darbības risinājumu izveide dažādām paaudzēm pierobežas reģionā"</t>
  </si>
  <si>
    <t>08.213.</t>
  </si>
  <si>
    <t>01.331.</t>
  </si>
  <si>
    <t>Pārējo vispārējas nozīmes dienestu darbība un pakalpojumi</t>
  </si>
  <si>
    <t>01.332.</t>
  </si>
  <si>
    <t xml:space="preserve">Projekts "Pilsētas iedzīvotāju kartes pieejamo pakalpojumu pilnveidošana Jelgavā un Šauļos" </t>
  </si>
  <si>
    <t>05.603.</t>
  </si>
  <si>
    <t>Projekts "Vides risku pārvaldības resursu pilnveidošana pierobežas reģionā, lai efektīvi veiktu vides aizsardzības pasākumus"</t>
  </si>
  <si>
    <t>21.190.</t>
  </si>
  <si>
    <t>Ieņēmumi no citu Eiropas Savienības politiku instrumentu līdzfinansēto projektu un pasākumu īstenošanas un citu valstu finanšu palīdzības programmu īstenošanas, saņemtā ārvalstu finanšu palīdzība</t>
  </si>
  <si>
    <t>PI "Pilsētsaimniecība" - ūdens kvalitātes pārbaudei Pasta salas peldvietā un lietus notekūdeņu atkārtotai pārbaudei</t>
  </si>
  <si>
    <t>PI "Pilsētsaimniecība" - lietus ūdens kanalizācijas kolektora rekonstrukcijas pasākumiem</t>
  </si>
  <si>
    <t>PI "Pilsētsaimniecība" - Lietus ūdens kanalizācijas atdalīšanai no saimnieciski - fekālās kanalizācijas</t>
  </si>
  <si>
    <t>PI "Pilsētsaimniecība" - Jaunā dalītā šķirošanas laukuma izbūvei Asteru ielā</t>
  </si>
  <si>
    <t>12.340.</t>
  </si>
  <si>
    <t>12.349.</t>
  </si>
  <si>
    <t>Ieņēmumi no budžeta iestādēm atmaksātiem pārējiem debitoru parādiem</t>
  </si>
  <si>
    <t>Ieņēmumi no budžeta iestāžu saņemto un iepriekšējos gados neizlietoto budžeta līdzekļu atmaksāšanas</t>
  </si>
  <si>
    <t>04.736.</t>
  </si>
  <si>
    <t>Projekts "Pilssalas infrastruktūras attīstība tūrisma un veselības aktivitāšu veicināšanai Jelgavā"</t>
  </si>
  <si>
    <t>04.510.525.</t>
  </si>
  <si>
    <t>Projekts "Piekļuves uzlabošana Rubeņu ceļa industriālās zonas attīstībai"</t>
  </si>
  <si>
    <t>JELGAVAS PILSĒTAS PAŠVALDĪBAS 2017.GADA PAMATBUDŽETS ATŠIFRĒJUMĀ PA EKONOMISKĀS KLASIFIKĀCIJAS KODIEM</t>
  </si>
  <si>
    <t>2100. Mācību, darba un dienesta komandējumi, darba braucieni</t>
  </si>
  <si>
    <t>t.sk.2275. Pašvaldību līdzekļi neparedzētiem gadījumiem</t>
  </si>
  <si>
    <t>2500. Budžeta iestāžu nodokļu, nodevu un naudas sodu maksājumi</t>
  </si>
  <si>
    <t>4000. Procentu izdevumi - kopā</t>
  </si>
  <si>
    <t>4300. Pārējie procentu maksājumi (Valsts kasei)</t>
  </si>
  <si>
    <t>5100. Nemateriālie ieguldījumi</t>
  </si>
  <si>
    <t>7000. Uzturēšanas izdevumu transferti, pašu resursu maksājumi, starptautiskā sadarbība- kopā</t>
  </si>
  <si>
    <t>7200. Pašvaldību uzturēšanas izdevumu transferti</t>
  </si>
  <si>
    <t>7700. Starptautiskā sadarbība</t>
  </si>
  <si>
    <t>01.113. Projekts - 'Komunikācija ar sabiedrību tās iesaistei pašvaldības lēmumu pieņemšanā'</t>
  </si>
  <si>
    <t>01.114. Projekts - 'Integrētu teritoriālo investīciju projektu iesniegumu atlases nodrošināšana Jelgavas pilsētas pašvaldībā'</t>
  </si>
  <si>
    <t>01.122. Nekustamā īpašuma nodokļa u.c. pašvaldības ieņēmumu administrēšana</t>
  </si>
  <si>
    <t>01.123. PI 'Pašvaldības iestāžu centralizētā grāmatvedība' darbības nodrošināšana</t>
  </si>
  <si>
    <t>01.124. Zvērināto auditoru pakalpojumi un grāmatvedības programmas Horizon uzturēšana</t>
  </si>
  <si>
    <t>01.331. Centralizēto datoru un datortīklu uzturēšana</t>
  </si>
  <si>
    <t>01.332. Projekts - 'Pilsētas iedzīvotāju kartes pieejamo pakalpojumu pilnveidošana Jelgavā un Šauļos'</t>
  </si>
  <si>
    <t>01.600. Vēlēšanu organizēšana</t>
  </si>
  <si>
    <t>01.721. Parāda procentu nomaksa</t>
  </si>
  <si>
    <t>01.831. Transferti citām pašvaldībām izglītības funkciju nodrošināšanai</t>
  </si>
  <si>
    <t>01.832. Transferti citām pašvaldībām sociālās aizsardzības funkciju nodrošināšanai</t>
  </si>
  <si>
    <t>01.890.  Izdevumi neparedzētiem gadījumiem</t>
  </si>
  <si>
    <t>03.111. PI 'Jelgavas pilsētas pašvaldības policija' darbības nodrošināšana</t>
  </si>
  <si>
    <t>03.202. PI 'Pašvaldības operatīvās informācijas centrs' darbības nodrošināšana</t>
  </si>
  <si>
    <t>04.510.524. Projekts - 'Atmodas ielas posma no Dobeles šosejas līdz Dambja ielai un Rūpniecības ielas posma no Filozofu ielas līdz Tērvetes ielai asfalta seguma atjaunošana'</t>
  </si>
  <si>
    <t>04.510.525. Projekts - 'Piekļuves uzlabošana Rubeņu ceļa industriālās zonas attīstībai'</t>
  </si>
  <si>
    <t>04.515. Dotācija zaudējumu kompensācijai pašvaldības SIA 'Jelgavas autobusu parks'</t>
  </si>
  <si>
    <t>04.733. PI 'Jelgavas reģionālais tūrisma centrs' darbības nodrošināšana</t>
  </si>
  <si>
    <t>04.735. Projekts - 'Starptautiskais kultūras tūrisma maršruts 'Baltu ceļš''</t>
  </si>
  <si>
    <t>04.736. Projekts - 'Pilssalas infrastruktūras attīstība tūrisma un veselības aktivitāšu veicināšanai Jelgavā'</t>
  </si>
  <si>
    <t>04.901. Zemes reformas darbība, zemes īpašuma un lietošanas tiesību pārveidošana</t>
  </si>
  <si>
    <t>04.905. Pašvaldības līdzfinansējums biedrības 'Zemgales reģionālā enerģētikas aģentūra' darbības nodrošināšanai</t>
  </si>
  <si>
    <t>04.909. Dotācija Zemgales plānošanas reģionam</t>
  </si>
  <si>
    <t>05.101. Ielu, laukumu, publisko dārzu un parku tīrīšana, atkritumu savākšana</t>
  </si>
  <si>
    <t>05.102.  Pilsētas sanitārā tīrīšana - SIA 'Zemgales EKO' funkcija</t>
  </si>
  <si>
    <t>05.602. Projekts - 'Integrēta lietusūdens pārvaldība'</t>
  </si>
  <si>
    <t>05.603. Projekts - 'Vides risku pārvaldības resursu pilnveidošana pierobežas reģionā, lai efektīvi veiktu vides aizsardzības pasākumus'</t>
  </si>
  <si>
    <t>06.201. Projektu sagatavošana un teritoriju attīstība</t>
  </si>
  <si>
    <t>06.401. Ielu apgaismošana</t>
  </si>
  <si>
    <t>06.601. PI 'Pilsētsaimniecība' darbības nodrošināšana</t>
  </si>
  <si>
    <t>06.603. Pašvaldības īpašumu apsaimniekošana - finansējums SIA 'Jelgavas nekustamā īpašuma pārvalde'</t>
  </si>
  <si>
    <t>06.604. Pašvaldības dzīvokļu pārvaldīšana, remonts, veco māju nojaukšana</t>
  </si>
  <si>
    <t>06.606. Ar pašvaldības teritoriju saistīto normatīvo aktu un standartu sagatavošana un ieviešana</t>
  </si>
  <si>
    <t>06.607. Pašvaldības līdzfinansējums energoefektivitātes paaugstināšanas pasākumu veikšanai daudzdzīvokļu dzīvojamās mājās</t>
  </si>
  <si>
    <t>07.000. VESELĪBA</t>
  </si>
  <si>
    <t>6000. Sociālie pabalsti - kopā</t>
  </si>
  <si>
    <t>6200. Pensijas un sociālie pabalsti naudā</t>
  </si>
  <si>
    <t>6300. Sociālie pabalsti natūrā</t>
  </si>
  <si>
    <t>07.100. Ārstniecības līdzekļi</t>
  </si>
  <si>
    <t>07.200. Ambulatoro ārstniecības iestāžu darbība un pakalpojumi</t>
  </si>
  <si>
    <t>07.300. Slimnīcu pakalpojumi</t>
  </si>
  <si>
    <t>07.450. Veselības veicināšanas pasākumi</t>
  </si>
  <si>
    <t>07.452. Projekts - 'Kompleksu veselības veicināšanas un slimību profilakses pasākumu īstenošana Jelgavas pilsētā, 1.kārta'</t>
  </si>
  <si>
    <t>2400. Izdevumi periodikas iegādei</t>
  </si>
  <si>
    <t>6400. Pārējie klasifikācijā neminētie maksājumi iedzīvotājiem natūrā un kompensācijas</t>
  </si>
  <si>
    <t>08.101. PI 'Sporta servisa centrs' darbības nodrošināšana</t>
  </si>
  <si>
    <t>08.103. Dotācijas sporta pasākumiem</t>
  </si>
  <si>
    <t>08.105. Subsīdija nodibinājumam 'Sporta tālākizglītības atbalsta fonds'</t>
  </si>
  <si>
    <t>08.211. PI 'Jelgavas pilsētas bibliotēka' darbības nodrošināšana</t>
  </si>
  <si>
    <t>08.212. Projekts - 'Andragoģija: Tālmācības sistēma bibliotekāriem'</t>
  </si>
  <si>
    <t>08.213. Projekts - 'Inovatīvu bibliotēku darbības risinājumu izveide dažādām paaudzēm pierobežas reģionā'</t>
  </si>
  <si>
    <t>08.221. PI 'Ģ.Eliasa Jelgavas Vēstures un mākslas muzejs' darbības nodrošināšana</t>
  </si>
  <si>
    <t>08.231. PI 'Kultūra' darbības nodrošināšana</t>
  </si>
  <si>
    <t>08.232. PI 'Kultūra' pasākumi</t>
  </si>
  <si>
    <t>08.241.Jelgavas Kamerorķestra darbības nodrošināšana</t>
  </si>
  <si>
    <t>08.242. Jelgavas bigbenda darbības nodrošināšana</t>
  </si>
  <si>
    <t>08.243. Dotācija Jelgavas Ā.Alunāna teātra darbības nodrošināšanai</t>
  </si>
  <si>
    <t>08.291. Dotācija Tautas mākslas kolektīvu darbības nodrošināšanai</t>
  </si>
  <si>
    <t>08.292. Pilsētas nozīmes pasākumi</t>
  </si>
  <si>
    <t>08.331. PI 'Zemgales INFO' darbības nodrošināšana</t>
  </si>
  <si>
    <t>08.401. Dotācijas projektu realizācijai NVO</t>
  </si>
  <si>
    <t>08.402. Kultūras padomes finansētie pasākumi</t>
  </si>
  <si>
    <t>08.403. Subsīdija nodibinājumam 'Kultūras tālākizglītības atbalsta fonds'</t>
  </si>
  <si>
    <t>08.405. Dotācijas reliģiskajām un citām biedrībām un nodibinājumiem- fin.nod.</t>
  </si>
  <si>
    <t>IZGLĪTĪBAS PĀRVALDES IESTĀDES KOPĀ</t>
  </si>
  <si>
    <t>09.108. Projekts - 'Jelgavas pilsētas pašvaldības PII Rotaļa rekonstrukcija - VI kārta'</t>
  </si>
  <si>
    <t>09.219.3. Jelgavas vispārizglītojošo skolu projektu īstenošana</t>
  </si>
  <si>
    <t>09.222.2. Jelgavas Amatu vidusskolas darbības nodrošināšana</t>
  </si>
  <si>
    <t>09.222.3.Jelgavas Amatu vidusskolas projektu īstenošana - kopsavilkums</t>
  </si>
  <si>
    <t>09.511. Pārējie interešu izglītības pasākumi, t.sk. BJIC 'Junda' darbības nodrošināšana</t>
  </si>
  <si>
    <t>09.512. Jelgavas Mākslas skolas darbības nodrošināšana</t>
  </si>
  <si>
    <t>09.811. PI 'Jelgavas izglītības pārvalde' darbības nodrošināšana</t>
  </si>
  <si>
    <t>09.812. PI 'Jelgavas izglītības pārvalde' projektu īstenošana</t>
  </si>
  <si>
    <t>09.812.3. PI 'Jelgavas izglītības pārvalde' iekļaujošas izglītības atbalsta centrs</t>
  </si>
  <si>
    <t>09.219.5. Pašvaldības izglītības iestāžu investīciju projekts - 'Jelgavas Valsts ģimnāzijas pārbūve'</t>
  </si>
  <si>
    <t>09.513. Jelgavas sporta skolu darbības nodrošināšana - kopsavilkums</t>
  </si>
  <si>
    <t>09.513.1. Jelgavas Bērnu un jaunatnes sporta skola</t>
  </si>
  <si>
    <t>09.513.2. Jelgavas Specializētā peldēšanas skola</t>
  </si>
  <si>
    <t>09.513.3. Jelgavas Ledus sporta skola</t>
  </si>
  <si>
    <t>09.521. Subsīdija Izglītības atbalsta fondam</t>
  </si>
  <si>
    <t>09.522. Subsīdija J.Bisenieka atbalsta fondam</t>
  </si>
  <si>
    <t>09.531. PI 'Zemgales reģiona kompetenču attīstības centrs' darbības nodrošināšana</t>
  </si>
  <si>
    <t>09.532. PI 'Zemgales reģiona kompetenču attīstības centrs' projektu īstenošana</t>
  </si>
  <si>
    <t>09.533. Projekts - 'Proti un dari'</t>
  </si>
  <si>
    <t>10.121. Invalīdu rehabilitācijas pasākumi, invalīdu transporta izdevumi u.c. kompensācijas</t>
  </si>
  <si>
    <t>10.122. Dienas aprūpes centrs pilngadīgām personām ar smagiem funkcionāliem traucējumiem</t>
  </si>
  <si>
    <t>10.123. Dienas centrs 'Integra'</t>
  </si>
  <si>
    <t>10.124. Dienas centrs 'Atbalsts'</t>
  </si>
  <si>
    <t>10.125. Grupu dzīvokļi</t>
  </si>
  <si>
    <t>10.127. Projekts - 'Atver sirdi Zemgalē'</t>
  </si>
  <si>
    <t>10.201. Sociālās un medicīniskās aprūpes centrs</t>
  </si>
  <si>
    <t>10.202. Palīdzība veciem cilvēkiem</t>
  </si>
  <si>
    <t>10.402. Sociālā palīdzība ģimenēm ar bērniem un vardarbībā cietušo bērnu rehabilitācija</t>
  </si>
  <si>
    <t>10.403. PI 'Jelgavas pilsētas bāriņtiesa' darbības nodrošināšana</t>
  </si>
  <si>
    <t>10.407. Projekts - 'Elastīga bērnu uzraudzības pakalpojuma nodrošināšana darbiniekiem, kas strādā nestandarta darba laiku'</t>
  </si>
  <si>
    <t>10.504. Atbalsts Bezdarba gadījumā</t>
  </si>
  <si>
    <t>10.601. Dzīvokļa pabalsts un pabalsts individuālās apkures nodrošināšanai</t>
  </si>
  <si>
    <t>10.701. Sociālā māja un sociālie dzīvokļi</t>
  </si>
  <si>
    <t>10.704. GMI pabalsts, mirušo apbedīšanas izdevumi un citi naudas maksājumi maznodrošinātām un neaizsargātām personām</t>
  </si>
  <si>
    <t>10.705.2. JSLP Naktspatversme</t>
  </si>
  <si>
    <t>10.706. PI 'Jelgavas bērnu sociālās aprūpes centrs' darbības nodrošināšana</t>
  </si>
  <si>
    <t>10.707. Higiēnas centrs</t>
  </si>
  <si>
    <t>10.709. PI 'Jelgavas bērnu sociālās aprūpes centrs' str. Krīzes centrs</t>
  </si>
  <si>
    <t>10.911. PI 'Jelgavas sociālo lietu pārvalde' darbības nodrošināšana</t>
  </si>
  <si>
    <t>10.921. Pabalsti ārkārtas gadījumos, citi pabalsti un maksājumi</t>
  </si>
  <si>
    <t>10.922. Braukšanas maksas atvieglojumi skolēniem sabiedriskajā transportā</t>
  </si>
  <si>
    <t>Aizdevumu pamatsummas atmaksa</t>
  </si>
  <si>
    <t>F40020000 Aizdevumu pamatsummu atmaksa</t>
  </si>
  <si>
    <t>F21010000. Naudas līdzekļu atlikums uz perioda beigām</t>
  </si>
  <si>
    <t>F50020000. Akcijas un cita līdzdalība komersantu pašu kapitālā</t>
  </si>
  <si>
    <t>SIA 'Medicīnas sabiedrība Optima -1' pamatkapitāla palielināšana</t>
  </si>
  <si>
    <t>SIA 'Jelgavas ūdens' pamatkapitāla palielināšana</t>
  </si>
  <si>
    <t>SIA 'Zemgales olimpiskais centrs' pamatkapitāla palielināšana</t>
  </si>
  <si>
    <t>SIA 'Jelgavas poliklīnika' pamatkapitāla palielināšana</t>
  </si>
  <si>
    <t>SIA 'Jelgavas pilsētas slimnīca' pamatkapitāla palielināšana</t>
  </si>
  <si>
    <t>Grozījumi     + vai -</t>
  </si>
  <si>
    <t>4. pielikums</t>
  </si>
  <si>
    <t>09.519.01. Projekts - 'Jelgava jauniešiem'</t>
  </si>
  <si>
    <t>Precizētais plāns uz 23.11.2017.</t>
  </si>
  <si>
    <t>23.11.2017.prot.Nr.___/___</t>
  </si>
  <si>
    <t>23.11.2017.prot. Nr.___/___</t>
  </si>
  <si>
    <r>
      <t>23.11.2017.prot. Nr.</t>
    </r>
    <r>
      <rPr>
        <u/>
        <sz val="12"/>
        <rFont val="Times New Roman"/>
        <family val="1"/>
        <charset val="186"/>
      </rPr>
      <t>___/___</t>
    </r>
  </si>
  <si>
    <t>Precizētais izdevumu plāns uz 23.11.2017.</t>
  </si>
  <si>
    <t>03.206.</t>
  </si>
  <si>
    <t>Projekts "Civilās aizsardzības sistēmas pilnveidošana Jelgavā un Šauļos"</t>
  </si>
  <si>
    <t>Projekts "Integrēta lietus ūdens pārvaldība"</t>
  </si>
  <si>
    <t>03.206. Projekts  - 'Civilās aizsardzības saistēmas pilnveidošana Jelgavā un Šauļos'</t>
  </si>
  <si>
    <t>8000. Dažādi izdevumi, kas veidojas pēc uzkrāšanas principa un nav klasificēti iepriekš  - kopā</t>
  </si>
  <si>
    <t>8900. Pārējie iepriekš neuzskaitītie budžeta izdevumi, kas veidojas pēc uzkrāšanas principa un nav uzskaitīti citos koda 8000 apakškodos</t>
  </si>
  <si>
    <t>Precizētais resursu plāns uz 23.11.2017.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</si>
</sst>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00"/>
  </numFmts>
  <fonts count="50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i/>
      <sz val="9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i/>
      <sz val="10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2"/>
      <name val="Times New Roman"/>
      <family val="1"/>
      <charset val="186"/>
    </font>
  </fonts>
  <fills count="3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21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0" fontId="20" fillId="0" borderId="0"/>
    <xf numFmtId="0" fontId="24" fillId="0" borderId="0"/>
    <xf numFmtId="0" fontId="21" fillId="0" borderId="0"/>
    <xf numFmtId="0" fontId="20" fillId="0" borderId="0"/>
    <xf numFmtId="9" fontId="21" fillId="0" borderId="0" applyFont="0" applyFill="0" applyBorder="0" applyAlignment="0" applyProtection="0"/>
    <xf numFmtId="0" fontId="31" fillId="0" borderId="0"/>
    <xf numFmtId="0" fontId="32" fillId="0" borderId="0" applyNumberFormat="0" applyFill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7" borderId="0" applyNumberFormat="0" applyBorder="0" applyAlignment="0" applyProtection="0"/>
    <xf numFmtId="0" fontId="37" fillId="8" borderId="0" applyNumberFormat="0" applyBorder="0" applyAlignment="0" applyProtection="0"/>
    <xf numFmtId="0" fontId="38" fillId="9" borderId="0" applyNumberFormat="0" applyBorder="0" applyAlignment="0" applyProtection="0"/>
    <xf numFmtId="0" fontId="39" fillId="10" borderId="6" applyNumberFormat="0" applyAlignment="0" applyProtection="0"/>
    <xf numFmtId="0" fontId="40" fillId="11" borderId="7" applyNumberFormat="0" applyAlignment="0" applyProtection="0"/>
    <xf numFmtId="0" fontId="41" fillId="11" borderId="6" applyNumberFormat="0" applyAlignment="0" applyProtection="0"/>
    <xf numFmtId="0" fontId="42" fillId="0" borderId="8" applyNumberFormat="0" applyFill="0" applyAlignment="0" applyProtection="0"/>
    <xf numFmtId="0" fontId="43" fillId="12" borderId="9" applyNumberFormat="0" applyAlignment="0" applyProtection="0"/>
    <xf numFmtId="0" fontId="44" fillId="0" borderId="0" applyNumberFormat="0" applyFill="0" applyBorder="0" applyAlignment="0" applyProtection="0"/>
    <xf numFmtId="0" fontId="20" fillId="13" borderId="10" applyNumberFormat="0" applyFont="0" applyAlignment="0" applyProtection="0"/>
    <xf numFmtId="0" fontId="45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46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46" fillId="37" borderId="0" applyNumberFormat="0" applyBorder="0" applyAlignment="0" applyProtection="0"/>
  </cellStyleXfs>
  <cellXfs count="21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1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/>
    <xf numFmtId="3" fontId="3" fillId="3" borderId="1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Fill="1" applyAlignment="1"/>
    <xf numFmtId="0" fontId="5" fillId="0" borderId="0" xfId="0" applyFont="1"/>
    <xf numFmtId="0" fontId="5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10" fillId="0" borderId="1" xfId="0" applyFont="1" applyBorder="1" applyAlignment="1">
      <alignment horizontal="left" wrapText="1" indent="2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" fillId="0" borderId="0" xfId="0" applyFont="1"/>
    <xf numFmtId="3" fontId="1" fillId="4" borderId="1" xfId="0" applyNumberFormat="1" applyFont="1" applyFill="1" applyBorder="1"/>
    <xf numFmtId="0" fontId="23" fillId="0" borderId="0" xfId="0" applyFont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2"/>
    </xf>
    <xf numFmtId="3" fontId="2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1" fillId="5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3" fontId="13" fillId="5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17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3" fontId="6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18" fillId="0" borderId="1" xfId="0" applyNumberFormat="1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/>
    </xf>
    <xf numFmtId="3" fontId="17" fillId="2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 indent="2"/>
    </xf>
    <xf numFmtId="0" fontId="10" fillId="5" borderId="1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left" vertical="center" wrapText="1" indent="2"/>
    </xf>
    <xf numFmtId="3" fontId="6" fillId="5" borderId="1" xfId="0" applyNumberFormat="1" applyFont="1" applyFill="1" applyBorder="1" applyAlignment="1">
      <alignment vertical="center"/>
    </xf>
    <xf numFmtId="3" fontId="10" fillId="5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0" fillId="0" borderId="1" xfId="7" applyFont="1" applyBorder="1" applyAlignment="1">
      <alignment horizontal="left" vertical="center" wrapText="1" indent="2"/>
    </xf>
    <xf numFmtId="3" fontId="7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3" fontId="7" fillId="5" borderId="1" xfId="0" applyNumberFormat="1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 indent="2"/>
    </xf>
    <xf numFmtId="165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vertical="center"/>
    </xf>
    <xf numFmtId="165" fontId="14" fillId="0" borderId="2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left" vertical="center" wrapText="1" indent="2"/>
    </xf>
    <xf numFmtId="3" fontId="16" fillId="0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 indent="2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7" fillId="0" borderId="0" xfId="1" applyFont="1"/>
    <xf numFmtId="0" fontId="27" fillId="0" borderId="0" xfId="1" applyFont="1" applyAlignment="1">
      <alignment vertical="center"/>
    </xf>
    <xf numFmtId="0" fontId="27" fillId="0" borderId="0" xfId="6" applyFont="1" applyFill="1" applyAlignment="1">
      <alignment horizontal="right" vertical="center"/>
    </xf>
    <xf numFmtId="0" fontId="27" fillId="0" borderId="0" xfId="1" applyFont="1" applyFill="1" applyBorder="1" applyAlignment="1">
      <alignment horizontal="right" vertical="center"/>
    </xf>
    <xf numFmtId="0" fontId="5" fillId="0" borderId="0" xfId="1" applyFont="1"/>
    <xf numFmtId="0" fontId="16" fillId="0" borderId="0" xfId="1" applyFont="1"/>
    <xf numFmtId="3" fontId="25" fillId="6" borderId="0" xfId="1" applyNumberFormat="1" applyFont="1" applyFill="1" applyAlignment="1">
      <alignment horizontal="right" vertical="top" wrapText="1"/>
    </xf>
    <xf numFmtId="3" fontId="27" fillId="6" borderId="0" xfId="1" applyNumberFormat="1" applyFont="1" applyFill="1" applyAlignment="1">
      <alignment horizontal="right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26" fillId="0" borderId="0" xfId="0" applyFont="1"/>
    <xf numFmtId="3" fontId="6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 wrapText="1"/>
    </xf>
    <xf numFmtId="3" fontId="25" fillId="6" borderId="0" xfId="1" applyNumberFormat="1" applyFont="1" applyFill="1" applyAlignment="1">
      <alignment horizontal="right" vertical="top" wrapText="1"/>
    </xf>
    <xf numFmtId="3" fontId="27" fillId="6" borderId="0" xfId="1" applyNumberFormat="1" applyFont="1" applyFill="1" applyAlignment="1">
      <alignment horizontal="right" vertical="top" wrapText="1"/>
    </xf>
    <xf numFmtId="0" fontId="27" fillId="0" borderId="0" xfId="1" applyFont="1" applyFill="1"/>
    <xf numFmtId="0" fontId="13" fillId="0" borderId="1" xfId="1" applyFont="1" applyFill="1" applyBorder="1" applyAlignment="1">
      <alignment horizontal="center" vertical="center" wrapText="1"/>
    </xf>
    <xf numFmtId="3" fontId="16" fillId="0" borderId="1" xfId="0" applyNumberFormat="1" applyFont="1" applyBorder="1"/>
    <xf numFmtId="3" fontId="26" fillId="0" borderId="1" xfId="0" applyNumberFormat="1" applyFont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3" fontId="25" fillId="6" borderId="0" xfId="1" applyNumberFormat="1" applyFont="1" applyFill="1" applyAlignment="1">
      <alignment horizontal="right" vertical="top" wrapText="1"/>
    </xf>
    <xf numFmtId="3" fontId="27" fillId="6" borderId="0" xfId="1" applyNumberFormat="1" applyFont="1" applyFill="1" applyAlignment="1">
      <alignment horizontal="right" vertical="top" wrapText="1"/>
    </xf>
    <xf numFmtId="0" fontId="13" fillId="38" borderId="1" xfId="12" applyFont="1" applyFill="1" applyBorder="1" applyAlignment="1">
      <alignment horizontal="center" vertical="center" wrapText="1"/>
    </xf>
    <xf numFmtId="3" fontId="47" fillId="0" borderId="1" xfId="0" applyNumberFormat="1" applyFont="1" applyFill="1" applyBorder="1" applyAlignment="1">
      <alignment vertical="center"/>
    </xf>
    <xf numFmtId="3" fontId="27" fillId="6" borderId="0" xfId="1" applyNumberFormat="1" applyFont="1" applyFill="1" applyAlignment="1">
      <alignment horizontal="right" vertical="center" wrapText="1"/>
    </xf>
    <xf numFmtId="3" fontId="25" fillId="6" borderId="0" xfId="1" applyNumberFormat="1" applyFont="1" applyFill="1" applyAlignment="1">
      <alignment horizontal="right" vertical="center" wrapText="1"/>
    </xf>
    <xf numFmtId="3" fontId="49" fillId="38" borderId="0" xfId="12" applyNumberFormat="1" applyFont="1" applyFill="1" applyAlignment="1">
      <alignment horizontal="right" vertical="top" wrapText="1"/>
    </xf>
    <xf numFmtId="3" fontId="49" fillId="0" borderId="0" xfId="1" applyNumberFormat="1" applyFont="1" applyFill="1" applyAlignment="1">
      <alignment horizontal="right" vertical="center" wrapText="1"/>
    </xf>
    <xf numFmtId="3" fontId="25" fillId="6" borderId="0" xfId="1" applyNumberFormat="1" applyFont="1" applyFill="1" applyAlignment="1">
      <alignment horizontal="right" vertical="top" wrapText="1"/>
    </xf>
    <xf numFmtId="3" fontId="27" fillId="6" borderId="0" xfId="1" applyNumberFormat="1" applyFont="1" applyFill="1" applyAlignment="1">
      <alignment horizontal="right" vertical="top" wrapText="1"/>
    </xf>
    <xf numFmtId="0" fontId="10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left" vertical="center" wrapText="1" indent="2"/>
    </xf>
    <xf numFmtId="3" fontId="6" fillId="4" borderId="1" xfId="0" applyNumberFormat="1" applyFont="1" applyFill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0" fontId="15" fillId="0" borderId="0" xfId="1" applyFont="1"/>
    <xf numFmtId="0" fontId="15" fillId="0" borderId="0" xfId="1" applyFont="1" applyAlignment="1">
      <alignment vertical="center"/>
    </xf>
    <xf numFmtId="0" fontId="49" fillId="0" borderId="0" xfId="1" applyFont="1"/>
    <xf numFmtId="0" fontId="49" fillId="0" borderId="0" xfId="1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25" fillId="6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25" fillId="6" borderId="0" xfId="1" applyNumberFormat="1" applyFont="1" applyFill="1" applyAlignment="1">
      <alignment horizontal="right" vertical="center" wrapText="1"/>
    </xf>
    <xf numFmtId="0" fontId="27" fillId="6" borderId="0" xfId="1" applyFont="1" applyFill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7" fillId="6" borderId="0" xfId="1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3" fontId="27" fillId="6" borderId="0" xfId="1" applyNumberFormat="1" applyFont="1" applyFill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8" fillId="6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9" fillId="6" borderId="0" xfId="1" applyFont="1" applyFill="1" applyAlignment="1">
      <alignment horizontal="left" vertical="top" wrapText="1"/>
    </xf>
    <xf numFmtId="3" fontId="49" fillId="6" borderId="0" xfId="1" applyNumberFormat="1" applyFont="1" applyFill="1" applyAlignment="1">
      <alignment horizontal="right" vertical="center" wrapText="1"/>
    </xf>
    <xf numFmtId="0" fontId="29" fillId="6" borderId="0" xfId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6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38" borderId="1" xfId="1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29" fillId="0" borderId="0" xfId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3" fontId="25" fillId="6" borderId="0" xfId="1" applyNumberFormat="1" applyFont="1" applyFill="1" applyAlignment="1">
      <alignment horizontal="right" vertical="top" wrapText="1"/>
    </xf>
    <xf numFmtId="3" fontId="27" fillId="6" borderId="0" xfId="1" applyNumberFormat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horizontal="right" vertical="top" wrapText="1"/>
    </xf>
    <xf numFmtId="0" fontId="27" fillId="6" borderId="0" xfId="1" applyFont="1" applyFill="1" applyAlignment="1">
      <alignment horizontal="right" vertical="top" wrapText="1"/>
    </xf>
    <xf numFmtId="0" fontId="21" fillId="0" borderId="0" xfId="1" applyFont="1" applyAlignment="1">
      <alignment horizontal="right" vertical="top" wrapText="1"/>
    </xf>
  </cellXfs>
  <cellStyles count="54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Explanatory Text" xfId="28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"/>
    <cellStyle name="Normal 2 2" xfId="3"/>
    <cellStyle name="Normal 2 2 2" xfId="9"/>
    <cellStyle name="Normal 3" xfId="8"/>
    <cellStyle name="Normal 4" xfId="12"/>
    <cellStyle name="Normal 5" xfId="2"/>
    <cellStyle name="Normal 5 2" xfId="6"/>
    <cellStyle name="Normal 6" xfId="10"/>
    <cellStyle name="Normal 7" xfId="7"/>
    <cellStyle name="Note" xfId="27" builtinId="10" customBuiltin="1"/>
    <cellStyle name="Output" xfId="22" builtinId="21" customBuiltin="1"/>
    <cellStyle name="Percent 4" xfId="4"/>
    <cellStyle name="Percent 4 2" xfId="11"/>
    <cellStyle name="Percent 5" xfId="5"/>
    <cellStyle name="Title" xfId="13" builtinId="15" customBuiltin="1"/>
    <cellStyle name="Total" xfId="29" builtinId="25" customBuiltin="1"/>
    <cellStyle name="Warning Text" xfId="2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zoomScale="98" zoomScaleNormal="98" workbookViewId="0">
      <selection activeCell="D74" sqref="D74"/>
    </sheetView>
  </sheetViews>
  <sheetFormatPr defaultColWidth="9.140625" defaultRowHeight="15" x14ac:dyDescent="0.25"/>
  <cols>
    <col min="1" max="1" width="10.85546875" style="1" customWidth="1"/>
    <col min="2" max="2" width="40.85546875" style="4" customWidth="1"/>
    <col min="3" max="3" width="14.7109375" style="1" customWidth="1"/>
    <col min="4" max="4" width="13.7109375" style="1" customWidth="1"/>
    <col min="5" max="5" width="14.42578125" style="1" customWidth="1"/>
    <col min="6" max="16384" width="9.140625" style="1"/>
  </cols>
  <sheetData>
    <row r="1" spans="1:9" x14ac:dyDescent="0.25">
      <c r="A1" s="1" t="s">
        <v>0</v>
      </c>
      <c r="D1" s="170" t="s">
        <v>1</v>
      </c>
      <c r="E1" s="170"/>
      <c r="I1" s="2"/>
    </row>
    <row r="2" spans="1:9" x14ac:dyDescent="0.25">
      <c r="C2" s="170" t="s">
        <v>390</v>
      </c>
      <c r="D2" s="170"/>
      <c r="E2" s="170"/>
    </row>
    <row r="3" spans="1:9" x14ac:dyDescent="0.25">
      <c r="C3" s="171" t="s">
        <v>676</v>
      </c>
      <c r="D3" s="171"/>
      <c r="E3" s="171"/>
    </row>
    <row r="5" spans="1:9" ht="18.75" x14ac:dyDescent="0.25">
      <c r="A5" s="172" t="s">
        <v>414</v>
      </c>
      <c r="B5" s="172"/>
      <c r="C5" s="172"/>
      <c r="D5" s="172"/>
      <c r="E5" s="172"/>
    </row>
    <row r="6" spans="1:9" x14ac:dyDescent="0.25">
      <c r="A6" s="173" t="s">
        <v>2</v>
      </c>
      <c r="B6" s="173"/>
      <c r="C6" s="173"/>
      <c r="D6" s="173"/>
      <c r="E6" s="173"/>
    </row>
    <row r="7" spans="1:9" x14ac:dyDescent="0.25">
      <c r="E7" s="5" t="s">
        <v>12</v>
      </c>
    </row>
    <row r="8" spans="1:9" ht="42.75" x14ac:dyDescent="0.25">
      <c r="A8" s="7" t="s">
        <v>5</v>
      </c>
      <c r="B8" s="7" t="s">
        <v>3</v>
      </c>
      <c r="C8" s="7" t="s">
        <v>415</v>
      </c>
      <c r="D8" s="7" t="s">
        <v>121</v>
      </c>
      <c r="E8" s="139" t="s">
        <v>675</v>
      </c>
    </row>
    <row r="9" spans="1:9" ht="21.75" customHeight="1" x14ac:dyDescent="0.3">
      <c r="A9" s="8"/>
      <c r="B9" s="9" t="s">
        <v>23</v>
      </c>
      <c r="C9" s="51">
        <f>C10+C19+C52+C63</f>
        <v>61827785</v>
      </c>
      <c r="D9" s="51">
        <f>D10+D19+D52+D63</f>
        <v>126679</v>
      </c>
      <c r="E9" s="51">
        <f>E10+E19+E52+E63</f>
        <v>61954464</v>
      </c>
    </row>
    <row r="10" spans="1:9" x14ac:dyDescent="0.25">
      <c r="A10" s="11"/>
      <c r="B10" s="12" t="s">
        <v>24</v>
      </c>
      <c r="C10" s="52">
        <f>C11+C14+C18</f>
        <v>41429071</v>
      </c>
      <c r="D10" s="52">
        <f>D11+D14+D18</f>
        <v>0</v>
      </c>
      <c r="E10" s="52">
        <f t="shared" ref="E10" si="0">E11+E14+E18</f>
        <v>41429071</v>
      </c>
    </row>
    <row r="11" spans="1:9" x14ac:dyDescent="0.25">
      <c r="A11" s="36" t="s">
        <v>6</v>
      </c>
      <c r="B11" s="46" t="s">
        <v>7</v>
      </c>
      <c r="C11" s="53">
        <f>C12+C13</f>
        <v>37482014</v>
      </c>
      <c r="D11" s="53">
        <f t="shared" ref="D11:E11" si="1">D12+D13</f>
        <v>0</v>
      </c>
      <c r="E11" s="53">
        <f t="shared" si="1"/>
        <v>37482014</v>
      </c>
    </row>
    <row r="12" spans="1:9" ht="46.5" hidden="1" customHeight="1" x14ac:dyDescent="0.25">
      <c r="A12" s="37" t="s">
        <v>8</v>
      </c>
      <c r="B12" s="49" t="s">
        <v>9</v>
      </c>
      <c r="C12" s="54"/>
      <c r="D12" s="54"/>
      <c r="E12" s="54">
        <f>C12+D12</f>
        <v>0</v>
      </c>
    </row>
    <row r="13" spans="1:9" ht="45" x14ac:dyDescent="0.25">
      <c r="A13" s="38" t="s">
        <v>10</v>
      </c>
      <c r="B13" s="50" t="s">
        <v>11</v>
      </c>
      <c r="C13" s="55">
        <v>37482014</v>
      </c>
      <c r="D13" s="55"/>
      <c r="E13" s="55">
        <f>C13+D13</f>
        <v>37482014</v>
      </c>
    </row>
    <row r="14" spans="1:9" x14ac:dyDescent="0.25">
      <c r="A14" s="36" t="s">
        <v>13</v>
      </c>
      <c r="B14" s="46" t="s">
        <v>14</v>
      </c>
      <c r="C14" s="53">
        <f>C15+C16+C17</f>
        <v>3629060</v>
      </c>
      <c r="D14" s="53">
        <f t="shared" ref="D14:E14" si="2">D15+D16+D17</f>
        <v>0</v>
      </c>
      <c r="E14" s="53">
        <f t="shared" si="2"/>
        <v>3629060</v>
      </c>
    </row>
    <row r="15" spans="1:9" x14ac:dyDescent="0.25">
      <c r="A15" s="38" t="s">
        <v>15</v>
      </c>
      <c r="B15" s="50" t="s">
        <v>16</v>
      </c>
      <c r="C15" s="55">
        <v>1408171</v>
      </c>
      <c r="D15" s="55"/>
      <c r="E15" s="55">
        <f>C15+D15</f>
        <v>1408171</v>
      </c>
    </row>
    <row r="16" spans="1:9" x14ac:dyDescent="0.25">
      <c r="A16" s="38" t="s">
        <v>17</v>
      </c>
      <c r="B16" s="50" t="s">
        <v>18</v>
      </c>
      <c r="C16" s="55">
        <v>1510408</v>
      </c>
      <c r="D16" s="55"/>
      <c r="E16" s="55">
        <f>C16+D16</f>
        <v>1510408</v>
      </c>
    </row>
    <row r="17" spans="1:5" ht="13.5" customHeight="1" x14ac:dyDescent="0.25">
      <c r="A17" s="38" t="s">
        <v>19</v>
      </c>
      <c r="B17" s="50" t="s">
        <v>20</v>
      </c>
      <c r="C17" s="55">
        <v>710481</v>
      </c>
      <c r="D17" s="55"/>
      <c r="E17" s="55">
        <f>C17+D17</f>
        <v>710481</v>
      </c>
    </row>
    <row r="18" spans="1:5" x14ac:dyDescent="0.25">
      <c r="A18" s="36" t="s">
        <v>21</v>
      </c>
      <c r="B18" s="46" t="s">
        <v>22</v>
      </c>
      <c r="C18" s="53">
        <v>317997</v>
      </c>
      <c r="D18" s="53">
        <v>0</v>
      </c>
      <c r="E18" s="53">
        <f>C18+D18</f>
        <v>317997</v>
      </c>
    </row>
    <row r="19" spans="1:5" x14ac:dyDescent="0.25">
      <c r="A19" s="39"/>
      <c r="B19" s="19" t="s">
        <v>25</v>
      </c>
      <c r="C19" s="52">
        <f>C20+C22+C36+C40+C48</f>
        <v>299370</v>
      </c>
      <c r="D19" s="52">
        <f t="shared" ref="D19:E19" si="3">D20+D22+D36+D40+D48</f>
        <v>0</v>
      </c>
      <c r="E19" s="52">
        <f t="shared" si="3"/>
        <v>299370</v>
      </c>
    </row>
    <row r="20" spans="1:5" ht="15.75" hidden="1" customHeight="1" x14ac:dyDescent="0.25">
      <c r="A20" s="40" t="s">
        <v>26</v>
      </c>
      <c r="B20" s="47" t="s">
        <v>27</v>
      </c>
      <c r="C20" s="56">
        <f>C21</f>
        <v>0</v>
      </c>
      <c r="D20" s="56">
        <f>D21</f>
        <v>0</v>
      </c>
      <c r="E20" s="56">
        <f>E21</f>
        <v>0</v>
      </c>
    </row>
    <row r="21" spans="1:5" ht="14.25" hidden="1" customHeight="1" x14ac:dyDescent="0.25">
      <c r="A21" s="37" t="s">
        <v>28</v>
      </c>
      <c r="B21" s="49" t="s">
        <v>29</v>
      </c>
      <c r="C21" s="54"/>
      <c r="D21" s="54"/>
      <c r="E21" s="54">
        <f>C21+D21</f>
        <v>0</v>
      </c>
    </row>
    <row r="22" spans="1:5" ht="28.5" x14ac:dyDescent="0.25">
      <c r="A22" s="36" t="s">
        <v>30</v>
      </c>
      <c r="B22" s="46" t="s">
        <v>31</v>
      </c>
      <c r="C22" s="53">
        <f>C23+C28</f>
        <v>63300</v>
      </c>
      <c r="D22" s="53">
        <f t="shared" ref="D22:E22" si="4">D23+D28</f>
        <v>0</v>
      </c>
      <c r="E22" s="53">
        <f t="shared" si="4"/>
        <v>63300</v>
      </c>
    </row>
    <row r="23" spans="1:5" ht="28.5" x14ac:dyDescent="0.25">
      <c r="A23" s="41" t="s">
        <v>32</v>
      </c>
      <c r="B23" s="46" t="s">
        <v>33</v>
      </c>
      <c r="C23" s="53">
        <f>SUM(C24:C27)</f>
        <v>20100</v>
      </c>
      <c r="D23" s="53">
        <f t="shared" ref="D23:E23" si="5">SUM(D24:D27)</f>
        <v>0</v>
      </c>
      <c r="E23" s="53">
        <f t="shared" si="5"/>
        <v>20100</v>
      </c>
    </row>
    <row r="24" spans="1:5" ht="45" x14ac:dyDescent="0.25">
      <c r="A24" s="38" t="s">
        <v>34</v>
      </c>
      <c r="B24" s="50" t="s">
        <v>35</v>
      </c>
      <c r="C24" s="55">
        <v>1600</v>
      </c>
      <c r="D24" s="55"/>
      <c r="E24" s="55">
        <f>C24+D24</f>
        <v>1600</v>
      </c>
    </row>
    <row r="25" spans="1:5" ht="75" x14ac:dyDescent="0.25">
      <c r="A25" s="38" t="s">
        <v>36</v>
      </c>
      <c r="B25" s="50" t="s">
        <v>37</v>
      </c>
      <c r="C25" s="55">
        <v>8500</v>
      </c>
      <c r="D25" s="55"/>
      <c r="E25" s="55">
        <f t="shared" ref="E25:E35" si="6">C25+D25</f>
        <v>8500</v>
      </c>
    </row>
    <row r="26" spans="1:5" ht="30" hidden="1" x14ac:dyDescent="0.25">
      <c r="A26" s="37" t="s">
        <v>38</v>
      </c>
      <c r="B26" s="49" t="s">
        <v>370</v>
      </c>
      <c r="C26" s="54"/>
      <c r="D26" s="54">
        <v>0</v>
      </c>
      <c r="E26" s="54">
        <f t="shared" si="6"/>
        <v>0</v>
      </c>
    </row>
    <row r="27" spans="1:5" ht="30" x14ac:dyDescent="0.25">
      <c r="A27" s="38" t="s">
        <v>39</v>
      </c>
      <c r="B27" s="50" t="s">
        <v>40</v>
      </c>
      <c r="C27" s="55">
        <v>10000</v>
      </c>
      <c r="D27" s="55"/>
      <c r="E27" s="55">
        <f t="shared" si="6"/>
        <v>10000</v>
      </c>
    </row>
    <row r="28" spans="1:5" x14ac:dyDescent="0.25">
      <c r="A28" s="41" t="s">
        <v>41</v>
      </c>
      <c r="B28" s="46" t="s">
        <v>42</v>
      </c>
      <c r="C28" s="53">
        <f>SUM(C29:C35)</f>
        <v>43200</v>
      </c>
      <c r="D28" s="53">
        <f t="shared" ref="D28:E28" si="7">SUM(D29:D35)</f>
        <v>0</v>
      </c>
      <c r="E28" s="53">
        <f t="shared" si="7"/>
        <v>43200</v>
      </c>
    </row>
    <row r="29" spans="1:5" ht="45" x14ac:dyDescent="0.25">
      <c r="A29" s="38" t="s">
        <v>43</v>
      </c>
      <c r="B29" s="50" t="s">
        <v>44</v>
      </c>
      <c r="C29" s="55">
        <v>11000</v>
      </c>
      <c r="D29" s="57"/>
      <c r="E29" s="55">
        <f t="shared" si="6"/>
        <v>11000</v>
      </c>
    </row>
    <row r="30" spans="1:5" ht="45" x14ac:dyDescent="0.25">
      <c r="A30" s="38" t="s">
        <v>45</v>
      </c>
      <c r="B30" s="50" t="s">
        <v>51</v>
      </c>
      <c r="C30" s="55">
        <v>500</v>
      </c>
      <c r="D30" s="57"/>
      <c r="E30" s="55">
        <f t="shared" si="6"/>
        <v>500</v>
      </c>
    </row>
    <row r="31" spans="1:5" ht="30" x14ac:dyDescent="0.25">
      <c r="A31" s="38" t="s">
        <v>46</v>
      </c>
      <c r="B31" s="50" t="s">
        <v>52</v>
      </c>
      <c r="C31" s="55">
        <v>2400</v>
      </c>
      <c r="D31" s="57"/>
      <c r="E31" s="55">
        <f t="shared" si="6"/>
        <v>2400</v>
      </c>
    </row>
    <row r="32" spans="1:5" ht="15.75" customHeight="1" x14ac:dyDescent="0.25">
      <c r="A32" s="38" t="s">
        <v>47</v>
      </c>
      <c r="B32" s="50" t="s">
        <v>53</v>
      </c>
      <c r="C32" s="55">
        <f>1400+1400</f>
        <v>2800</v>
      </c>
      <c r="D32" s="57"/>
      <c r="E32" s="55">
        <f t="shared" si="6"/>
        <v>2800</v>
      </c>
    </row>
    <row r="33" spans="1:5" ht="30.75" customHeight="1" x14ac:dyDescent="0.25">
      <c r="A33" s="38" t="s">
        <v>48</v>
      </c>
      <c r="B33" s="50" t="s">
        <v>54</v>
      </c>
      <c r="C33" s="55">
        <v>9000</v>
      </c>
      <c r="D33" s="55"/>
      <c r="E33" s="55">
        <f t="shared" si="6"/>
        <v>9000</v>
      </c>
    </row>
    <row r="34" spans="1:5" ht="30" x14ac:dyDescent="0.25">
      <c r="A34" s="38" t="s">
        <v>49</v>
      </c>
      <c r="B34" s="50" t="s">
        <v>55</v>
      </c>
      <c r="C34" s="55">
        <v>15000</v>
      </c>
      <c r="D34" s="55"/>
      <c r="E34" s="55">
        <f t="shared" si="6"/>
        <v>15000</v>
      </c>
    </row>
    <row r="35" spans="1:5" x14ac:dyDescent="0.25">
      <c r="A35" s="38" t="s">
        <v>50</v>
      </c>
      <c r="B35" s="50" t="s">
        <v>56</v>
      </c>
      <c r="C35" s="55">
        <v>2500</v>
      </c>
      <c r="D35" s="55"/>
      <c r="E35" s="55">
        <f t="shared" si="6"/>
        <v>2500</v>
      </c>
    </row>
    <row r="36" spans="1:5" x14ac:dyDescent="0.25">
      <c r="A36" s="36" t="s">
        <v>57</v>
      </c>
      <c r="B36" s="46" t="s">
        <v>58</v>
      </c>
      <c r="C36" s="53">
        <f>C37</f>
        <v>133000</v>
      </c>
      <c r="D36" s="53">
        <f t="shared" ref="D36:E36" si="8">D37</f>
        <v>0</v>
      </c>
      <c r="E36" s="53">
        <f t="shared" si="8"/>
        <v>133000</v>
      </c>
    </row>
    <row r="37" spans="1:5" x14ac:dyDescent="0.25">
      <c r="A37" s="41" t="s">
        <v>61</v>
      </c>
      <c r="B37" s="46" t="s">
        <v>62</v>
      </c>
      <c r="C37" s="53">
        <f>SUM(C38:C39)</f>
        <v>133000</v>
      </c>
      <c r="D37" s="53">
        <f t="shared" ref="D37:E37" si="9">SUM(D38:D39)</f>
        <v>0</v>
      </c>
      <c r="E37" s="53">
        <f t="shared" si="9"/>
        <v>133000</v>
      </c>
    </row>
    <row r="38" spans="1:5" x14ac:dyDescent="0.25">
      <c r="A38" s="38" t="s">
        <v>59</v>
      </c>
      <c r="B38" s="50" t="s">
        <v>60</v>
      </c>
      <c r="C38" s="55">
        <v>60000</v>
      </c>
      <c r="D38" s="55"/>
      <c r="E38" s="55">
        <f>C38+D38</f>
        <v>60000</v>
      </c>
    </row>
    <row r="39" spans="1:5" ht="36" customHeight="1" x14ac:dyDescent="0.25">
      <c r="A39" s="38" t="s">
        <v>63</v>
      </c>
      <c r="B39" s="50" t="s">
        <v>64</v>
      </c>
      <c r="C39" s="55">
        <v>73000</v>
      </c>
      <c r="D39" s="55"/>
      <c r="E39" s="55">
        <f>C39+D39</f>
        <v>73000</v>
      </c>
    </row>
    <row r="40" spans="1:5" x14ac:dyDescent="0.25">
      <c r="A40" s="151" t="s">
        <v>65</v>
      </c>
      <c r="B40" s="130" t="s">
        <v>66</v>
      </c>
      <c r="C40" s="60">
        <f>C41+C45+C47</f>
        <v>61695</v>
      </c>
      <c r="D40" s="60">
        <f t="shared" ref="D40:E40" si="10">D41+D45+D47</f>
        <v>0</v>
      </c>
      <c r="E40" s="60">
        <f t="shared" si="10"/>
        <v>61695</v>
      </c>
    </row>
    <row r="41" spans="1:5" hidden="1" x14ac:dyDescent="0.25">
      <c r="A41" s="129" t="s">
        <v>67</v>
      </c>
      <c r="B41" s="130" t="s">
        <v>68</v>
      </c>
      <c r="C41" s="60">
        <f>SUM(C42:C44)</f>
        <v>0</v>
      </c>
      <c r="D41" s="60">
        <f t="shared" ref="D41:E41" si="11">SUM(D42:D44)</f>
        <v>0</v>
      </c>
      <c r="E41" s="60">
        <f t="shared" si="11"/>
        <v>0</v>
      </c>
    </row>
    <row r="42" spans="1:5" ht="30" hidden="1" x14ac:dyDescent="0.25">
      <c r="A42" s="127" t="s">
        <v>69</v>
      </c>
      <c r="B42" s="128" t="s">
        <v>70</v>
      </c>
      <c r="C42" s="57"/>
      <c r="D42" s="57">
        <v>0</v>
      </c>
      <c r="E42" s="57">
        <f>C42+D42</f>
        <v>0</v>
      </c>
    </row>
    <row r="43" spans="1:5" ht="12" hidden="1" customHeight="1" x14ac:dyDescent="0.25">
      <c r="A43" s="127" t="s">
        <v>71</v>
      </c>
      <c r="B43" s="128" t="s">
        <v>73</v>
      </c>
      <c r="C43" s="57"/>
      <c r="D43" s="57">
        <v>0</v>
      </c>
      <c r="E43" s="57">
        <f t="shared" ref="E43:E44" si="12">C43+D43</f>
        <v>0</v>
      </c>
    </row>
    <row r="44" spans="1:5" ht="30" hidden="1" x14ac:dyDescent="0.25">
      <c r="A44" s="127" t="s">
        <v>72</v>
      </c>
      <c r="B44" s="128" t="s">
        <v>371</v>
      </c>
      <c r="C44" s="57"/>
      <c r="D44" s="57">
        <v>0</v>
      </c>
      <c r="E44" s="57">
        <f t="shared" si="12"/>
        <v>0</v>
      </c>
    </row>
    <row r="45" spans="1:5" ht="42.75" x14ac:dyDescent="0.25">
      <c r="A45" s="129" t="s">
        <v>539</v>
      </c>
      <c r="B45" s="130" t="s">
        <v>542</v>
      </c>
      <c r="C45" s="60">
        <f>C46</f>
        <v>61695</v>
      </c>
      <c r="D45" s="60">
        <f>D46</f>
        <v>0</v>
      </c>
      <c r="E45" s="60">
        <f>E46</f>
        <v>61695</v>
      </c>
    </row>
    <row r="46" spans="1:5" ht="33" customHeight="1" x14ac:dyDescent="0.25">
      <c r="A46" s="38" t="s">
        <v>540</v>
      </c>
      <c r="B46" s="50" t="s">
        <v>541</v>
      </c>
      <c r="C46" s="55">
        <v>61695</v>
      </c>
      <c r="D46" s="55">
        <v>0</v>
      </c>
      <c r="E46" s="55">
        <f>C46+D46</f>
        <v>61695</v>
      </c>
    </row>
    <row r="47" spans="1:5" hidden="1" x14ac:dyDescent="0.25">
      <c r="A47" s="42" t="s">
        <v>74</v>
      </c>
      <c r="B47" s="47" t="s">
        <v>75</v>
      </c>
      <c r="C47" s="56"/>
      <c r="D47" s="56"/>
      <c r="E47" s="56">
        <f>C47+D47</f>
        <v>0</v>
      </c>
    </row>
    <row r="48" spans="1:5" ht="42.75" customHeight="1" x14ac:dyDescent="0.25">
      <c r="A48" s="36" t="s">
        <v>76</v>
      </c>
      <c r="B48" s="46" t="s">
        <v>81</v>
      </c>
      <c r="C48" s="53">
        <f>SUM(C49:C51)</f>
        <v>41375</v>
      </c>
      <c r="D48" s="53">
        <f>SUM(D49:D51)</f>
        <v>0</v>
      </c>
      <c r="E48" s="53">
        <f>SUM(E49:E51)</f>
        <v>41375</v>
      </c>
    </row>
    <row r="49" spans="1:5" ht="30" x14ac:dyDescent="0.25">
      <c r="A49" s="38" t="s">
        <v>77</v>
      </c>
      <c r="B49" s="50" t="s">
        <v>79</v>
      </c>
      <c r="C49" s="55">
        <v>22804</v>
      </c>
      <c r="D49" s="55"/>
      <c r="E49" s="55">
        <f>C49+D49</f>
        <v>22804</v>
      </c>
    </row>
    <row r="50" spans="1:5" ht="30" x14ac:dyDescent="0.25">
      <c r="A50" s="38" t="s">
        <v>78</v>
      </c>
      <c r="B50" s="50" t="s">
        <v>80</v>
      </c>
      <c r="C50" s="55">
        <v>17521</v>
      </c>
      <c r="D50" s="55"/>
      <c r="E50" s="55">
        <f>C50+D50</f>
        <v>17521</v>
      </c>
    </row>
    <row r="51" spans="1:5" ht="30" customHeight="1" x14ac:dyDescent="0.25">
      <c r="A51" s="38" t="s">
        <v>421</v>
      </c>
      <c r="B51" s="50" t="s">
        <v>422</v>
      </c>
      <c r="C51" s="55">
        <v>1050</v>
      </c>
      <c r="D51" s="55"/>
      <c r="E51" s="55">
        <f>C51+D51</f>
        <v>1050</v>
      </c>
    </row>
    <row r="52" spans="1:5" x14ac:dyDescent="0.25">
      <c r="A52" s="43"/>
      <c r="B52" s="19" t="s">
        <v>82</v>
      </c>
      <c r="C52" s="58">
        <f>C55+C61+C53</f>
        <v>18244066</v>
      </c>
      <c r="D52" s="58">
        <f>D55+D61+D53</f>
        <v>102846</v>
      </c>
      <c r="E52" s="58">
        <f>E55+E61+E53</f>
        <v>18346912</v>
      </c>
    </row>
    <row r="53" spans="1:5" ht="42.75" x14ac:dyDescent="0.25">
      <c r="A53" s="119">
        <v>17</v>
      </c>
      <c r="B53" s="120" t="s">
        <v>384</v>
      </c>
      <c r="C53" s="121">
        <f>C54</f>
        <v>19527</v>
      </c>
      <c r="D53" s="122">
        <f>D54</f>
        <v>0</v>
      </c>
      <c r="E53" s="122">
        <f>E54</f>
        <v>19527</v>
      </c>
    </row>
    <row r="54" spans="1:5" ht="60" x14ac:dyDescent="0.25">
      <c r="A54" s="123">
        <v>17.2</v>
      </c>
      <c r="B54" s="124" t="s">
        <v>385</v>
      </c>
      <c r="C54" s="125">
        <v>19527</v>
      </c>
      <c r="D54" s="126">
        <v>0</v>
      </c>
      <c r="E54" s="126">
        <f>C54+D54</f>
        <v>19527</v>
      </c>
    </row>
    <row r="55" spans="1:5" x14ac:dyDescent="0.25">
      <c r="A55" s="36" t="s">
        <v>83</v>
      </c>
      <c r="B55" s="46" t="s">
        <v>84</v>
      </c>
      <c r="C55" s="53">
        <f>C56</f>
        <v>17475633</v>
      </c>
      <c r="D55" s="53">
        <f t="shared" ref="D55:E55" si="13">D56</f>
        <v>102846</v>
      </c>
      <c r="E55" s="53">
        <f t="shared" si="13"/>
        <v>17578479</v>
      </c>
    </row>
    <row r="56" spans="1:5" ht="28.5" x14ac:dyDescent="0.25">
      <c r="A56" s="41" t="s">
        <v>85</v>
      </c>
      <c r="B56" s="46" t="s">
        <v>90</v>
      </c>
      <c r="C56" s="53">
        <f>SUM(C57:C60)</f>
        <v>17475633</v>
      </c>
      <c r="D56" s="60">
        <f t="shared" ref="D56:E56" si="14">SUM(D57:D60)</f>
        <v>102846</v>
      </c>
      <c r="E56" s="53">
        <f t="shared" si="14"/>
        <v>17578479</v>
      </c>
    </row>
    <row r="57" spans="1:5" ht="30" x14ac:dyDescent="0.25">
      <c r="A57" s="38" t="s">
        <v>86</v>
      </c>
      <c r="B57" s="50" t="s">
        <v>90</v>
      </c>
      <c r="C57" s="55">
        <v>13606048</v>
      </c>
      <c r="D57" s="57">
        <v>0</v>
      </c>
      <c r="E57" s="55">
        <f>C57+D57</f>
        <v>13606048</v>
      </c>
    </row>
    <row r="58" spans="1:5" ht="74.25" customHeight="1" x14ac:dyDescent="0.25">
      <c r="A58" s="38" t="s">
        <v>87</v>
      </c>
      <c r="B58" s="50" t="s">
        <v>91</v>
      </c>
      <c r="C58" s="55">
        <v>1332530</v>
      </c>
      <c r="D58" s="57">
        <v>102846</v>
      </c>
      <c r="E58" s="55">
        <f t="shared" ref="E58:E60" si="15">C58+D58</f>
        <v>1435376</v>
      </c>
    </row>
    <row r="59" spans="1:5" ht="30" customHeight="1" x14ac:dyDescent="0.25">
      <c r="A59" s="38" t="s">
        <v>88</v>
      </c>
      <c r="B59" s="50" t="s">
        <v>93</v>
      </c>
      <c r="C59" s="55">
        <v>2528491</v>
      </c>
      <c r="D59" s="57"/>
      <c r="E59" s="55">
        <f t="shared" si="15"/>
        <v>2528491</v>
      </c>
    </row>
    <row r="60" spans="1:5" ht="30" x14ac:dyDescent="0.25">
      <c r="A60" s="127" t="s">
        <v>89</v>
      </c>
      <c r="B60" s="128" t="s">
        <v>92</v>
      </c>
      <c r="C60" s="57">
        <f>3564+5000</f>
        <v>8564</v>
      </c>
      <c r="D60" s="57"/>
      <c r="E60" s="57">
        <f t="shared" si="15"/>
        <v>8564</v>
      </c>
    </row>
    <row r="61" spans="1:5" x14ac:dyDescent="0.25">
      <c r="A61" s="36" t="s">
        <v>94</v>
      </c>
      <c r="B61" s="46" t="s">
        <v>372</v>
      </c>
      <c r="C61" s="53">
        <f>C62</f>
        <v>748906</v>
      </c>
      <c r="D61" s="60">
        <f t="shared" ref="D61:E61" si="16">D62</f>
        <v>0</v>
      </c>
      <c r="E61" s="53">
        <f t="shared" si="16"/>
        <v>748906</v>
      </c>
    </row>
    <row r="62" spans="1:5" ht="30" x14ac:dyDescent="0.25">
      <c r="A62" s="38" t="s">
        <v>95</v>
      </c>
      <c r="B62" s="50" t="s">
        <v>96</v>
      </c>
      <c r="C62" s="55">
        <v>748906</v>
      </c>
      <c r="D62" s="57">
        <v>0</v>
      </c>
      <c r="E62" s="55">
        <f>C62+D62</f>
        <v>748906</v>
      </c>
    </row>
    <row r="63" spans="1:5" ht="28.5" x14ac:dyDescent="0.25">
      <c r="A63" s="39"/>
      <c r="B63" s="19" t="s">
        <v>97</v>
      </c>
      <c r="C63" s="52">
        <f>C64</f>
        <v>1855278</v>
      </c>
      <c r="D63" s="52">
        <f t="shared" ref="D63:E63" si="17">D64</f>
        <v>23833</v>
      </c>
      <c r="E63" s="52">
        <f t="shared" si="17"/>
        <v>1879111</v>
      </c>
    </row>
    <row r="64" spans="1:5" x14ac:dyDescent="0.25">
      <c r="A64" s="36" t="s">
        <v>98</v>
      </c>
      <c r="B64" s="46" t="s">
        <v>99</v>
      </c>
      <c r="C64" s="53">
        <f>C65+C68+C74</f>
        <v>1855278</v>
      </c>
      <c r="D64" s="53">
        <f t="shared" ref="D64:E64" si="18">D65+D68+D74</f>
        <v>23833</v>
      </c>
      <c r="E64" s="53">
        <f t="shared" si="18"/>
        <v>1879111</v>
      </c>
    </row>
    <row r="65" spans="1:5" ht="28.5" x14ac:dyDescent="0.25">
      <c r="A65" s="129" t="s">
        <v>100</v>
      </c>
      <c r="B65" s="130" t="s">
        <v>101</v>
      </c>
      <c r="C65" s="60">
        <f>C66+C67</f>
        <v>223536</v>
      </c>
      <c r="D65" s="60">
        <f>D66+D67</f>
        <v>0</v>
      </c>
      <c r="E65" s="60">
        <f>C65+D65</f>
        <v>223536</v>
      </c>
    </row>
    <row r="66" spans="1:5" ht="45" x14ac:dyDescent="0.25">
      <c r="A66" s="127" t="s">
        <v>442</v>
      </c>
      <c r="B66" s="128" t="s">
        <v>443</v>
      </c>
      <c r="C66" s="57">
        <v>6346</v>
      </c>
      <c r="D66" s="57"/>
      <c r="E66" s="57">
        <f>C66+D66</f>
        <v>6346</v>
      </c>
    </row>
    <row r="67" spans="1:5" ht="82.5" customHeight="1" x14ac:dyDescent="0.25">
      <c r="A67" s="127" t="s">
        <v>533</v>
      </c>
      <c r="B67" s="128" t="s">
        <v>534</v>
      </c>
      <c r="C67" s="57">
        <v>217190</v>
      </c>
      <c r="D67" s="57"/>
      <c r="E67" s="57">
        <f>C67+D67</f>
        <v>217190</v>
      </c>
    </row>
    <row r="68" spans="1:5" ht="28.5" x14ac:dyDescent="0.25">
      <c r="A68" s="41" t="s">
        <v>102</v>
      </c>
      <c r="B68" s="46" t="s">
        <v>103</v>
      </c>
      <c r="C68" s="53">
        <f>SUM(C69:C73)</f>
        <v>1512646</v>
      </c>
      <c r="D68" s="53">
        <f t="shared" ref="D68:E68" si="19">SUM(D69:D73)</f>
        <v>23833</v>
      </c>
      <c r="E68" s="53">
        <f t="shared" si="19"/>
        <v>1536479</v>
      </c>
    </row>
    <row r="69" spans="1:5" ht="46.5" hidden="1" customHeight="1" x14ac:dyDescent="0.25">
      <c r="A69" s="37" t="s">
        <v>104</v>
      </c>
      <c r="B69" s="49" t="s">
        <v>110</v>
      </c>
      <c r="C69" s="54"/>
      <c r="D69" s="54"/>
      <c r="E69" s="54">
        <f>C69+D69</f>
        <v>0</v>
      </c>
    </row>
    <row r="70" spans="1:5" x14ac:dyDescent="0.25">
      <c r="A70" s="38" t="s">
        <v>105</v>
      </c>
      <c r="B70" s="50" t="s">
        <v>111</v>
      </c>
      <c r="C70" s="55">
        <f>275181+150</f>
        <v>275331</v>
      </c>
      <c r="D70" s="57">
        <v>150</v>
      </c>
      <c r="E70" s="55">
        <f t="shared" ref="E70:E73" si="20">C70+D70</f>
        <v>275481</v>
      </c>
    </row>
    <row r="71" spans="1:5" ht="31.5" customHeight="1" x14ac:dyDescent="0.25">
      <c r="A71" s="38" t="s">
        <v>106</v>
      </c>
      <c r="B71" s="50" t="s">
        <v>114</v>
      </c>
      <c r="C71" s="55">
        <v>500</v>
      </c>
      <c r="D71" s="57"/>
      <c r="E71" s="55">
        <f t="shared" si="20"/>
        <v>500</v>
      </c>
    </row>
    <row r="72" spans="1:5" x14ac:dyDescent="0.25">
      <c r="A72" s="38" t="s">
        <v>107</v>
      </c>
      <c r="B72" s="50" t="s">
        <v>112</v>
      </c>
      <c r="C72" s="55">
        <v>421429</v>
      </c>
      <c r="D72" s="57"/>
      <c r="E72" s="55">
        <f t="shared" si="20"/>
        <v>421429</v>
      </c>
    </row>
    <row r="73" spans="1:5" ht="30" x14ac:dyDescent="0.25">
      <c r="A73" s="38" t="s">
        <v>108</v>
      </c>
      <c r="B73" s="50" t="s">
        <v>373</v>
      </c>
      <c r="C73" s="55">
        <v>815386</v>
      </c>
      <c r="D73" s="126">
        <f>22236+1447</f>
        <v>23683</v>
      </c>
      <c r="E73" s="55">
        <f t="shared" si="20"/>
        <v>839069</v>
      </c>
    </row>
    <row r="74" spans="1:5" ht="15.75" customHeight="1" x14ac:dyDescent="0.25">
      <c r="A74" s="41" t="s">
        <v>109</v>
      </c>
      <c r="B74" s="46" t="s">
        <v>113</v>
      </c>
      <c r="C74" s="53">
        <v>119096</v>
      </c>
      <c r="D74" s="60">
        <v>0</v>
      </c>
      <c r="E74" s="53">
        <f>C74+D74</f>
        <v>119096</v>
      </c>
    </row>
    <row r="75" spans="1:5" ht="18.75" x14ac:dyDescent="0.25">
      <c r="A75" s="44"/>
      <c r="B75" s="20" t="s">
        <v>115</v>
      </c>
      <c r="C75" s="51">
        <f>C76+C77</f>
        <v>10904679</v>
      </c>
      <c r="D75" s="51">
        <f t="shared" ref="D75:E75" si="21">D76+D77</f>
        <v>0</v>
      </c>
      <c r="E75" s="51">
        <f t="shared" si="21"/>
        <v>10904679</v>
      </c>
    </row>
    <row r="76" spans="1:5" x14ac:dyDescent="0.25">
      <c r="A76" s="45" t="s">
        <v>116</v>
      </c>
      <c r="B76" s="48" t="s">
        <v>118</v>
      </c>
      <c r="C76" s="55">
        <v>4976210</v>
      </c>
      <c r="D76" s="55"/>
      <c r="E76" s="55">
        <f>C76+D76</f>
        <v>4976210</v>
      </c>
    </row>
    <row r="77" spans="1:5" x14ac:dyDescent="0.25">
      <c r="A77" s="45" t="s">
        <v>117</v>
      </c>
      <c r="B77" s="48" t="s">
        <v>119</v>
      </c>
      <c r="C77" s="55">
        <v>5928469</v>
      </c>
      <c r="D77" s="57">
        <v>0</v>
      </c>
      <c r="E77" s="55">
        <f>C77+D77</f>
        <v>5928469</v>
      </c>
    </row>
    <row r="78" spans="1:5" ht="18.75" x14ac:dyDescent="0.3">
      <c r="A78" s="10"/>
      <c r="B78" s="20" t="s">
        <v>120</v>
      </c>
      <c r="C78" s="51">
        <f>C9+C75</f>
        <v>72732464</v>
      </c>
      <c r="D78" s="51">
        <f>D9+D75</f>
        <v>126679</v>
      </c>
      <c r="E78" s="51">
        <f>E9+E75</f>
        <v>72859143</v>
      </c>
    </row>
    <row r="81" spans="1:5" ht="18.75" x14ac:dyDescent="0.3">
      <c r="A81" s="17" t="s">
        <v>126</v>
      </c>
      <c r="B81" s="18"/>
      <c r="C81" s="17"/>
      <c r="D81" s="17"/>
      <c r="E81" s="17" t="s">
        <v>127</v>
      </c>
    </row>
  </sheetData>
  <mergeCells count="5">
    <mergeCell ref="D1:E1"/>
    <mergeCell ref="C2:E2"/>
    <mergeCell ref="C3:E3"/>
    <mergeCell ref="A5:E5"/>
    <mergeCell ref="A6:E6"/>
  </mergeCells>
  <printOptions horizontalCentered="1"/>
  <pageMargins left="1.1811023622047245" right="0.59055118110236227" top="0.78740157480314965" bottom="0.78740157480314965" header="0.19685039370078741" footer="0.19685039370078741"/>
  <pageSetup paperSize="9" scale="87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F17" sqref="F17"/>
    </sheetView>
  </sheetViews>
  <sheetFormatPr defaultColWidth="9.140625" defaultRowHeight="15" x14ac:dyDescent="0.25"/>
  <cols>
    <col min="1" max="1" width="11.140625" style="1" customWidth="1"/>
    <col min="2" max="2" width="44.85546875" style="1" customWidth="1"/>
    <col min="3" max="3" width="16.140625" style="1" customWidth="1"/>
    <col min="4" max="4" width="15.28515625" style="1" customWidth="1"/>
    <col min="5" max="5" width="14" style="1" customWidth="1"/>
    <col min="6" max="6" width="13.42578125" style="1" customWidth="1"/>
    <col min="7" max="7" width="13.85546875" style="1" customWidth="1"/>
    <col min="8" max="8" width="14.28515625" style="1" customWidth="1"/>
    <col min="9" max="16384" width="9.140625" style="1"/>
  </cols>
  <sheetData>
    <row r="1" spans="1:10" x14ac:dyDescent="0.25">
      <c r="A1" s="1" t="s">
        <v>0</v>
      </c>
      <c r="G1" s="174" t="s">
        <v>152</v>
      </c>
      <c r="H1" s="174"/>
      <c r="J1" s="2"/>
    </row>
    <row r="2" spans="1:10" x14ac:dyDescent="0.25">
      <c r="F2" s="174" t="s">
        <v>390</v>
      </c>
      <c r="G2" s="174"/>
      <c r="H2" s="174"/>
      <c r="I2" s="6"/>
      <c r="J2" s="2"/>
    </row>
    <row r="3" spans="1:10" x14ac:dyDescent="0.25">
      <c r="H3" s="150" t="s">
        <v>676</v>
      </c>
      <c r="I3" s="16"/>
      <c r="J3" s="16"/>
    </row>
    <row r="5" spans="1:10" ht="18.75" x14ac:dyDescent="0.3">
      <c r="A5" s="178" t="s">
        <v>414</v>
      </c>
      <c r="B5" s="178"/>
      <c r="C5" s="178"/>
      <c r="D5" s="178"/>
      <c r="E5" s="178"/>
      <c r="F5" s="178"/>
      <c r="G5" s="178"/>
      <c r="H5" s="178"/>
    </row>
    <row r="6" spans="1:10" x14ac:dyDescent="0.25">
      <c r="A6" s="179" t="s">
        <v>129</v>
      </c>
      <c r="B6" s="179"/>
      <c r="C6" s="179"/>
      <c r="D6" s="179"/>
      <c r="E6" s="179"/>
      <c r="F6" s="179"/>
      <c r="G6" s="179"/>
      <c r="H6" s="179"/>
    </row>
    <row r="7" spans="1:10" x14ac:dyDescent="0.25">
      <c r="H7" s="27" t="s">
        <v>12</v>
      </c>
    </row>
    <row r="8" spans="1:10" s="3" customFormat="1" ht="15" customHeight="1" x14ac:dyDescent="0.2">
      <c r="A8" s="176" t="s">
        <v>5</v>
      </c>
      <c r="B8" s="176" t="s">
        <v>122</v>
      </c>
      <c r="C8" s="176" t="s">
        <v>415</v>
      </c>
      <c r="D8" s="175" t="s">
        <v>4</v>
      </c>
      <c r="E8" s="175"/>
      <c r="F8" s="175"/>
      <c r="G8" s="175"/>
      <c r="H8" s="177" t="s">
        <v>675</v>
      </c>
    </row>
    <row r="9" spans="1:10" s="3" customFormat="1" ht="42.75" x14ac:dyDescent="0.2">
      <c r="A9" s="176"/>
      <c r="B9" s="176"/>
      <c r="C9" s="176"/>
      <c r="D9" s="7" t="s">
        <v>124</v>
      </c>
      <c r="E9" s="7" t="s">
        <v>125</v>
      </c>
      <c r="F9" s="7" t="s">
        <v>84</v>
      </c>
      <c r="G9" s="7" t="s">
        <v>156</v>
      </c>
      <c r="H9" s="177"/>
    </row>
    <row r="10" spans="1:10" ht="37.5" x14ac:dyDescent="0.3">
      <c r="A10" s="8"/>
      <c r="B10" s="20" t="s">
        <v>128</v>
      </c>
      <c r="C10" s="61">
        <f>SUM(C11:C19)</f>
        <v>66400452</v>
      </c>
      <c r="D10" s="61">
        <f t="shared" ref="D10:G10" si="0">SUM(D11:D19)</f>
        <v>0</v>
      </c>
      <c r="E10" s="61">
        <f t="shared" si="0"/>
        <v>23833</v>
      </c>
      <c r="F10" s="61">
        <f t="shared" si="0"/>
        <v>102846</v>
      </c>
      <c r="G10" s="61">
        <f t="shared" si="0"/>
        <v>0</v>
      </c>
      <c r="H10" s="61">
        <f>C10+D10+E10+F10+G10</f>
        <v>66527131</v>
      </c>
    </row>
    <row r="11" spans="1:10" x14ac:dyDescent="0.25">
      <c r="A11" s="45" t="s">
        <v>130</v>
      </c>
      <c r="B11" s="13" t="s">
        <v>139</v>
      </c>
      <c r="C11" s="62">
        <v>5901745</v>
      </c>
      <c r="D11" s="62">
        <f>'3.pielikums'!E12</f>
        <v>14183</v>
      </c>
      <c r="E11" s="62">
        <f>'3.pielikums'!G12</f>
        <v>0</v>
      </c>
      <c r="F11" s="62">
        <v>0</v>
      </c>
      <c r="G11" s="62">
        <f>'3.pielikums'!K12</f>
        <v>0</v>
      </c>
      <c r="H11" s="63">
        <f t="shared" ref="H11:H29" si="1">C11+D11+E11+F11+G11</f>
        <v>5915928</v>
      </c>
    </row>
    <row r="12" spans="1:10" x14ac:dyDescent="0.25">
      <c r="A12" s="45" t="s">
        <v>131</v>
      </c>
      <c r="B12" s="13" t="s">
        <v>140</v>
      </c>
      <c r="C12" s="62">
        <v>3155335</v>
      </c>
      <c r="D12" s="62">
        <f>'3.pielikums'!E31</f>
        <v>0</v>
      </c>
      <c r="E12" s="62">
        <f>'3.pielikums'!G31</f>
        <v>22236</v>
      </c>
      <c r="F12" s="62">
        <f>'3.pielikums'!I31</f>
        <v>13240</v>
      </c>
      <c r="G12" s="62">
        <f>'3.pielikums'!K31</f>
        <v>0</v>
      </c>
      <c r="H12" s="63">
        <f t="shared" si="1"/>
        <v>3190811</v>
      </c>
    </row>
    <row r="13" spans="1:10" x14ac:dyDescent="0.25">
      <c r="A13" s="45" t="s">
        <v>132</v>
      </c>
      <c r="B13" s="13" t="s">
        <v>141</v>
      </c>
      <c r="C13" s="62">
        <v>4806309</v>
      </c>
      <c r="D13" s="62">
        <f>'3.pielikums'!E37</f>
        <v>0</v>
      </c>
      <c r="E13" s="62">
        <f>'3.pielikums'!G37</f>
        <v>0</v>
      </c>
      <c r="F13" s="62">
        <v>0</v>
      </c>
      <c r="G13" s="62">
        <f>'3.pielikums'!K37</f>
        <v>0</v>
      </c>
      <c r="H13" s="63">
        <f t="shared" si="1"/>
        <v>4806309</v>
      </c>
    </row>
    <row r="14" spans="1:10" x14ac:dyDescent="0.25">
      <c r="A14" s="45" t="s">
        <v>133</v>
      </c>
      <c r="B14" s="13" t="s">
        <v>142</v>
      </c>
      <c r="C14" s="62">
        <v>1866639</v>
      </c>
      <c r="D14" s="62">
        <v>0</v>
      </c>
      <c r="E14" s="62">
        <f>'3.pielikums'!G51</f>
        <v>0</v>
      </c>
      <c r="F14" s="62">
        <f>'3.pielikums'!I51</f>
        <v>0</v>
      </c>
      <c r="G14" s="62">
        <v>0</v>
      </c>
      <c r="H14" s="63">
        <f t="shared" si="1"/>
        <v>1866639</v>
      </c>
    </row>
    <row r="15" spans="1:10" x14ac:dyDescent="0.25">
      <c r="A15" s="45" t="s">
        <v>134</v>
      </c>
      <c r="B15" s="13" t="s">
        <v>143</v>
      </c>
      <c r="C15" s="62">
        <v>5312290</v>
      </c>
      <c r="D15" s="62">
        <f>'3.pielikums'!E61</f>
        <v>47267</v>
      </c>
      <c r="E15" s="62">
        <f>'3.pielikums'!G61</f>
        <v>0</v>
      </c>
      <c r="F15" s="62">
        <v>0</v>
      </c>
      <c r="G15" s="62">
        <f>'3.pielikums'!K61</f>
        <v>0</v>
      </c>
      <c r="H15" s="63">
        <f t="shared" si="1"/>
        <v>5359557</v>
      </c>
    </row>
    <row r="16" spans="1:10" x14ac:dyDescent="0.25">
      <c r="A16" s="45" t="s">
        <v>135</v>
      </c>
      <c r="B16" s="13" t="s">
        <v>144</v>
      </c>
      <c r="C16" s="62">
        <v>178053</v>
      </c>
      <c r="D16" s="62">
        <f>'3.pielikums'!E71</f>
        <v>0</v>
      </c>
      <c r="E16" s="62">
        <f>'3.pielikums'!G71</f>
        <v>0</v>
      </c>
      <c r="F16" s="62">
        <f>'3.pielikums'!I71</f>
        <v>31000</v>
      </c>
      <c r="G16" s="62">
        <f>'3.pielikums'!K71</f>
        <v>0</v>
      </c>
      <c r="H16" s="63">
        <f t="shared" si="1"/>
        <v>209053</v>
      </c>
    </row>
    <row r="17" spans="1:8" x14ac:dyDescent="0.25">
      <c r="A17" s="45" t="s">
        <v>26</v>
      </c>
      <c r="B17" s="13" t="s">
        <v>145</v>
      </c>
      <c r="C17" s="62">
        <v>6855620</v>
      </c>
      <c r="D17" s="62">
        <f>'3.pielikums'!E77</f>
        <v>1200</v>
      </c>
      <c r="E17" s="62">
        <v>0</v>
      </c>
      <c r="F17" s="62">
        <v>0</v>
      </c>
      <c r="G17" s="62">
        <f>'3.pielikums'!K77</f>
        <v>0</v>
      </c>
      <c r="H17" s="63">
        <f t="shared" si="1"/>
        <v>6856820</v>
      </c>
    </row>
    <row r="18" spans="1:8" x14ac:dyDescent="0.25">
      <c r="A18" s="45" t="s">
        <v>30</v>
      </c>
      <c r="B18" s="13" t="s">
        <v>146</v>
      </c>
      <c r="C18" s="62">
        <v>33627883</v>
      </c>
      <c r="D18" s="62">
        <f>'3.pielikums'!E105</f>
        <v>2350</v>
      </c>
      <c r="E18" s="62">
        <f>'3.pielikums'!G105</f>
        <v>150</v>
      </c>
      <c r="F18" s="62">
        <f>'3.pielikums'!I105</f>
        <v>58606</v>
      </c>
      <c r="G18" s="62">
        <f>'3.pielikums'!K105</f>
        <v>0</v>
      </c>
      <c r="H18" s="63">
        <f t="shared" si="1"/>
        <v>33688989</v>
      </c>
    </row>
    <row r="19" spans="1:8" x14ac:dyDescent="0.25">
      <c r="A19" s="45" t="s">
        <v>57</v>
      </c>
      <c r="B19" s="13" t="s">
        <v>147</v>
      </c>
      <c r="C19" s="62">
        <v>4696578</v>
      </c>
      <c r="D19" s="62">
        <f>'3.pielikums'!E137</f>
        <v>-65000</v>
      </c>
      <c r="E19" s="62">
        <f>'3.pielikums'!G137</f>
        <v>1447</v>
      </c>
      <c r="F19" s="62">
        <v>0</v>
      </c>
      <c r="G19" s="62">
        <f>'3.pielikums'!K137</f>
        <v>0</v>
      </c>
      <c r="H19" s="63">
        <f t="shared" si="1"/>
        <v>4633025</v>
      </c>
    </row>
    <row r="20" spans="1:8" ht="18.75" x14ac:dyDescent="0.3">
      <c r="A20" s="65"/>
      <c r="B20" s="21" t="s">
        <v>136</v>
      </c>
      <c r="C20" s="61">
        <f>C21+C22+C28</f>
        <v>6332012</v>
      </c>
      <c r="D20" s="61">
        <f>D21+D22+D28</f>
        <v>0</v>
      </c>
      <c r="E20" s="61">
        <f>E21+E22+E28</f>
        <v>0</v>
      </c>
      <c r="F20" s="61">
        <f>F21+F22+F28</f>
        <v>0</v>
      </c>
      <c r="G20" s="61">
        <f>G21+G22+G28</f>
        <v>0</v>
      </c>
      <c r="H20" s="61">
        <f t="shared" si="1"/>
        <v>6332012</v>
      </c>
    </row>
    <row r="21" spans="1:8" x14ac:dyDescent="0.25">
      <c r="A21" s="45" t="s">
        <v>137</v>
      </c>
      <c r="B21" s="45" t="s">
        <v>148</v>
      </c>
      <c r="C21" s="62">
        <v>4063462</v>
      </c>
      <c r="D21" s="62">
        <f>'3.pielikums'!E167</f>
        <v>0</v>
      </c>
      <c r="E21" s="62">
        <f>'3.pielikums'!G167</f>
        <v>0</v>
      </c>
      <c r="F21" s="62">
        <f>'3.pielikums'!I167</f>
        <v>0</v>
      </c>
      <c r="G21" s="62">
        <f>'3.pielikums'!K167</f>
        <v>0</v>
      </c>
      <c r="H21" s="63">
        <f t="shared" si="1"/>
        <v>4063462</v>
      </c>
    </row>
    <row r="22" spans="1:8" x14ac:dyDescent="0.25">
      <c r="A22" s="45" t="s">
        <v>138</v>
      </c>
      <c r="B22" s="48" t="s">
        <v>149</v>
      </c>
      <c r="C22" s="62">
        <f>SUM(C23:C27)</f>
        <v>2144043</v>
      </c>
      <c r="D22" s="62">
        <f>SUM(D23:D27)</f>
        <v>0</v>
      </c>
      <c r="E22" s="62">
        <f>SUM(E23:E27)</f>
        <v>0</v>
      </c>
      <c r="F22" s="62">
        <f>SUM(F23:F27)</f>
        <v>0</v>
      </c>
      <c r="G22" s="62">
        <f>SUM(G23:G27)</f>
        <v>0</v>
      </c>
      <c r="H22" s="63">
        <f t="shared" si="1"/>
        <v>2144043</v>
      </c>
    </row>
    <row r="23" spans="1:8" x14ac:dyDescent="0.25">
      <c r="A23" s="45"/>
      <c r="B23" s="26" t="s">
        <v>501</v>
      </c>
      <c r="C23" s="66">
        <v>40000</v>
      </c>
      <c r="D23" s="66">
        <f>'3.pielikums'!E169</f>
        <v>0</v>
      </c>
      <c r="E23" s="66">
        <f>'3.pielikums'!G169</f>
        <v>0</v>
      </c>
      <c r="F23" s="66">
        <f>'3.pielikums'!I169</f>
        <v>0</v>
      </c>
      <c r="G23" s="66">
        <f>'3.pielikums'!K169</f>
        <v>0</v>
      </c>
      <c r="H23" s="67">
        <f t="shared" si="1"/>
        <v>40000</v>
      </c>
    </row>
    <row r="24" spans="1:8" x14ac:dyDescent="0.25">
      <c r="A24" s="45"/>
      <c r="B24" s="26" t="s">
        <v>425</v>
      </c>
      <c r="C24" s="66">
        <v>1496459</v>
      </c>
      <c r="D24" s="66">
        <v>0</v>
      </c>
      <c r="E24" s="66">
        <f>'3.pielikums'!G170</f>
        <v>0</v>
      </c>
      <c r="F24" s="66">
        <f>'3.pielikums'!I170</f>
        <v>0</v>
      </c>
      <c r="G24" s="66">
        <f>'3.pielikums'!K170</f>
        <v>0</v>
      </c>
      <c r="H24" s="67">
        <f t="shared" si="1"/>
        <v>1496459</v>
      </c>
    </row>
    <row r="25" spans="1:8" x14ac:dyDescent="0.25">
      <c r="A25" s="45"/>
      <c r="B25" s="26" t="s">
        <v>426</v>
      </c>
      <c r="C25" s="66">
        <v>520244</v>
      </c>
      <c r="D25" s="66">
        <v>0</v>
      </c>
      <c r="E25" s="66">
        <f>'3.pielikums'!G171</f>
        <v>0</v>
      </c>
      <c r="F25" s="66">
        <f>'3.pielikums'!I171</f>
        <v>0</v>
      </c>
      <c r="G25" s="66">
        <f>'3.pielikums'!K171</f>
        <v>0</v>
      </c>
      <c r="H25" s="67">
        <f t="shared" si="1"/>
        <v>520244</v>
      </c>
    </row>
    <row r="26" spans="1:8" x14ac:dyDescent="0.25">
      <c r="A26" s="45"/>
      <c r="B26" s="26" t="s">
        <v>424</v>
      </c>
      <c r="C26" s="66">
        <v>37340</v>
      </c>
      <c r="D26" s="66">
        <f>'3.pielikums'!E172</f>
        <v>0</v>
      </c>
      <c r="E26" s="66">
        <f>'3.pielikums'!G172</f>
        <v>0</v>
      </c>
      <c r="F26" s="66">
        <f>'3.pielikums'!I172</f>
        <v>0</v>
      </c>
      <c r="G26" s="66">
        <f>'3.pielikums'!K172</f>
        <v>0</v>
      </c>
      <c r="H26" s="67">
        <f t="shared" si="1"/>
        <v>37340</v>
      </c>
    </row>
    <row r="27" spans="1:8" x14ac:dyDescent="0.25">
      <c r="A27" s="45"/>
      <c r="B27" s="26" t="s">
        <v>423</v>
      </c>
      <c r="C27" s="66">
        <v>50000</v>
      </c>
      <c r="D27" s="66">
        <f>'3.pielikums'!E173</f>
        <v>0</v>
      </c>
      <c r="E27" s="66">
        <f>'3.pielikums'!G173</f>
        <v>0</v>
      </c>
      <c r="F27" s="66">
        <f>'3.pielikums'!I173</f>
        <v>0</v>
      </c>
      <c r="G27" s="66">
        <f>'3.pielikums'!K173</f>
        <v>0</v>
      </c>
      <c r="H27" s="67">
        <f t="shared" si="1"/>
        <v>50000</v>
      </c>
    </row>
    <row r="28" spans="1:8" x14ac:dyDescent="0.25">
      <c r="A28" s="45" t="s">
        <v>116</v>
      </c>
      <c r="B28" s="64" t="s">
        <v>151</v>
      </c>
      <c r="C28" s="62">
        <v>124507</v>
      </c>
      <c r="D28" s="62">
        <v>0</v>
      </c>
      <c r="E28" s="62">
        <f>'3.pielikums'!G174</f>
        <v>0</v>
      </c>
      <c r="F28" s="62">
        <f>'3.pielikums'!I174</f>
        <v>0</v>
      </c>
      <c r="G28" s="62">
        <f>'3.pielikums'!K174</f>
        <v>0</v>
      </c>
      <c r="H28" s="63">
        <f t="shared" si="1"/>
        <v>124507</v>
      </c>
    </row>
    <row r="29" spans="1:8" ht="18.75" x14ac:dyDescent="0.3">
      <c r="A29" s="10"/>
      <c r="B29" s="21" t="s">
        <v>150</v>
      </c>
      <c r="C29" s="61">
        <f>C10+C20</f>
        <v>72732464</v>
      </c>
      <c r="D29" s="61">
        <f t="shared" ref="D29:G29" si="2">D10+D20</f>
        <v>0</v>
      </c>
      <c r="E29" s="61">
        <f t="shared" si="2"/>
        <v>23833</v>
      </c>
      <c r="F29" s="61">
        <f t="shared" si="2"/>
        <v>102846</v>
      </c>
      <c r="G29" s="61">
        <f t="shared" si="2"/>
        <v>0</v>
      </c>
      <c r="H29" s="61">
        <f t="shared" si="1"/>
        <v>72859143</v>
      </c>
    </row>
    <row r="31" spans="1:8" ht="18.75" x14ac:dyDescent="0.3">
      <c r="A31" s="17" t="s">
        <v>126</v>
      </c>
      <c r="H31" s="17" t="s">
        <v>127</v>
      </c>
    </row>
  </sheetData>
  <mergeCells count="9">
    <mergeCell ref="F2:H2"/>
    <mergeCell ref="G1:H1"/>
    <mergeCell ref="D8:G8"/>
    <mergeCell ref="A8:A9"/>
    <mergeCell ref="B8:B9"/>
    <mergeCell ref="C8:C9"/>
    <mergeCell ref="H8:H9"/>
    <mergeCell ref="A5:H5"/>
    <mergeCell ref="A6:H6"/>
  </mergeCells>
  <printOptions horizontalCentered="1"/>
  <pageMargins left="0.78740157480314965" right="0.78740157480314965" top="1.1811023622047245" bottom="0.59055118110236227" header="0.19685039370078741" footer="0.19685039370078741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"/>
  <sheetViews>
    <sheetView workbookViewId="0">
      <pane ySplit="10" topLeftCell="A11" activePane="bottomLeft" state="frozen"/>
      <selection pane="bottomLeft" activeCell="B183" sqref="B182:B183"/>
    </sheetView>
  </sheetViews>
  <sheetFormatPr defaultColWidth="9.140625" defaultRowHeight="15" x14ac:dyDescent="0.25"/>
  <cols>
    <col min="1" max="1" width="10.5703125" style="1" customWidth="1"/>
    <col min="2" max="2" width="30.5703125" style="4" customWidth="1"/>
    <col min="3" max="3" width="11.42578125" style="1" customWidth="1"/>
    <col min="4" max="4" width="11.85546875" style="1" customWidth="1"/>
    <col min="5" max="5" width="11.5703125" style="1" customWidth="1"/>
    <col min="6" max="6" width="10.140625" style="1" customWidth="1"/>
    <col min="7" max="7" width="10.85546875" style="1" customWidth="1"/>
    <col min="8" max="8" width="11.85546875" style="1" customWidth="1"/>
    <col min="9" max="9" width="11.42578125" style="1" customWidth="1"/>
    <col min="10" max="11" width="9.5703125" style="1" customWidth="1"/>
    <col min="12" max="12" width="10.28515625" style="1" customWidth="1"/>
    <col min="13" max="16384" width="9.140625" style="1"/>
  </cols>
  <sheetData>
    <row r="1" spans="1:12" x14ac:dyDescent="0.25">
      <c r="A1" s="1" t="s">
        <v>0</v>
      </c>
      <c r="K1" s="174" t="s">
        <v>157</v>
      </c>
      <c r="L1" s="174"/>
    </row>
    <row r="2" spans="1:12" x14ac:dyDescent="0.25">
      <c r="H2" s="174" t="s">
        <v>390</v>
      </c>
      <c r="I2" s="174"/>
      <c r="J2" s="174"/>
      <c r="K2" s="174"/>
      <c r="L2" s="174"/>
    </row>
    <row r="3" spans="1:12" x14ac:dyDescent="0.25">
      <c r="L3" s="150" t="s">
        <v>677</v>
      </c>
    </row>
    <row r="5" spans="1:12" ht="18.75" x14ac:dyDescent="0.3">
      <c r="A5" s="178" t="s">
        <v>414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</row>
    <row r="6" spans="1:12" x14ac:dyDescent="0.25">
      <c r="A6" s="179" t="s">
        <v>153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</row>
    <row r="7" spans="1:12" x14ac:dyDescent="0.25">
      <c r="L7" s="27" t="s">
        <v>12</v>
      </c>
    </row>
    <row r="8" spans="1:12" s="4" customFormat="1" x14ac:dyDescent="0.25">
      <c r="A8" s="182" t="s">
        <v>5</v>
      </c>
      <c r="B8" s="182" t="s">
        <v>122</v>
      </c>
      <c r="C8" s="182" t="s">
        <v>415</v>
      </c>
      <c r="D8" s="182" t="s">
        <v>123</v>
      </c>
      <c r="E8" s="182"/>
      <c r="F8" s="182"/>
      <c r="G8" s="182"/>
      <c r="H8" s="182"/>
      <c r="I8" s="182"/>
      <c r="J8" s="182"/>
      <c r="K8" s="182"/>
      <c r="L8" s="182"/>
    </row>
    <row r="9" spans="1:12" s="4" customFormat="1" ht="48" x14ac:dyDescent="0.25">
      <c r="A9" s="182"/>
      <c r="B9" s="182"/>
      <c r="C9" s="182"/>
      <c r="D9" s="23" t="s">
        <v>124</v>
      </c>
      <c r="E9" s="24" t="s">
        <v>154</v>
      </c>
      <c r="F9" s="23" t="s">
        <v>125</v>
      </c>
      <c r="G9" s="24" t="s">
        <v>159</v>
      </c>
      <c r="H9" s="23" t="s">
        <v>84</v>
      </c>
      <c r="I9" s="24" t="s">
        <v>155</v>
      </c>
      <c r="J9" s="23" t="s">
        <v>156</v>
      </c>
      <c r="K9" s="24" t="s">
        <v>158</v>
      </c>
      <c r="L9" s="23" t="s">
        <v>416</v>
      </c>
    </row>
    <row r="10" spans="1:12" x14ac:dyDescent="0.25">
      <c r="A10" s="68">
        <v>1</v>
      </c>
      <c r="B10" s="69">
        <v>2</v>
      </c>
      <c r="C10" s="70"/>
      <c r="D10" s="70">
        <v>4</v>
      </c>
      <c r="E10" s="70">
        <v>5</v>
      </c>
      <c r="F10" s="70">
        <v>6</v>
      </c>
      <c r="G10" s="70">
        <v>7</v>
      </c>
      <c r="H10" s="70">
        <v>8</v>
      </c>
      <c r="I10" s="70">
        <v>9</v>
      </c>
      <c r="J10" s="70">
        <v>10</v>
      </c>
      <c r="K10" s="70">
        <v>11</v>
      </c>
      <c r="L10" s="70">
        <v>12</v>
      </c>
    </row>
    <row r="11" spans="1:12" ht="28.5" x14ac:dyDescent="0.25">
      <c r="A11" s="71"/>
      <c r="B11" s="19" t="s">
        <v>128</v>
      </c>
      <c r="C11" s="52">
        <f>SUM(D11:L11)</f>
        <v>66527131</v>
      </c>
      <c r="D11" s="72">
        <f>D12+D31+D37+D51+D61+D71+D77+D105+D137</f>
        <v>45326810</v>
      </c>
      <c r="E11" s="72">
        <f>E12+E31+E37+E51+E61+E71+E77+E105+E137</f>
        <v>0</v>
      </c>
      <c r="F11" s="52">
        <f t="shared" ref="F11:L11" si="0">F12+F31+F37+F51+F61+F71+F77+F105+F137</f>
        <v>1916828</v>
      </c>
      <c r="G11" s="72">
        <f t="shared" si="0"/>
        <v>23833</v>
      </c>
      <c r="H11" s="52">
        <f t="shared" si="0"/>
        <v>14966669</v>
      </c>
      <c r="I11" s="72">
        <f t="shared" si="0"/>
        <v>102846</v>
      </c>
      <c r="J11" s="52">
        <f t="shared" si="0"/>
        <v>748906</v>
      </c>
      <c r="K11" s="72">
        <f t="shared" si="0"/>
        <v>0</v>
      </c>
      <c r="L11" s="52">
        <f t="shared" si="0"/>
        <v>3441239</v>
      </c>
    </row>
    <row r="12" spans="1:12" x14ac:dyDescent="0.25">
      <c r="A12" s="73" t="s">
        <v>130</v>
      </c>
      <c r="B12" s="74" t="s">
        <v>139</v>
      </c>
      <c r="C12" s="75">
        <f>SUM(D12:L12)</f>
        <v>5915928</v>
      </c>
      <c r="D12" s="75">
        <f>D13+D17+D21+D24+D25+D26+D30</f>
        <v>4706201</v>
      </c>
      <c r="E12" s="76">
        <f>E13+E17+E21+E24+E25+E26+E30</f>
        <v>14183</v>
      </c>
      <c r="F12" s="75">
        <f t="shared" ref="F12:L12" si="1">F13+F17+F21+F24+F25+F26+F30</f>
        <v>301190</v>
      </c>
      <c r="G12" s="76">
        <f t="shared" si="1"/>
        <v>0</v>
      </c>
      <c r="H12" s="75">
        <f t="shared" si="1"/>
        <v>21475</v>
      </c>
      <c r="I12" s="76">
        <f t="shared" si="1"/>
        <v>0</v>
      </c>
      <c r="J12" s="75">
        <f t="shared" si="1"/>
        <v>667007</v>
      </c>
      <c r="K12" s="76">
        <f t="shared" si="1"/>
        <v>0</v>
      </c>
      <c r="L12" s="75">
        <f t="shared" si="1"/>
        <v>205872</v>
      </c>
    </row>
    <row r="13" spans="1:12" ht="25.5" x14ac:dyDescent="0.25">
      <c r="A13" s="77" t="s">
        <v>6</v>
      </c>
      <c r="B13" s="78" t="s">
        <v>160</v>
      </c>
      <c r="C13" s="79">
        <f>SUM(D13:L13)</f>
        <v>3737392</v>
      </c>
      <c r="D13" s="79">
        <f>SUM(D14:D16)</f>
        <v>3396426</v>
      </c>
      <c r="E13" s="80">
        <f t="shared" ref="E13:L13" si="2">SUM(E14:E16)</f>
        <v>0</v>
      </c>
      <c r="F13" s="79">
        <f t="shared" si="2"/>
        <v>301190</v>
      </c>
      <c r="G13" s="80">
        <f t="shared" si="2"/>
        <v>0</v>
      </c>
      <c r="H13" s="79">
        <f t="shared" si="2"/>
        <v>5696</v>
      </c>
      <c r="I13" s="80">
        <f t="shared" si="2"/>
        <v>0</v>
      </c>
      <c r="J13" s="79">
        <f t="shared" si="2"/>
        <v>0</v>
      </c>
      <c r="K13" s="80">
        <f t="shared" si="2"/>
        <v>0</v>
      </c>
      <c r="L13" s="79">
        <f t="shared" si="2"/>
        <v>34080</v>
      </c>
    </row>
    <row r="14" spans="1:12" x14ac:dyDescent="0.25">
      <c r="A14" s="81" t="s">
        <v>8</v>
      </c>
      <c r="B14" s="102" t="s">
        <v>161</v>
      </c>
      <c r="C14" s="82">
        <f>SUM(D14:L14)</f>
        <v>3475472</v>
      </c>
      <c r="D14" s="82">
        <v>3391426</v>
      </c>
      <c r="E14" s="83"/>
      <c r="F14" s="82">
        <v>84000</v>
      </c>
      <c r="G14" s="84"/>
      <c r="H14" s="82"/>
      <c r="I14" s="84"/>
      <c r="J14" s="82"/>
      <c r="K14" s="84"/>
      <c r="L14" s="82">
        <v>46</v>
      </c>
    </row>
    <row r="15" spans="1:12" ht="38.25" x14ac:dyDescent="0.25">
      <c r="A15" s="81" t="s">
        <v>162</v>
      </c>
      <c r="B15" s="102" t="s">
        <v>176</v>
      </c>
      <c r="C15" s="82">
        <f t="shared" ref="C15:C16" si="3">SUM(D15:L15)</f>
        <v>246956</v>
      </c>
      <c r="D15" s="82"/>
      <c r="E15" s="84"/>
      <c r="F15" s="82">
        <v>217190</v>
      </c>
      <c r="G15" s="84"/>
      <c r="H15" s="82"/>
      <c r="I15" s="84"/>
      <c r="J15" s="82"/>
      <c r="K15" s="84"/>
      <c r="L15" s="82">
        <v>29766</v>
      </c>
    </row>
    <row r="16" spans="1:12" ht="51" x14ac:dyDescent="0.25">
      <c r="A16" s="81" t="s">
        <v>163</v>
      </c>
      <c r="B16" s="102" t="s">
        <v>374</v>
      </c>
      <c r="C16" s="82">
        <f t="shared" si="3"/>
        <v>14964</v>
      </c>
      <c r="D16" s="82">
        <v>5000</v>
      </c>
      <c r="E16" s="83"/>
      <c r="F16" s="86"/>
      <c r="G16" s="83"/>
      <c r="H16" s="86">
        <f>2222+2063+1411</f>
        <v>5696</v>
      </c>
      <c r="I16" s="83">
        <v>0</v>
      </c>
      <c r="J16" s="82"/>
      <c r="K16" s="84"/>
      <c r="L16" s="82">
        <v>4268</v>
      </c>
    </row>
    <row r="17" spans="1:12" x14ac:dyDescent="0.25">
      <c r="A17" s="77" t="s">
        <v>164</v>
      </c>
      <c r="B17" s="78" t="s">
        <v>177</v>
      </c>
      <c r="C17" s="79">
        <f>SUM(D17:L17)</f>
        <v>322297</v>
      </c>
      <c r="D17" s="79">
        <f>SUM(D18:D20)</f>
        <v>322297</v>
      </c>
      <c r="E17" s="90">
        <f t="shared" ref="E17:L17" si="4">SUM(E18:E20)</f>
        <v>0</v>
      </c>
      <c r="F17" s="89">
        <f t="shared" si="4"/>
        <v>0</v>
      </c>
      <c r="G17" s="90">
        <f t="shared" si="4"/>
        <v>0</v>
      </c>
      <c r="H17" s="89">
        <f t="shared" si="4"/>
        <v>0</v>
      </c>
      <c r="I17" s="90">
        <f t="shared" si="4"/>
        <v>0</v>
      </c>
      <c r="J17" s="79">
        <f t="shared" si="4"/>
        <v>0</v>
      </c>
      <c r="K17" s="80">
        <f t="shared" si="4"/>
        <v>0</v>
      </c>
      <c r="L17" s="79">
        <f t="shared" si="4"/>
        <v>0</v>
      </c>
    </row>
    <row r="18" spans="1:12" ht="38.25" x14ac:dyDescent="0.25">
      <c r="A18" s="85" t="s">
        <v>165</v>
      </c>
      <c r="B18" s="102" t="s">
        <v>178</v>
      </c>
      <c r="C18" s="82">
        <f>SUM(D18:L18)</f>
        <v>50855</v>
      </c>
      <c r="D18" s="86">
        <f>43000+7855</f>
        <v>50855</v>
      </c>
      <c r="E18" s="83"/>
      <c r="F18" s="86"/>
      <c r="G18" s="83"/>
      <c r="H18" s="86"/>
      <c r="I18" s="83"/>
      <c r="J18" s="82"/>
      <c r="K18" s="84"/>
      <c r="L18" s="82"/>
    </row>
    <row r="19" spans="1:12" ht="39" customHeight="1" x14ac:dyDescent="0.25">
      <c r="A19" s="85" t="s">
        <v>166</v>
      </c>
      <c r="B19" s="102" t="s">
        <v>479</v>
      </c>
      <c r="C19" s="82">
        <f t="shared" ref="C19:C20" si="5">SUM(D19:L19)</f>
        <v>196332</v>
      </c>
      <c r="D19" s="86">
        <v>196332</v>
      </c>
      <c r="E19" s="83"/>
      <c r="F19" s="86"/>
      <c r="G19" s="83"/>
      <c r="H19" s="86"/>
      <c r="I19" s="83"/>
      <c r="J19" s="82"/>
      <c r="K19" s="84"/>
      <c r="L19" s="82"/>
    </row>
    <row r="20" spans="1:12" ht="38.25" x14ac:dyDescent="0.25">
      <c r="A20" s="85" t="s">
        <v>167</v>
      </c>
      <c r="B20" s="102" t="s">
        <v>179</v>
      </c>
      <c r="C20" s="82">
        <f t="shared" si="5"/>
        <v>75110</v>
      </c>
      <c r="D20" s="86">
        <v>75110</v>
      </c>
      <c r="E20" s="83"/>
      <c r="F20" s="86"/>
      <c r="G20" s="83"/>
      <c r="H20" s="86"/>
      <c r="I20" s="83"/>
      <c r="J20" s="82"/>
      <c r="K20" s="84"/>
      <c r="L20" s="82"/>
    </row>
    <row r="21" spans="1:12" x14ac:dyDescent="0.25">
      <c r="A21" s="87" t="s">
        <v>168</v>
      </c>
      <c r="B21" s="140" t="s">
        <v>528</v>
      </c>
      <c r="C21" s="79">
        <f>SUM(D21:L21)</f>
        <v>506188</v>
      </c>
      <c r="D21" s="89">
        <f t="shared" ref="D21:L21" si="6">SUM(D22:D23)</f>
        <v>490409</v>
      </c>
      <c r="E21" s="90">
        <f t="shared" si="6"/>
        <v>0</v>
      </c>
      <c r="F21" s="89">
        <f t="shared" si="6"/>
        <v>0</v>
      </c>
      <c r="G21" s="90">
        <f t="shared" si="6"/>
        <v>0</v>
      </c>
      <c r="H21" s="89">
        <f t="shared" si="6"/>
        <v>15779</v>
      </c>
      <c r="I21" s="90">
        <f t="shared" si="6"/>
        <v>0</v>
      </c>
      <c r="J21" s="89">
        <f t="shared" si="6"/>
        <v>0</v>
      </c>
      <c r="K21" s="90">
        <f t="shared" si="6"/>
        <v>0</v>
      </c>
      <c r="L21" s="89">
        <f t="shared" si="6"/>
        <v>0</v>
      </c>
    </row>
    <row r="22" spans="1:12" ht="25.5" x14ac:dyDescent="0.25">
      <c r="A22" s="85" t="s">
        <v>527</v>
      </c>
      <c r="B22" s="102" t="s">
        <v>185</v>
      </c>
      <c r="C22" s="82">
        <f>SUM(D22:L22)</f>
        <v>428694</v>
      </c>
      <c r="D22" s="86">
        <v>428694</v>
      </c>
      <c r="E22" s="90"/>
      <c r="F22" s="89"/>
      <c r="G22" s="90"/>
      <c r="H22" s="89"/>
      <c r="I22" s="90"/>
      <c r="J22" s="79"/>
      <c r="K22" s="80"/>
      <c r="L22" s="79"/>
    </row>
    <row r="23" spans="1:12" ht="51" x14ac:dyDescent="0.25">
      <c r="A23" s="85" t="s">
        <v>529</v>
      </c>
      <c r="B23" s="102" t="s">
        <v>530</v>
      </c>
      <c r="C23" s="82">
        <f>SUM(D23:L23)</f>
        <v>77494</v>
      </c>
      <c r="D23" s="86">
        <v>61715</v>
      </c>
      <c r="E23" s="83"/>
      <c r="F23" s="86"/>
      <c r="G23" s="83"/>
      <c r="H23" s="86">
        <f>15779</f>
        <v>15779</v>
      </c>
      <c r="I23" s="83"/>
      <c r="J23" s="82"/>
      <c r="K23" s="84"/>
      <c r="L23" s="82"/>
    </row>
    <row r="24" spans="1:12" x14ac:dyDescent="0.25">
      <c r="A24" s="87" t="s">
        <v>169</v>
      </c>
      <c r="B24" s="88" t="s">
        <v>180</v>
      </c>
      <c r="C24" s="79">
        <f t="shared" ref="C24:C26" si="7">SUM(D24:L24)</f>
        <v>33940</v>
      </c>
      <c r="D24" s="89">
        <f>33000+940</f>
        <v>33940</v>
      </c>
      <c r="E24" s="90"/>
      <c r="F24" s="89"/>
      <c r="G24" s="90"/>
      <c r="H24" s="89"/>
      <c r="I24" s="90"/>
      <c r="J24" s="79"/>
      <c r="K24" s="80"/>
      <c r="L24" s="79"/>
    </row>
    <row r="25" spans="1:12" x14ac:dyDescent="0.25">
      <c r="A25" s="87" t="s">
        <v>170</v>
      </c>
      <c r="B25" s="88" t="s">
        <v>181</v>
      </c>
      <c r="C25" s="79">
        <f t="shared" si="7"/>
        <v>178540</v>
      </c>
      <c r="D25" s="89">
        <v>167177</v>
      </c>
      <c r="E25" s="90">
        <v>-31460</v>
      </c>
      <c r="F25" s="89"/>
      <c r="G25" s="90"/>
      <c r="H25" s="89"/>
      <c r="I25" s="90"/>
      <c r="J25" s="79"/>
      <c r="K25" s="80"/>
      <c r="L25" s="79">
        <v>42823</v>
      </c>
    </row>
    <row r="26" spans="1:12" ht="38.25" x14ac:dyDescent="0.25">
      <c r="A26" s="77" t="s">
        <v>171</v>
      </c>
      <c r="B26" s="78" t="s">
        <v>182</v>
      </c>
      <c r="C26" s="79">
        <f t="shared" si="7"/>
        <v>1061928</v>
      </c>
      <c r="D26" s="89">
        <f>SUM(D27:D29)</f>
        <v>195952</v>
      </c>
      <c r="E26" s="90">
        <f t="shared" ref="E26:L26" si="8">SUM(E27:E29)</f>
        <v>70000</v>
      </c>
      <c r="F26" s="89">
        <f t="shared" si="8"/>
        <v>0</v>
      </c>
      <c r="G26" s="90">
        <f t="shared" si="8"/>
        <v>0</v>
      </c>
      <c r="H26" s="89">
        <f t="shared" si="8"/>
        <v>0</v>
      </c>
      <c r="I26" s="90">
        <f t="shared" si="8"/>
        <v>0</v>
      </c>
      <c r="J26" s="79">
        <f t="shared" si="8"/>
        <v>667007</v>
      </c>
      <c r="K26" s="80">
        <f t="shared" si="8"/>
        <v>0</v>
      </c>
      <c r="L26" s="79">
        <f t="shared" si="8"/>
        <v>128969</v>
      </c>
    </row>
    <row r="27" spans="1:12" ht="38.25" x14ac:dyDescent="0.25">
      <c r="A27" s="85" t="s">
        <v>172</v>
      </c>
      <c r="B27" s="102" t="s">
        <v>375</v>
      </c>
      <c r="C27" s="82">
        <f>SUM(D27:L27)</f>
        <v>641318</v>
      </c>
      <c r="D27" s="86">
        <v>-154658</v>
      </c>
      <c r="E27" s="83"/>
      <c r="F27" s="86"/>
      <c r="G27" s="83"/>
      <c r="H27" s="86"/>
      <c r="I27" s="83"/>
      <c r="J27" s="82">
        <v>667007</v>
      </c>
      <c r="K27" s="84"/>
      <c r="L27" s="82">
        <v>128969</v>
      </c>
    </row>
    <row r="28" spans="1:12" ht="38.25" x14ac:dyDescent="0.25">
      <c r="A28" s="85" t="s">
        <v>173</v>
      </c>
      <c r="B28" s="102" t="s">
        <v>376</v>
      </c>
      <c r="C28" s="82">
        <f t="shared" ref="C28:C29" si="9">SUM(D28:L28)</f>
        <v>420610</v>
      </c>
      <c r="D28" s="86">
        <f>378610-28000</f>
        <v>350610</v>
      </c>
      <c r="E28" s="83">
        <v>70000</v>
      </c>
      <c r="F28" s="86"/>
      <c r="G28" s="83"/>
      <c r="H28" s="86"/>
      <c r="I28" s="83"/>
      <c r="J28" s="82"/>
      <c r="K28" s="84"/>
      <c r="L28" s="82"/>
    </row>
    <row r="29" spans="1:12" ht="25.5" hidden="1" x14ac:dyDescent="0.25">
      <c r="A29" s="103" t="s">
        <v>174</v>
      </c>
      <c r="B29" s="104" t="s">
        <v>183</v>
      </c>
      <c r="C29" s="105">
        <f t="shared" si="9"/>
        <v>0</v>
      </c>
      <c r="D29" s="105"/>
      <c r="E29" s="83"/>
      <c r="F29" s="105"/>
      <c r="G29" s="106"/>
      <c r="H29" s="105"/>
      <c r="I29" s="106"/>
      <c r="J29" s="105"/>
      <c r="K29" s="106"/>
      <c r="L29" s="105"/>
    </row>
    <row r="30" spans="1:12" ht="27" x14ac:dyDescent="0.25">
      <c r="A30" s="87" t="s">
        <v>175</v>
      </c>
      <c r="B30" s="88" t="s">
        <v>184</v>
      </c>
      <c r="C30" s="79">
        <f t="shared" ref="C30" si="10">SUM(D30:L30)</f>
        <v>75643</v>
      </c>
      <c r="D30" s="89">
        <f>258536-214374+53344+2494</f>
        <v>100000</v>
      </c>
      <c r="E30" s="155">
        <f>-1000-200-1350-1000-20807</f>
        <v>-24357</v>
      </c>
      <c r="F30" s="89"/>
      <c r="G30" s="90"/>
      <c r="H30" s="79"/>
      <c r="I30" s="80"/>
      <c r="J30" s="79"/>
      <c r="K30" s="80"/>
      <c r="L30" s="79"/>
    </row>
    <row r="31" spans="1:12" x14ac:dyDescent="0.25">
      <c r="A31" s="73" t="s">
        <v>131</v>
      </c>
      <c r="B31" s="74" t="s">
        <v>140</v>
      </c>
      <c r="C31" s="75">
        <f t="shared" ref="C31:C39" si="11">SUM(D31:L31)</f>
        <v>3190811</v>
      </c>
      <c r="D31" s="75">
        <f>D32+D33</f>
        <v>2855276</v>
      </c>
      <c r="E31" s="76">
        <f t="shared" ref="E31:L31" si="12">E32+E33</f>
        <v>0</v>
      </c>
      <c r="F31" s="75">
        <f t="shared" si="12"/>
        <v>210300</v>
      </c>
      <c r="G31" s="76">
        <f t="shared" si="12"/>
        <v>22236</v>
      </c>
      <c r="H31" s="75">
        <f t="shared" si="12"/>
        <v>34635</v>
      </c>
      <c r="I31" s="76">
        <f t="shared" si="12"/>
        <v>13240</v>
      </c>
      <c r="J31" s="75">
        <f t="shared" si="12"/>
        <v>0</v>
      </c>
      <c r="K31" s="76">
        <f t="shared" si="12"/>
        <v>0</v>
      </c>
      <c r="L31" s="75">
        <f t="shared" si="12"/>
        <v>55124</v>
      </c>
    </row>
    <row r="32" spans="1:12" ht="27" x14ac:dyDescent="0.25">
      <c r="A32" s="87" t="s">
        <v>186</v>
      </c>
      <c r="B32" s="88" t="s">
        <v>480</v>
      </c>
      <c r="C32" s="79">
        <f t="shared" si="11"/>
        <v>2852568</v>
      </c>
      <c r="D32" s="79">
        <f>2564908-34635</f>
        <v>2530273</v>
      </c>
      <c r="E32" s="90"/>
      <c r="F32" s="79">
        <v>210300</v>
      </c>
      <c r="G32" s="80">
        <v>22236</v>
      </c>
      <c r="H32" s="79">
        <v>34635</v>
      </c>
      <c r="I32" s="80"/>
      <c r="J32" s="79"/>
      <c r="K32" s="80"/>
      <c r="L32" s="79">
        <v>55124</v>
      </c>
    </row>
    <row r="33" spans="1:12" ht="38.25" x14ac:dyDescent="0.25">
      <c r="A33" s="77" t="s">
        <v>187</v>
      </c>
      <c r="B33" s="78" t="s">
        <v>190</v>
      </c>
      <c r="C33" s="79">
        <f t="shared" si="11"/>
        <v>338243</v>
      </c>
      <c r="D33" s="79">
        <f>SUM(D34:D36)</f>
        <v>325003</v>
      </c>
      <c r="E33" s="80">
        <f t="shared" ref="E33:L33" si="13">SUM(E34:E36)</f>
        <v>0</v>
      </c>
      <c r="F33" s="79">
        <f t="shared" si="13"/>
        <v>0</v>
      </c>
      <c r="G33" s="80">
        <f t="shared" si="13"/>
        <v>0</v>
      </c>
      <c r="H33" s="79">
        <f t="shared" si="13"/>
        <v>0</v>
      </c>
      <c r="I33" s="80">
        <f t="shared" si="13"/>
        <v>13240</v>
      </c>
      <c r="J33" s="79">
        <f t="shared" si="13"/>
        <v>0</v>
      </c>
      <c r="K33" s="80">
        <f t="shared" si="13"/>
        <v>0</v>
      </c>
      <c r="L33" s="79">
        <f t="shared" si="13"/>
        <v>0</v>
      </c>
    </row>
    <row r="34" spans="1:12" ht="37.5" customHeight="1" x14ac:dyDescent="0.25">
      <c r="A34" s="85" t="s">
        <v>188</v>
      </c>
      <c r="B34" s="102" t="s">
        <v>481</v>
      </c>
      <c r="C34" s="82">
        <f t="shared" si="11"/>
        <v>325003</v>
      </c>
      <c r="D34" s="82">
        <v>325003</v>
      </c>
      <c r="E34" s="83"/>
      <c r="F34" s="82"/>
      <c r="G34" s="84"/>
      <c r="H34" s="82"/>
      <c r="I34" s="84"/>
      <c r="J34" s="82"/>
      <c r="K34" s="84"/>
      <c r="L34" s="82"/>
    </row>
    <row r="35" spans="1:12" ht="25.5" hidden="1" x14ac:dyDescent="0.25">
      <c r="A35" s="103" t="s">
        <v>189</v>
      </c>
      <c r="B35" s="104" t="s">
        <v>191</v>
      </c>
      <c r="C35" s="82">
        <f t="shared" si="11"/>
        <v>0</v>
      </c>
      <c r="D35" s="105"/>
      <c r="E35" s="106"/>
      <c r="F35" s="105"/>
      <c r="G35" s="106"/>
      <c r="H35" s="105"/>
      <c r="I35" s="106"/>
      <c r="J35" s="105"/>
      <c r="K35" s="106"/>
      <c r="L35" s="105"/>
    </row>
    <row r="36" spans="1:12" ht="38.25" x14ac:dyDescent="0.25">
      <c r="A36" s="162" t="s">
        <v>680</v>
      </c>
      <c r="B36" s="163" t="s">
        <v>681</v>
      </c>
      <c r="C36" s="82">
        <f t="shared" si="11"/>
        <v>13240</v>
      </c>
      <c r="D36" s="164"/>
      <c r="E36" s="165"/>
      <c r="F36" s="164"/>
      <c r="G36" s="165"/>
      <c r="H36" s="164"/>
      <c r="I36" s="165">
        <v>13240</v>
      </c>
      <c r="J36" s="164"/>
      <c r="K36" s="165"/>
      <c r="L36" s="164"/>
    </row>
    <row r="37" spans="1:12" x14ac:dyDescent="0.25">
      <c r="A37" s="73" t="s">
        <v>132</v>
      </c>
      <c r="B37" s="74" t="s">
        <v>141</v>
      </c>
      <c r="C37" s="75">
        <f t="shared" si="11"/>
        <v>4806309</v>
      </c>
      <c r="D37" s="75">
        <f>D38+D43+D47</f>
        <v>2497173</v>
      </c>
      <c r="E37" s="76">
        <f t="shared" ref="E37:L37" si="14">E38+E43+E47</f>
        <v>0</v>
      </c>
      <c r="F37" s="75">
        <f t="shared" si="14"/>
        <v>79950</v>
      </c>
      <c r="G37" s="76">
        <f t="shared" si="14"/>
        <v>0</v>
      </c>
      <c r="H37" s="75">
        <f t="shared" si="14"/>
        <v>208211</v>
      </c>
      <c r="I37" s="76">
        <f t="shared" si="14"/>
        <v>0</v>
      </c>
      <c r="J37" s="75">
        <f t="shared" si="14"/>
        <v>42215</v>
      </c>
      <c r="K37" s="76">
        <f t="shared" si="14"/>
        <v>0</v>
      </c>
      <c r="L37" s="75">
        <f t="shared" si="14"/>
        <v>1978760</v>
      </c>
    </row>
    <row r="38" spans="1:12" x14ac:dyDescent="0.25">
      <c r="A38" s="77" t="s">
        <v>192</v>
      </c>
      <c r="B38" s="78" t="s">
        <v>201</v>
      </c>
      <c r="C38" s="79">
        <f t="shared" si="11"/>
        <v>4246354</v>
      </c>
      <c r="D38" s="79">
        <f>SUM(D39:D42)</f>
        <v>2075441</v>
      </c>
      <c r="E38" s="80">
        <f t="shared" ref="E38:L38" si="15">SUM(E39:E42)</f>
        <v>0</v>
      </c>
      <c r="F38" s="79">
        <f t="shared" si="15"/>
        <v>0</v>
      </c>
      <c r="G38" s="80">
        <f t="shared" si="15"/>
        <v>0</v>
      </c>
      <c r="H38" s="79">
        <f t="shared" si="15"/>
        <v>194000</v>
      </c>
      <c r="I38" s="80">
        <f t="shared" si="15"/>
        <v>0</v>
      </c>
      <c r="J38" s="79">
        <f t="shared" si="15"/>
        <v>0</v>
      </c>
      <c r="K38" s="80">
        <f t="shared" si="15"/>
        <v>0</v>
      </c>
      <c r="L38" s="79">
        <f t="shared" si="15"/>
        <v>1976913</v>
      </c>
    </row>
    <row r="39" spans="1:12" ht="38.25" x14ac:dyDescent="0.25">
      <c r="A39" s="85" t="s">
        <v>193</v>
      </c>
      <c r="B39" s="102" t="s">
        <v>377</v>
      </c>
      <c r="C39" s="82">
        <f t="shared" si="11"/>
        <v>717922</v>
      </c>
      <c r="D39" s="82">
        <f>262574+28633+426715</f>
        <v>717922</v>
      </c>
      <c r="E39" s="83"/>
      <c r="F39" s="86"/>
      <c r="G39" s="83"/>
      <c r="H39" s="86"/>
      <c r="I39" s="83"/>
      <c r="J39" s="86"/>
      <c r="K39" s="84"/>
      <c r="L39" s="82"/>
    </row>
    <row r="40" spans="1:12" ht="38.25" x14ac:dyDescent="0.25">
      <c r="A40" s="85" t="s">
        <v>194</v>
      </c>
      <c r="B40" s="102" t="s">
        <v>202</v>
      </c>
      <c r="C40" s="82">
        <f t="shared" ref="C40:C42" si="16">SUM(D40:L40)</f>
        <v>1455993</v>
      </c>
      <c r="D40" s="82">
        <f>741741+127339</f>
        <v>869080</v>
      </c>
      <c r="E40" s="83"/>
      <c r="F40" s="86"/>
      <c r="G40" s="83"/>
      <c r="H40" s="86"/>
      <c r="I40" s="83"/>
      <c r="J40" s="86"/>
      <c r="K40" s="84"/>
      <c r="L40" s="82">
        <v>586913</v>
      </c>
    </row>
    <row r="41" spans="1:12" ht="76.5" x14ac:dyDescent="0.25">
      <c r="A41" s="85" t="s">
        <v>428</v>
      </c>
      <c r="B41" s="102" t="s">
        <v>429</v>
      </c>
      <c r="C41" s="82">
        <f t="shared" si="16"/>
        <v>1818744</v>
      </c>
      <c r="D41" s="82">
        <v>428744</v>
      </c>
      <c r="E41" s="83"/>
      <c r="F41" s="86"/>
      <c r="G41" s="83"/>
      <c r="H41" s="86"/>
      <c r="I41" s="83"/>
      <c r="J41" s="86"/>
      <c r="K41" s="84"/>
      <c r="L41" s="82">
        <v>1390000</v>
      </c>
    </row>
    <row r="42" spans="1:12" ht="38.25" x14ac:dyDescent="0.25">
      <c r="A42" s="85" t="s">
        <v>545</v>
      </c>
      <c r="B42" s="102" t="s">
        <v>546</v>
      </c>
      <c r="C42" s="82">
        <f t="shared" si="16"/>
        <v>253695</v>
      </c>
      <c r="D42" s="82">
        <v>59695</v>
      </c>
      <c r="E42" s="83"/>
      <c r="F42" s="86"/>
      <c r="G42" s="83"/>
      <c r="H42" s="86">
        <v>194000</v>
      </c>
      <c r="I42" s="83"/>
      <c r="J42" s="86"/>
      <c r="K42" s="84"/>
      <c r="L42" s="82"/>
    </row>
    <row r="43" spans="1:12" x14ac:dyDescent="0.25">
      <c r="A43" s="77" t="s">
        <v>195</v>
      </c>
      <c r="B43" s="78" t="s">
        <v>203</v>
      </c>
      <c r="C43" s="79">
        <f t="shared" ref="C43:C48" si="17">SUM(D43:L43)</f>
        <v>405097</v>
      </c>
      <c r="D43" s="79">
        <f>SUM(D44:D46)</f>
        <v>306834</v>
      </c>
      <c r="E43" s="80">
        <f t="shared" ref="E43:L43" si="18">SUM(E44:E46)</f>
        <v>0</v>
      </c>
      <c r="F43" s="79">
        <f t="shared" si="18"/>
        <v>64950</v>
      </c>
      <c r="G43" s="80">
        <f t="shared" si="18"/>
        <v>0</v>
      </c>
      <c r="H43" s="79">
        <f t="shared" si="18"/>
        <v>14211</v>
      </c>
      <c r="I43" s="80">
        <f t="shared" si="18"/>
        <v>0</v>
      </c>
      <c r="J43" s="79">
        <f t="shared" si="18"/>
        <v>17255</v>
      </c>
      <c r="K43" s="80">
        <f t="shared" si="18"/>
        <v>0</v>
      </c>
      <c r="L43" s="79">
        <f t="shared" si="18"/>
        <v>1847</v>
      </c>
    </row>
    <row r="44" spans="1:12" ht="25.5" x14ac:dyDescent="0.25">
      <c r="A44" s="85" t="s">
        <v>196</v>
      </c>
      <c r="B44" s="102" t="s">
        <v>482</v>
      </c>
      <c r="C44" s="82">
        <f t="shared" si="17"/>
        <v>395046</v>
      </c>
      <c r="D44" s="82">
        <v>306834</v>
      </c>
      <c r="E44" s="83"/>
      <c r="F44" s="86">
        <v>64950</v>
      </c>
      <c r="G44" s="83"/>
      <c r="H44" s="86">
        <f>2537+1623</f>
        <v>4160</v>
      </c>
      <c r="I44" s="83"/>
      <c r="J44" s="86">
        <v>17255</v>
      </c>
      <c r="K44" s="84"/>
      <c r="L44" s="82">
        <v>1847</v>
      </c>
    </row>
    <row r="45" spans="1:12" ht="38.25" x14ac:dyDescent="0.25">
      <c r="A45" s="85" t="s">
        <v>519</v>
      </c>
      <c r="B45" s="102" t="s">
        <v>520</v>
      </c>
      <c r="C45" s="82">
        <f t="shared" si="17"/>
        <v>5303</v>
      </c>
      <c r="D45" s="82"/>
      <c r="E45" s="83"/>
      <c r="F45" s="86"/>
      <c r="G45" s="83"/>
      <c r="H45" s="86">
        <v>5303</v>
      </c>
      <c r="I45" s="83"/>
      <c r="J45" s="86"/>
      <c r="K45" s="84"/>
      <c r="L45" s="82"/>
    </row>
    <row r="46" spans="1:12" ht="51" x14ac:dyDescent="0.25">
      <c r="A46" s="85" t="s">
        <v>543</v>
      </c>
      <c r="B46" s="102" t="s">
        <v>544</v>
      </c>
      <c r="C46" s="82">
        <f t="shared" si="17"/>
        <v>4748</v>
      </c>
      <c r="D46" s="82"/>
      <c r="E46" s="83"/>
      <c r="F46" s="86"/>
      <c r="G46" s="83"/>
      <c r="H46" s="86">
        <v>4748</v>
      </c>
      <c r="I46" s="83"/>
      <c r="J46" s="86"/>
      <c r="K46" s="84"/>
      <c r="L46" s="82"/>
    </row>
    <row r="47" spans="1:12" ht="25.5" x14ac:dyDescent="0.25">
      <c r="A47" s="77" t="s">
        <v>197</v>
      </c>
      <c r="B47" s="78" t="s">
        <v>204</v>
      </c>
      <c r="C47" s="79">
        <f t="shared" si="17"/>
        <v>154858</v>
      </c>
      <c r="D47" s="79">
        <f t="shared" ref="D47:L47" si="19">SUM(D48:D50)</f>
        <v>114898</v>
      </c>
      <c r="E47" s="90">
        <f t="shared" si="19"/>
        <v>0</v>
      </c>
      <c r="F47" s="89">
        <f t="shared" si="19"/>
        <v>15000</v>
      </c>
      <c r="G47" s="90">
        <f t="shared" si="19"/>
        <v>0</v>
      </c>
      <c r="H47" s="89">
        <f t="shared" si="19"/>
        <v>0</v>
      </c>
      <c r="I47" s="90">
        <f t="shared" si="19"/>
        <v>0</v>
      </c>
      <c r="J47" s="89">
        <f t="shared" si="19"/>
        <v>24960</v>
      </c>
      <c r="K47" s="80">
        <f t="shared" si="19"/>
        <v>0</v>
      </c>
      <c r="L47" s="79">
        <f t="shared" si="19"/>
        <v>0</v>
      </c>
    </row>
    <row r="48" spans="1:12" ht="38.25" x14ac:dyDescent="0.25">
      <c r="A48" s="85" t="s">
        <v>198</v>
      </c>
      <c r="B48" s="102" t="s">
        <v>205</v>
      </c>
      <c r="C48" s="82">
        <f t="shared" si="17"/>
        <v>90078</v>
      </c>
      <c r="D48" s="82">
        <v>90078</v>
      </c>
      <c r="E48" s="83"/>
      <c r="F48" s="86"/>
      <c r="G48" s="83"/>
      <c r="H48" s="86"/>
      <c r="I48" s="83"/>
      <c r="J48" s="86"/>
      <c r="K48" s="84"/>
      <c r="L48" s="82"/>
    </row>
    <row r="49" spans="1:12" ht="38.25" x14ac:dyDescent="0.25">
      <c r="A49" s="85" t="s">
        <v>199</v>
      </c>
      <c r="B49" s="102" t="s">
        <v>207</v>
      </c>
      <c r="C49" s="82">
        <f t="shared" ref="C49:C50" si="20">SUM(D49:L49)</f>
        <v>62280</v>
      </c>
      <c r="D49" s="82">
        <f>29675-7355</f>
        <v>22320</v>
      </c>
      <c r="E49" s="83"/>
      <c r="F49" s="86">
        <v>15000</v>
      </c>
      <c r="G49" s="83"/>
      <c r="H49" s="86"/>
      <c r="I49" s="83"/>
      <c r="J49" s="86">
        <v>24960</v>
      </c>
      <c r="K49" s="84"/>
      <c r="L49" s="82"/>
    </row>
    <row r="50" spans="1:12" ht="25.5" x14ac:dyDescent="0.25">
      <c r="A50" s="85" t="s">
        <v>200</v>
      </c>
      <c r="B50" s="102" t="s">
        <v>206</v>
      </c>
      <c r="C50" s="82">
        <f t="shared" si="20"/>
        <v>2500</v>
      </c>
      <c r="D50" s="82">
        <f>3000-500</f>
        <v>2500</v>
      </c>
      <c r="E50" s="83"/>
      <c r="F50" s="86"/>
      <c r="G50" s="83"/>
      <c r="H50" s="86"/>
      <c r="I50" s="84"/>
      <c r="J50" s="82"/>
      <c r="K50" s="84"/>
      <c r="L50" s="82"/>
    </row>
    <row r="51" spans="1:12" x14ac:dyDescent="0.25">
      <c r="A51" s="73" t="s">
        <v>133</v>
      </c>
      <c r="B51" s="74" t="s">
        <v>142</v>
      </c>
      <c r="C51" s="75">
        <f t="shared" ref="C51:C60" si="21">SUM(D51:L51)</f>
        <v>1866639</v>
      </c>
      <c r="D51" s="75">
        <f>D52+D55+D56+D58</f>
        <v>1839022</v>
      </c>
      <c r="E51" s="76">
        <f t="shared" ref="E51:L51" si="22">E52+E55+E56+E58</f>
        <v>0</v>
      </c>
      <c r="F51" s="75">
        <f t="shared" si="22"/>
        <v>0</v>
      </c>
      <c r="G51" s="76">
        <f t="shared" si="22"/>
        <v>0</v>
      </c>
      <c r="H51" s="75">
        <f t="shared" si="22"/>
        <v>13701</v>
      </c>
      <c r="I51" s="76">
        <f t="shared" si="22"/>
        <v>0</v>
      </c>
      <c r="J51" s="75">
        <f t="shared" si="22"/>
        <v>2822</v>
      </c>
      <c r="K51" s="76">
        <f t="shared" si="22"/>
        <v>0</v>
      </c>
      <c r="L51" s="75">
        <f t="shared" si="22"/>
        <v>11094</v>
      </c>
    </row>
    <row r="52" spans="1:12" x14ac:dyDescent="0.25">
      <c r="A52" s="77" t="s">
        <v>208</v>
      </c>
      <c r="B52" s="78" t="s">
        <v>215</v>
      </c>
      <c r="C52" s="79">
        <f t="shared" si="21"/>
        <v>1286942</v>
      </c>
      <c r="D52" s="79">
        <f>SUM(D53:D54)</f>
        <v>1286942</v>
      </c>
      <c r="E52" s="80">
        <f t="shared" ref="E52:L52" si="23">SUM(E53:E54)</f>
        <v>0</v>
      </c>
      <c r="F52" s="79">
        <f t="shared" si="23"/>
        <v>0</v>
      </c>
      <c r="G52" s="80">
        <f t="shared" si="23"/>
        <v>0</v>
      </c>
      <c r="H52" s="79">
        <f t="shared" si="23"/>
        <v>0</v>
      </c>
      <c r="I52" s="80">
        <f t="shared" si="23"/>
        <v>0</v>
      </c>
      <c r="J52" s="79">
        <f t="shared" si="23"/>
        <v>0</v>
      </c>
      <c r="K52" s="80">
        <f t="shared" si="23"/>
        <v>0</v>
      </c>
      <c r="L52" s="79">
        <f t="shared" si="23"/>
        <v>0</v>
      </c>
    </row>
    <row r="53" spans="1:12" ht="38.25" x14ac:dyDescent="0.25">
      <c r="A53" s="85" t="s">
        <v>209</v>
      </c>
      <c r="B53" s="102" t="s">
        <v>221</v>
      </c>
      <c r="C53" s="82">
        <f t="shared" si="21"/>
        <v>933567</v>
      </c>
      <c r="D53" s="82">
        <f>781200+152367</f>
        <v>933567</v>
      </c>
      <c r="E53" s="83"/>
      <c r="F53" s="82"/>
      <c r="G53" s="84"/>
      <c r="H53" s="82"/>
      <c r="I53" s="84"/>
      <c r="J53" s="82"/>
      <c r="K53" s="84"/>
      <c r="L53" s="82"/>
    </row>
    <row r="54" spans="1:12" ht="25.5" x14ac:dyDescent="0.25">
      <c r="A54" s="85" t="s">
        <v>210</v>
      </c>
      <c r="B54" s="102" t="s">
        <v>220</v>
      </c>
      <c r="C54" s="82">
        <f t="shared" si="21"/>
        <v>353375</v>
      </c>
      <c r="D54" s="82">
        <v>353375</v>
      </c>
      <c r="E54" s="83">
        <v>0</v>
      </c>
      <c r="F54" s="82"/>
      <c r="G54" s="84"/>
      <c r="H54" s="82"/>
      <c r="I54" s="84"/>
      <c r="J54" s="82"/>
      <c r="K54" s="84"/>
      <c r="L54" s="82"/>
    </row>
    <row r="55" spans="1:12" x14ac:dyDescent="0.25">
      <c r="A55" s="87" t="s">
        <v>211</v>
      </c>
      <c r="B55" s="88" t="s">
        <v>216</v>
      </c>
      <c r="C55" s="79">
        <f t="shared" si="21"/>
        <v>520500</v>
      </c>
      <c r="D55" s="79">
        <f>496300+24200</f>
        <v>520500</v>
      </c>
      <c r="E55" s="90"/>
      <c r="F55" s="79"/>
      <c r="G55" s="80"/>
      <c r="H55" s="79"/>
      <c r="I55" s="80"/>
      <c r="J55" s="79"/>
      <c r="K55" s="80"/>
      <c r="L55" s="79"/>
    </row>
    <row r="56" spans="1:12" ht="25.5" hidden="1" x14ac:dyDescent="0.25">
      <c r="A56" s="77" t="s">
        <v>212</v>
      </c>
      <c r="B56" s="78" t="s">
        <v>217</v>
      </c>
      <c r="C56" s="79">
        <f t="shared" si="21"/>
        <v>0</v>
      </c>
      <c r="D56" s="79">
        <f>D57</f>
        <v>0</v>
      </c>
      <c r="E56" s="90">
        <f t="shared" ref="E56:L56" si="24">E57</f>
        <v>0</v>
      </c>
      <c r="F56" s="79">
        <f t="shared" si="24"/>
        <v>0</v>
      </c>
      <c r="G56" s="80">
        <f t="shared" si="24"/>
        <v>0</v>
      </c>
      <c r="H56" s="79">
        <f t="shared" si="24"/>
        <v>0</v>
      </c>
      <c r="I56" s="80">
        <f t="shared" si="24"/>
        <v>0</v>
      </c>
      <c r="J56" s="79">
        <f t="shared" si="24"/>
        <v>0</v>
      </c>
      <c r="K56" s="80">
        <f t="shared" si="24"/>
        <v>0</v>
      </c>
      <c r="L56" s="79">
        <f t="shared" si="24"/>
        <v>0</v>
      </c>
    </row>
    <row r="57" spans="1:12" hidden="1" x14ac:dyDescent="0.25">
      <c r="A57" s="103" t="s">
        <v>218</v>
      </c>
      <c r="B57" s="104"/>
      <c r="C57" s="105">
        <f t="shared" si="21"/>
        <v>0</v>
      </c>
      <c r="D57" s="105">
        <v>0</v>
      </c>
      <c r="E57" s="106"/>
      <c r="F57" s="105"/>
      <c r="G57" s="106"/>
      <c r="H57" s="105">
        <v>0</v>
      </c>
      <c r="I57" s="106"/>
      <c r="J57" s="105"/>
      <c r="K57" s="106"/>
      <c r="L57" s="105"/>
    </row>
    <row r="58" spans="1:12" ht="25.5" x14ac:dyDescent="0.25">
      <c r="A58" s="77" t="s">
        <v>213</v>
      </c>
      <c r="B58" s="78" t="s">
        <v>219</v>
      </c>
      <c r="C58" s="79">
        <f t="shared" si="21"/>
        <v>59197</v>
      </c>
      <c r="D58" s="79">
        <f>SUM(D59:D60)</f>
        <v>31580</v>
      </c>
      <c r="E58" s="90">
        <f t="shared" ref="E58:L58" si="25">SUM(E59:E60)</f>
        <v>0</v>
      </c>
      <c r="F58" s="89">
        <f t="shared" si="25"/>
        <v>0</v>
      </c>
      <c r="G58" s="90">
        <f t="shared" si="25"/>
        <v>0</v>
      </c>
      <c r="H58" s="89">
        <f t="shared" si="25"/>
        <v>13701</v>
      </c>
      <c r="I58" s="90">
        <f t="shared" si="25"/>
        <v>0</v>
      </c>
      <c r="J58" s="89">
        <f t="shared" si="25"/>
        <v>2822</v>
      </c>
      <c r="K58" s="90">
        <f t="shared" si="25"/>
        <v>0</v>
      </c>
      <c r="L58" s="89">
        <f t="shared" si="25"/>
        <v>11094</v>
      </c>
    </row>
    <row r="59" spans="1:12" ht="25.5" x14ac:dyDescent="0.25">
      <c r="A59" s="117" t="s">
        <v>214</v>
      </c>
      <c r="B59" s="102" t="s">
        <v>682</v>
      </c>
      <c r="C59" s="141">
        <f t="shared" si="21"/>
        <v>45496</v>
      </c>
      <c r="D59" s="141">
        <v>31580</v>
      </c>
      <c r="E59" s="142">
        <v>0</v>
      </c>
      <c r="F59" s="141"/>
      <c r="G59" s="142"/>
      <c r="H59" s="141"/>
      <c r="I59" s="142"/>
      <c r="J59" s="141">
        <f>1934+888</f>
        <v>2822</v>
      </c>
      <c r="K59" s="142"/>
      <c r="L59" s="141">
        <v>11094</v>
      </c>
    </row>
    <row r="60" spans="1:12" ht="63.75" x14ac:dyDescent="0.25">
      <c r="A60" s="85" t="s">
        <v>531</v>
      </c>
      <c r="B60" s="102" t="s">
        <v>532</v>
      </c>
      <c r="C60" s="91">
        <f t="shared" si="21"/>
        <v>13701</v>
      </c>
      <c r="D60" s="91"/>
      <c r="E60" s="142"/>
      <c r="F60" s="141"/>
      <c r="G60" s="142"/>
      <c r="H60" s="141">
        <f>13701</f>
        <v>13701</v>
      </c>
      <c r="I60" s="142"/>
      <c r="J60" s="141"/>
      <c r="K60" s="142"/>
      <c r="L60" s="141"/>
    </row>
    <row r="61" spans="1:12" ht="25.5" x14ac:dyDescent="0.25">
      <c r="A61" s="73" t="s">
        <v>134</v>
      </c>
      <c r="B61" s="74" t="s">
        <v>143</v>
      </c>
      <c r="C61" s="75">
        <f>SUM(D61:L61)</f>
        <v>5359557</v>
      </c>
      <c r="D61" s="75">
        <f>D62+D63+D64</f>
        <v>4297631</v>
      </c>
      <c r="E61" s="76">
        <f t="shared" ref="E61:L61" si="26">E62+E63+E64</f>
        <v>47267</v>
      </c>
      <c r="F61" s="75">
        <f t="shared" si="26"/>
        <v>118100</v>
      </c>
      <c r="G61" s="76">
        <f t="shared" si="26"/>
        <v>0</v>
      </c>
      <c r="H61" s="75">
        <f t="shared" si="26"/>
        <v>858970</v>
      </c>
      <c r="I61" s="76">
        <f t="shared" si="26"/>
        <v>0</v>
      </c>
      <c r="J61" s="75">
        <f t="shared" si="26"/>
        <v>0</v>
      </c>
      <c r="K61" s="76">
        <f t="shared" si="26"/>
        <v>0</v>
      </c>
      <c r="L61" s="75">
        <f t="shared" si="26"/>
        <v>37589</v>
      </c>
    </row>
    <row r="62" spans="1:12" ht="27" x14ac:dyDescent="0.25">
      <c r="A62" s="87" t="s">
        <v>222</v>
      </c>
      <c r="B62" s="88" t="s">
        <v>233</v>
      </c>
      <c r="C62" s="79">
        <f>SUM(D62:L62)</f>
        <v>1810806</v>
      </c>
      <c r="D62" s="79">
        <f>1018416-31580</f>
        <v>986836</v>
      </c>
      <c r="E62" s="90">
        <f>-25000-5000</f>
        <v>-30000</v>
      </c>
      <c r="F62" s="89"/>
      <c r="G62" s="90"/>
      <c r="H62" s="89">
        <f>1000000-146030</f>
        <v>853970</v>
      </c>
      <c r="I62" s="90"/>
      <c r="J62" s="89"/>
      <c r="K62" s="80"/>
      <c r="L62" s="79"/>
    </row>
    <row r="63" spans="1:12" x14ac:dyDescent="0.25">
      <c r="A63" s="87" t="s">
        <v>223</v>
      </c>
      <c r="B63" s="88" t="s">
        <v>230</v>
      </c>
      <c r="C63" s="79">
        <f>SUM(D63:L63)</f>
        <v>584912</v>
      </c>
      <c r="D63" s="79">
        <f>579000+5912</f>
        <v>584912</v>
      </c>
      <c r="E63" s="90"/>
      <c r="F63" s="89"/>
      <c r="G63" s="90"/>
      <c r="H63" s="89"/>
      <c r="I63" s="90"/>
      <c r="J63" s="89"/>
      <c r="K63" s="80"/>
      <c r="L63" s="79"/>
    </row>
    <row r="64" spans="1:12" ht="38.25" x14ac:dyDescent="0.25">
      <c r="A64" s="77" t="s">
        <v>224</v>
      </c>
      <c r="B64" s="78" t="s">
        <v>231</v>
      </c>
      <c r="C64" s="79">
        <f>SUM(D64:L64)</f>
        <v>2963839</v>
      </c>
      <c r="D64" s="79">
        <f>SUM(D65:D70)</f>
        <v>2725883</v>
      </c>
      <c r="E64" s="90">
        <f t="shared" ref="E64:L64" si="27">SUM(E65:E70)</f>
        <v>77267</v>
      </c>
      <c r="F64" s="89">
        <f t="shared" si="27"/>
        <v>118100</v>
      </c>
      <c r="G64" s="90">
        <f t="shared" si="27"/>
        <v>0</v>
      </c>
      <c r="H64" s="89">
        <f t="shared" si="27"/>
        <v>5000</v>
      </c>
      <c r="I64" s="90">
        <f t="shared" si="27"/>
        <v>0</v>
      </c>
      <c r="J64" s="89">
        <f t="shared" si="27"/>
        <v>0</v>
      </c>
      <c r="K64" s="80">
        <f t="shared" si="27"/>
        <v>0</v>
      </c>
      <c r="L64" s="79">
        <f t="shared" si="27"/>
        <v>37589</v>
      </c>
    </row>
    <row r="65" spans="1:12" ht="25.5" x14ac:dyDescent="0.25">
      <c r="A65" s="85" t="s">
        <v>225</v>
      </c>
      <c r="B65" s="102" t="s">
        <v>483</v>
      </c>
      <c r="C65" s="82">
        <f>SUM(D65:L65)</f>
        <v>864668</v>
      </c>
      <c r="D65" s="82">
        <v>708979</v>
      </c>
      <c r="E65" s="83"/>
      <c r="F65" s="86">
        <f>116700+1400</f>
        <v>118100</v>
      </c>
      <c r="G65" s="83"/>
      <c r="H65" s="86"/>
      <c r="I65" s="84"/>
      <c r="J65" s="82"/>
      <c r="K65" s="84"/>
      <c r="L65" s="82">
        <v>37589</v>
      </c>
    </row>
    <row r="66" spans="1:12" ht="38.25" x14ac:dyDescent="0.25">
      <c r="A66" s="85" t="s">
        <v>226</v>
      </c>
      <c r="B66" s="102" t="s">
        <v>378</v>
      </c>
      <c r="C66" s="82">
        <f t="shared" ref="C66:C69" si="28">SUM(D66:L66)</f>
        <v>1383807</v>
      </c>
      <c r="D66" s="82">
        <f>1342368+36439</f>
        <v>1378807</v>
      </c>
      <c r="E66" s="92"/>
      <c r="F66" s="93"/>
      <c r="G66" s="92"/>
      <c r="H66" s="93">
        <v>5000</v>
      </c>
      <c r="I66" s="94"/>
      <c r="J66" s="82"/>
      <c r="K66" s="84"/>
      <c r="L66" s="82"/>
    </row>
    <row r="67" spans="1:12" ht="51" x14ac:dyDescent="0.25">
      <c r="A67" s="85" t="s">
        <v>227</v>
      </c>
      <c r="B67" s="102" t="s">
        <v>512</v>
      </c>
      <c r="C67" s="82">
        <f t="shared" si="28"/>
        <v>325167</v>
      </c>
      <c r="D67" s="82">
        <f>308707-15000</f>
        <v>293707</v>
      </c>
      <c r="E67" s="83">
        <v>31460</v>
      </c>
      <c r="F67" s="86"/>
      <c r="G67" s="83"/>
      <c r="H67" s="86"/>
      <c r="I67" s="84"/>
      <c r="J67" s="82"/>
      <c r="K67" s="84"/>
      <c r="L67" s="82"/>
    </row>
    <row r="68" spans="1:12" ht="38.25" x14ac:dyDescent="0.25">
      <c r="A68" s="85" t="s">
        <v>228</v>
      </c>
      <c r="B68" s="102" t="s">
        <v>232</v>
      </c>
      <c r="C68" s="82">
        <f t="shared" si="28"/>
        <v>325807</v>
      </c>
      <c r="D68" s="82">
        <v>280000</v>
      </c>
      <c r="E68" s="83">
        <f>25000+20807</f>
        <v>45807</v>
      </c>
      <c r="F68" s="86"/>
      <c r="G68" s="83"/>
      <c r="H68" s="86"/>
      <c r="I68" s="84"/>
      <c r="J68" s="82"/>
      <c r="K68" s="84"/>
      <c r="L68" s="82"/>
    </row>
    <row r="69" spans="1:12" ht="38.25" x14ac:dyDescent="0.25">
      <c r="A69" s="85" t="s">
        <v>229</v>
      </c>
      <c r="B69" s="102" t="s">
        <v>379</v>
      </c>
      <c r="C69" s="82">
        <f t="shared" si="28"/>
        <v>49390</v>
      </c>
      <c r="D69" s="82">
        <v>49390</v>
      </c>
      <c r="E69" s="83"/>
      <c r="F69" s="86"/>
      <c r="G69" s="83"/>
      <c r="H69" s="86"/>
      <c r="I69" s="84"/>
      <c r="J69" s="82"/>
      <c r="K69" s="84"/>
      <c r="L69" s="82"/>
    </row>
    <row r="70" spans="1:12" ht="63.75" x14ac:dyDescent="0.25">
      <c r="A70" s="85" t="s">
        <v>436</v>
      </c>
      <c r="B70" s="102" t="s">
        <v>437</v>
      </c>
      <c r="C70" s="82">
        <f t="shared" ref="C70" si="29">SUM(D70:L70)</f>
        <v>15000</v>
      </c>
      <c r="D70" s="82">
        <v>15000</v>
      </c>
      <c r="E70" s="83"/>
      <c r="F70" s="86"/>
      <c r="G70" s="83"/>
      <c r="H70" s="86"/>
      <c r="I70" s="84"/>
      <c r="J70" s="82"/>
      <c r="K70" s="84"/>
      <c r="L70" s="82"/>
    </row>
    <row r="71" spans="1:12" x14ac:dyDescent="0.25">
      <c r="A71" s="73" t="s">
        <v>135</v>
      </c>
      <c r="B71" s="74" t="s">
        <v>144</v>
      </c>
      <c r="C71" s="75">
        <f>SUM(D71:L71)</f>
        <v>209053</v>
      </c>
      <c r="D71" s="75">
        <f t="shared" ref="D71:L71" si="30">SUM(D72:D76)</f>
        <v>120095</v>
      </c>
      <c r="E71" s="76">
        <f t="shared" si="30"/>
        <v>0</v>
      </c>
      <c r="F71" s="75">
        <f t="shared" si="30"/>
        <v>0</v>
      </c>
      <c r="G71" s="76">
        <f t="shared" si="30"/>
        <v>0</v>
      </c>
      <c r="H71" s="75">
        <f t="shared" si="30"/>
        <v>57958</v>
      </c>
      <c r="I71" s="76">
        <f t="shared" si="30"/>
        <v>31000</v>
      </c>
      <c r="J71" s="75">
        <f t="shared" si="30"/>
        <v>0</v>
      </c>
      <c r="K71" s="76">
        <f t="shared" si="30"/>
        <v>0</v>
      </c>
      <c r="L71" s="75">
        <f t="shared" si="30"/>
        <v>0</v>
      </c>
    </row>
    <row r="72" spans="1:12" x14ac:dyDescent="0.25">
      <c r="A72" s="85" t="s">
        <v>234</v>
      </c>
      <c r="B72" s="102" t="s">
        <v>238</v>
      </c>
      <c r="C72" s="82">
        <f>SUM(D72:L72)</f>
        <v>63000</v>
      </c>
      <c r="D72" s="82">
        <v>60000</v>
      </c>
      <c r="E72" s="83">
        <v>3000</v>
      </c>
      <c r="F72" s="82"/>
      <c r="G72" s="84"/>
      <c r="H72" s="82"/>
      <c r="I72" s="84"/>
      <c r="J72" s="82"/>
      <c r="K72" s="84"/>
      <c r="L72" s="82"/>
    </row>
    <row r="73" spans="1:12" ht="25.5" x14ac:dyDescent="0.25">
      <c r="A73" s="85" t="s">
        <v>235</v>
      </c>
      <c r="B73" s="102" t="s">
        <v>239</v>
      </c>
      <c r="C73" s="82">
        <f t="shared" ref="C73:C76" si="31">SUM(D73:L73)</f>
        <v>12400</v>
      </c>
      <c r="D73" s="82">
        <v>12400</v>
      </c>
      <c r="E73" s="83"/>
      <c r="F73" s="82"/>
      <c r="G73" s="84"/>
      <c r="H73" s="82"/>
      <c r="I73" s="84"/>
      <c r="J73" s="82"/>
      <c r="K73" s="84"/>
      <c r="L73" s="82"/>
    </row>
    <row r="74" spans="1:12" x14ac:dyDescent="0.25">
      <c r="A74" s="85" t="s">
        <v>236</v>
      </c>
      <c r="B74" s="102" t="s">
        <v>240</v>
      </c>
      <c r="C74" s="82">
        <f t="shared" si="31"/>
        <v>37200</v>
      </c>
      <c r="D74" s="82">
        <v>40200</v>
      </c>
      <c r="E74" s="83">
        <v>-3000</v>
      </c>
      <c r="F74" s="82"/>
      <c r="G74" s="84"/>
      <c r="H74" s="82"/>
      <c r="I74" s="84"/>
      <c r="J74" s="82"/>
      <c r="K74" s="84"/>
      <c r="L74" s="82"/>
    </row>
    <row r="75" spans="1:12" x14ac:dyDescent="0.25">
      <c r="A75" s="85" t="s">
        <v>237</v>
      </c>
      <c r="B75" s="102" t="s">
        <v>241</v>
      </c>
      <c r="C75" s="82">
        <f t="shared" si="31"/>
        <v>7495</v>
      </c>
      <c r="D75" s="82">
        <v>7495</v>
      </c>
      <c r="E75" s="84"/>
      <c r="F75" s="82"/>
      <c r="G75" s="84"/>
      <c r="H75" s="82"/>
      <c r="I75" s="84"/>
      <c r="J75" s="82"/>
      <c r="K75" s="84"/>
      <c r="L75" s="82"/>
    </row>
    <row r="76" spans="1:12" ht="51" x14ac:dyDescent="0.25">
      <c r="A76" s="85" t="s">
        <v>521</v>
      </c>
      <c r="B76" s="102" t="s">
        <v>522</v>
      </c>
      <c r="C76" s="82">
        <f t="shared" si="31"/>
        <v>88958</v>
      </c>
      <c r="D76" s="82"/>
      <c r="E76" s="84"/>
      <c r="F76" s="82"/>
      <c r="G76" s="84"/>
      <c r="H76" s="82">
        <f>46534+11424</f>
        <v>57958</v>
      </c>
      <c r="I76" s="83">
        <v>31000</v>
      </c>
      <c r="J76" s="82"/>
      <c r="K76" s="84"/>
      <c r="L76" s="82"/>
    </row>
    <row r="77" spans="1:12" x14ac:dyDescent="0.25">
      <c r="A77" s="73" t="s">
        <v>26</v>
      </c>
      <c r="B77" s="74" t="s">
        <v>145</v>
      </c>
      <c r="C77" s="75">
        <f t="shared" ref="C77:C101" si="32">SUM(D77:L77)</f>
        <v>6856820</v>
      </c>
      <c r="D77" s="75">
        <f>D78+D82+D99+D100</f>
        <v>6048181</v>
      </c>
      <c r="E77" s="76">
        <f t="shared" ref="E77:L77" si="33">E78+E82+E99+E100</f>
        <v>1200</v>
      </c>
      <c r="F77" s="75">
        <f t="shared" si="33"/>
        <v>511495</v>
      </c>
      <c r="G77" s="76">
        <f t="shared" si="33"/>
        <v>0</v>
      </c>
      <c r="H77" s="75">
        <f t="shared" si="33"/>
        <v>210933</v>
      </c>
      <c r="I77" s="76">
        <f t="shared" si="33"/>
        <v>0</v>
      </c>
      <c r="J77" s="75">
        <f t="shared" si="33"/>
        <v>19020</v>
      </c>
      <c r="K77" s="76">
        <f t="shared" si="33"/>
        <v>0</v>
      </c>
      <c r="L77" s="75">
        <f t="shared" si="33"/>
        <v>65991</v>
      </c>
    </row>
    <row r="78" spans="1:12" x14ac:dyDescent="0.25">
      <c r="A78" s="77" t="s">
        <v>242</v>
      </c>
      <c r="B78" s="78" t="s">
        <v>268</v>
      </c>
      <c r="C78" s="79">
        <f t="shared" si="32"/>
        <v>1167334</v>
      </c>
      <c r="D78" s="79">
        <f>SUM(D79:D81)</f>
        <v>1133090</v>
      </c>
      <c r="E78" s="80">
        <f t="shared" ref="E78:L78" si="34">SUM(E79:E81)</f>
        <v>0</v>
      </c>
      <c r="F78" s="79">
        <f t="shared" si="34"/>
        <v>34148</v>
      </c>
      <c r="G78" s="80">
        <f t="shared" si="34"/>
        <v>0</v>
      </c>
      <c r="H78" s="79">
        <f t="shared" si="34"/>
        <v>0</v>
      </c>
      <c r="I78" s="80">
        <f t="shared" si="34"/>
        <v>0</v>
      </c>
      <c r="J78" s="79">
        <f t="shared" si="34"/>
        <v>0</v>
      </c>
      <c r="K78" s="80">
        <f t="shared" si="34"/>
        <v>0</v>
      </c>
      <c r="L78" s="79">
        <f t="shared" si="34"/>
        <v>96</v>
      </c>
    </row>
    <row r="79" spans="1:12" ht="25.5" x14ac:dyDescent="0.25">
      <c r="A79" s="85" t="s">
        <v>243</v>
      </c>
      <c r="B79" s="102" t="s">
        <v>484</v>
      </c>
      <c r="C79" s="82">
        <f t="shared" si="32"/>
        <v>525064</v>
      </c>
      <c r="D79" s="86">
        <v>490820</v>
      </c>
      <c r="E79" s="83"/>
      <c r="F79" s="86">
        <v>34148</v>
      </c>
      <c r="G79" s="83"/>
      <c r="H79" s="86"/>
      <c r="I79" s="83"/>
      <c r="J79" s="86"/>
      <c r="K79" s="83"/>
      <c r="L79" s="86">
        <v>96</v>
      </c>
    </row>
    <row r="80" spans="1:12" x14ac:dyDescent="0.25">
      <c r="A80" s="85" t="s">
        <v>244</v>
      </c>
      <c r="B80" s="102" t="s">
        <v>269</v>
      </c>
      <c r="C80" s="82">
        <f t="shared" si="32"/>
        <v>637270</v>
      </c>
      <c r="D80" s="86">
        <f>622270+500+14500</f>
        <v>637270</v>
      </c>
      <c r="E80" s="83"/>
      <c r="F80" s="86"/>
      <c r="G80" s="83"/>
      <c r="H80" s="86"/>
      <c r="I80" s="83"/>
      <c r="J80" s="86"/>
      <c r="K80" s="83"/>
      <c r="L80" s="86"/>
    </row>
    <row r="81" spans="1:12" ht="38.25" x14ac:dyDescent="0.25">
      <c r="A81" s="85" t="s">
        <v>245</v>
      </c>
      <c r="B81" s="102" t="s">
        <v>517</v>
      </c>
      <c r="C81" s="82">
        <f t="shared" si="32"/>
        <v>5000</v>
      </c>
      <c r="D81" s="86">
        <v>5000</v>
      </c>
      <c r="E81" s="83"/>
      <c r="F81" s="86"/>
      <c r="G81" s="83"/>
      <c r="H81" s="86"/>
      <c r="I81" s="83"/>
      <c r="J81" s="86"/>
      <c r="K81" s="83"/>
      <c r="L81" s="86"/>
    </row>
    <row r="82" spans="1:12" x14ac:dyDescent="0.25">
      <c r="A82" s="77" t="s">
        <v>246</v>
      </c>
      <c r="B82" s="78" t="s">
        <v>270</v>
      </c>
      <c r="C82" s="79">
        <f t="shared" si="32"/>
        <v>4909649</v>
      </c>
      <c r="D82" s="79">
        <f>D83+D87+D89+D92+D96</f>
        <v>4288762</v>
      </c>
      <c r="E82" s="90">
        <f t="shared" ref="E82:L82" si="35">E83+E87+E89+E92+E96</f>
        <v>0</v>
      </c>
      <c r="F82" s="89">
        <f>F83+F87+F89+F92+F96</f>
        <v>476297</v>
      </c>
      <c r="G82" s="90">
        <f t="shared" si="35"/>
        <v>0</v>
      </c>
      <c r="H82" s="89">
        <f t="shared" si="35"/>
        <v>60933</v>
      </c>
      <c r="I82" s="90">
        <f t="shared" si="35"/>
        <v>0</v>
      </c>
      <c r="J82" s="89">
        <f t="shared" si="35"/>
        <v>19020</v>
      </c>
      <c r="K82" s="90">
        <f t="shared" si="35"/>
        <v>0</v>
      </c>
      <c r="L82" s="89">
        <f t="shared" si="35"/>
        <v>64637</v>
      </c>
    </row>
    <row r="83" spans="1:12" x14ac:dyDescent="0.25">
      <c r="A83" s="77" t="s">
        <v>247</v>
      </c>
      <c r="B83" s="78" t="s">
        <v>271</v>
      </c>
      <c r="C83" s="79">
        <f t="shared" si="32"/>
        <v>991141</v>
      </c>
      <c r="D83" s="79">
        <f t="shared" ref="D83:L83" si="36">SUM(D84:D86)</f>
        <v>946834</v>
      </c>
      <c r="E83" s="90">
        <f t="shared" si="36"/>
        <v>0</v>
      </c>
      <c r="F83" s="89">
        <f t="shared" si="36"/>
        <v>11664</v>
      </c>
      <c r="G83" s="90">
        <f t="shared" si="36"/>
        <v>0</v>
      </c>
      <c r="H83" s="89">
        <f t="shared" si="36"/>
        <v>11855</v>
      </c>
      <c r="I83" s="90">
        <f t="shared" si="36"/>
        <v>0</v>
      </c>
      <c r="J83" s="89">
        <f t="shared" si="36"/>
        <v>19020</v>
      </c>
      <c r="K83" s="90">
        <f t="shared" si="36"/>
        <v>0</v>
      </c>
      <c r="L83" s="79">
        <f t="shared" si="36"/>
        <v>1768</v>
      </c>
    </row>
    <row r="84" spans="1:12" ht="25.5" x14ac:dyDescent="0.25">
      <c r="A84" s="85" t="s">
        <v>248</v>
      </c>
      <c r="B84" s="102" t="s">
        <v>485</v>
      </c>
      <c r="C84" s="82">
        <f t="shared" si="32"/>
        <v>970131</v>
      </c>
      <c r="D84" s="86">
        <f>924281+20000</f>
        <v>944281</v>
      </c>
      <c r="E84" s="83"/>
      <c r="F84" s="86">
        <v>5318</v>
      </c>
      <c r="G84" s="83"/>
      <c r="H84" s="86"/>
      <c r="I84" s="83"/>
      <c r="J84" s="86">
        <v>19020</v>
      </c>
      <c r="K84" s="83"/>
      <c r="L84" s="86">
        <v>1512</v>
      </c>
    </row>
    <row r="85" spans="1:12" ht="38.25" x14ac:dyDescent="0.25">
      <c r="A85" s="85" t="s">
        <v>249</v>
      </c>
      <c r="B85" s="102" t="s">
        <v>486</v>
      </c>
      <c r="C85" s="82">
        <f t="shared" si="32"/>
        <v>9155</v>
      </c>
      <c r="D85" s="86">
        <v>2553</v>
      </c>
      <c r="E85" s="83"/>
      <c r="F85" s="86">
        <v>6346</v>
      </c>
      <c r="G85" s="83"/>
      <c r="H85" s="86"/>
      <c r="I85" s="83"/>
      <c r="J85" s="86"/>
      <c r="K85" s="83"/>
      <c r="L85" s="86">
        <v>256</v>
      </c>
    </row>
    <row r="86" spans="1:12" ht="51" x14ac:dyDescent="0.25">
      <c r="A86" s="85" t="s">
        <v>526</v>
      </c>
      <c r="B86" s="102" t="s">
        <v>525</v>
      </c>
      <c r="C86" s="82">
        <f t="shared" si="32"/>
        <v>11855</v>
      </c>
      <c r="D86" s="86"/>
      <c r="E86" s="83"/>
      <c r="F86" s="86"/>
      <c r="G86" s="83"/>
      <c r="H86" s="86">
        <f>11855</f>
        <v>11855</v>
      </c>
      <c r="I86" s="83"/>
      <c r="J86" s="86"/>
      <c r="K86" s="83"/>
      <c r="L86" s="86"/>
    </row>
    <row r="87" spans="1:12" x14ac:dyDescent="0.25">
      <c r="A87" s="77" t="s">
        <v>250</v>
      </c>
      <c r="B87" s="78" t="s">
        <v>272</v>
      </c>
      <c r="C87" s="79">
        <f t="shared" si="32"/>
        <v>472476</v>
      </c>
      <c r="D87" s="89">
        <f>D88</f>
        <v>445436</v>
      </c>
      <c r="E87" s="90">
        <f t="shared" ref="E87:L87" si="37">E88</f>
        <v>0</v>
      </c>
      <c r="F87" s="89">
        <f t="shared" si="37"/>
        <v>8000</v>
      </c>
      <c r="G87" s="90">
        <f t="shared" si="37"/>
        <v>0</v>
      </c>
      <c r="H87" s="89">
        <f t="shared" si="37"/>
        <v>4432</v>
      </c>
      <c r="I87" s="90">
        <f t="shared" si="37"/>
        <v>0</v>
      </c>
      <c r="J87" s="89">
        <f t="shared" si="37"/>
        <v>0</v>
      </c>
      <c r="K87" s="90">
        <f t="shared" si="37"/>
        <v>0</v>
      </c>
      <c r="L87" s="89">
        <f t="shared" si="37"/>
        <v>14608</v>
      </c>
    </row>
    <row r="88" spans="1:12" ht="38.25" x14ac:dyDescent="0.25">
      <c r="A88" s="85" t="s">
        <v>251</v>
      </c>
      <c r="B88" s="102" t="s">
        <v>487</v>
      </c>
      <c r="C88" s="82">
        <f t="shared" si="32"/>
        <v>472476</v>
      </c>
      <c r="D88" s="86">
        <v>445436</v>
      </c>
      <c r="E88" s="83"/>
      <c r="F88" s="86">
        <v>8000</v>
      </c>
      <c r="G88" s="83"/>
      <c r="H88" s="86">
        <f>1764+2668</f>
        <v>4432</v>
      </c>
      <c r="I88" s="83"/>
      <c r="J88" s="86"/>
      <c r="K88" s="83"/>
      <c r="L88" s="86">
        <v>14608</v>
      </c>
    </row>
    <row r="89" spans="1:12" x14ac:dyDescent="0.25">
      <c r="A89" s="77" t="s">
        <v>252</v>
      </c>
      <c r="B89" s="78" t="s">
        <v>273</v>
      </c>
      <c r="C89" s="79">
        <f t="shared" si="32"/>
        <v>2265333</v>
      </c>
      <c r="D89" s="89">
        <f>D90+D91</f>
        <v>1739759</v>
      </c>
      <c r="E89" s="90">
        <f t="shared" ref="E89:L89" si="38">E90+E91</f>
        <v>0</v>
      </c>
      <c r="F89" s="89">
        <f t="shared" si="38"/>
        <v>456633</v>
      </c>
      <c r="G89" s="90">
        <f t="shared" si="38"/>
        <v>0</v>
      </c>
      <c r="H89" s="89">
        <f t="shared" si="38"/>
        <v>20681</v>
      </c>
      <c r="I89" s="90">
        <f t="shared" si="38"/>
        <v>0</v>
      </c>
      <c r="J89" s="89">
        <f t="shared" si="38"/>
        <v>0</v>
      </c>
      <c r="K89" s="90">
        <f t="shared" si="38"/>
        <v>0</v>
      </c>
      <c r="L89" s="89">
        <f t="shared" si="38"/>
        <v>48260</v>
      </c>
    </row>
    <row r="90" spans="1:12" ht="25.5" x14ac:dyDescent="0.25">
      <c r="A90" s="85" t="s">
        <v>253</v>
      </c>
      <c r="B90" s="102" t="s">
        <v>488</v>
      </c>
      <c r="C90" s="82">
        <f t="shared" si="32"/>
        <v>1621008</v>
      </c>
      <c r="D90" s="86">
        <f>1241757+206622</f>
        <v>1448379</v>
      </c>
      <c r="E90" s="83"/>
      <c r="F90" s="86">
        <f>113500+14133</f>
        <v>127633</v>
      </c>
      <c r="G90" s="92"/>
      <c r="H90" s="86">
        <f>2736</f>
        <v>2736</v>
      </c>
      <c r="I90" s="83"/>
      <c r="J90" s="86"/>
      <c r="K90" s="83"/>
      <c r="L90" s="86">
        <v>42260</v>
      </c>
    </row>
    <row r="91" spans="1:12" x14ac:dyDescent="0.25">
      <c r="A91" s="85" t="s">
        <v>254</v>
      </c>
      <c r="B91" s="102" t="s">
        <v>489</v>
      </c>
      <c r="C91" s="82">
        <f t="shared" si="32"/>
        <v>644325</v>
      </c>
      <c r="D91" s="86">
        <f>287880+3500</f>
        <v>291380</v>
      </c>
      <c r="E91" s="83"/>
      <c r="F91" s="86">
        <f>257000+52000+20000</f>
        <v>329000</v>
      </c>
      <c r="G91" s="92"/>
      <c r="H91" s="86">
        <f>7800+10145</f>
        <v>17945</v>
      </c>
      <c r="I91" s="83"/>
      <c r="J91" s="86"/>
      <c r="K91" s="83"/>
      <c r="L91" s="86">
        <v>6000</v>
      </c>
    </row>
    <row r="92" spans="1:12" x14ac:dyDescent="0.25">
      <c r="A92" s="77" t="s">
        <v>255</v>
      </c>
      <c r="B92" s="78" t="s">
        <v>274</v>
      </c>
      <c r="C92" s="79">
        <f t="shared" si="32"/>
        <v>204652</v>
      </c>
      <c r="D92" s="89">
        <f>SUM(D93:D95)</f>
        <v>200651</v>
      </c>
      <c r="E92" s="90">
        <f t="shared" ref="E92:L92" si="39">SUM(E93:E95)</f>
        <v>0</v>
      </c>
      <c r="F92" s="89">
        <f t="shared" si="39"/>
        <v>0</v>
      </c>
      <c r="G92" s="90">
        <f t="shared" si="39"/>
        <v>0</v>
      </c>
      <c r="H92" s="89">
        <f t="shared" si="39"/>
        <v>4000</v>
      </c>
      <c r="I92" s="90">
        <f t="shared" si="39"/>
        <v>0</v>
      </c>
      <c r="J92" s="89">
        <f t="shared" si="39"/>
        <v>0</v>
      </c>
      <c r="K92" s="90">
        <f t="shared" si="39"/>
        <v>0</v>
      </c>
      <c r="L92" s="89">
        <f t="shared" si="39"/>
        <v>1</v>
      </c>
    </row>
    <row r="93" spans="1:12" ht="25.5" x14ac:dyDescent="0.25">
      <c r="A93" s="85" t="s">
        <v>256</v>
      </c>
      <c r="B93" s="102" t="s">
        <v>275</v>
      </c>
      <c r="C93" s="82">
        <f t="shared" si="32"/>
        <v>102615</v>
      </c>
      <c r="D93" s="86">
        <v>101614</v>
      </c>
      <c r="E93" s="83"/>
      <c r="F93" s="86"/>
      <c r="G93" s="83"/>
      <c r="H93" s="86">
        <v>1000</v>
      </c>
      <c r="I93" s="83"/>
      <c r="J93" s="86"/>
      <c r="K93" s="83"/>
      <c r="L93" s="86">
        <v>1</v>
      </c>
    </row>
    <row r="94" spans="1:12" ht="25.5" x14ac:dyDescent="0.25">
      <c r="A94" s="85" t="s">
        <v>257</v>
      </c>
      <c r="B94" s="102" t="s">
        <v>380</v>
      </c>
      <c r="C94" s="82">
        <f t="shared" si="32"/>
        <v>86081</v>
      </c>
      <c r="D94" s="82">
        <f>79581+3500</f>
        <v>83081</v>
      </c>
      <c r="E94" s="83"/>
      <c r="F94" s="86"/>
      <c r="G94" s="83"/>
      <c r="H94" s="86">
        <f>3000</f>
        <v>3000</v>
      </c>
      <c r="I94" s="83"/>
      <c r="J94" s="86"/>
      <c r="K94" s="84"/>
      <c r="L94" s="82"/>
    </row>
    <row r="95" spans="1:12" ht="25.5" x14ac:dyDescent="0.25">
      <c r="A95" s="85" t="s">
        <v>258</v>
      </c>
      <c r="B95" s="102" t="s">
        <v>276</v>
      </c>
      <c r="C95" s="82">
        <f t="shared" si="32"/>
        <v>15956</v>
      </c>
      <c r="D95" s="82">
        <v>15956</v>
      </c>
      <c r="E95" s="83"/>
      <c r="F95" s="86"/>
      <c r="G95" s="83"/>
      <c r="H95" s="86"/>
      <c r="I95" s="83"/>
      <c r="J95" s="86"/>
      <c r="K95" s="84"/>
      <c r="L95" s="82"/>
    </row>
    <row r="96" spans="1:12" x14ac:dyDescent="0.25">
      <c r="A96" s="77" t="s">
        <v>259</v>
      </c>
      <c r="B96" s="78" t="s">
        <v>277</v>
      </c>
      <c r="C96" s="79">
        <f t="shared" si="32"/>
        <v>976047</v>
      </c>
      <c r="D96" s="79">
        <f>SUM(D97:D98)</f>
        <v>956082</v>
      </c>
      <c r="E96" s="90">
        <f t="shared" ref="E96:L96" si="40">SUM(E97:E98)</f>
        <v>0</v>
      </c>
      <c r="F96" s="89">
        <f t="shared" si="40"/>
        <v>0</v>
      </c>
      <c r="G96" s="90">
        <f t="shared" si="40"/>
        <v>0</v>
      </c>
      <c r="H96" s="89">
        <f t="shared" si="40"/>
        <v>19965</v>
      </c>
      <c r="I96" s="90">
        <f t="shared" si="40"/>
        <v>0</v>
      </c>
      <c r="J96" s="89">
        <f t="shared" si="40"/>
        <v>0</v>
      </c>
      <c r="K96" s="80">
        <f t="shared" si="40"/>
        <v>0</v>
      </c>
      <c r="L96" s="79">
        <f t="shared" si="40"/>
        <v>0</v>
      </c>
    </row>
    <row r="97" spans="1:12" ht="25.5" x14ac:dyDescent="0.25">
      <c r="A97" s="85" t="s">
        <v>260</v>
      </c>
      <c r="B97" s="102" t="s">
        <v>278</v>
      </c>
      <c r="C97" s="82">
        <f t="shared" si="32"/>
        <v>401854</v>
      </c>
      <c r="D97" s="82">
        <v>381889</v>
      </c>
      <c r="E97" s="83"/>
      <c r="F97" s="86"/>
      <c r="G97" s="83"/>
      <c r="H97" s="86">
        <v>19965</v>
      </c>
      <c r="I97" s="83"/>
      <c r="J97" s="86"/>
      <c r="K97" s="84"/>
      <c r="L97" s="82"/>
    </row>
    <row r="98" spans="1:12" x14ac:dyDescent="0.25">
      <c r="A98" s="85" t="s">
        <v>261</v>
      </c>
      <c r="B98" s="102" t="s">
        <v>279</v>
      </c>
      <c r="C98" s="82">
        <f t="shared" si="32"/>
        <v>574193</v>
      </c>
      <c r="D98" s="82">
        <f>446193+1500+126500</f>
        <v>574193</v>
      </c>
      <c r="E98" s="83"/>
      <c r="F98" s="86"/>
      <c r="G98" s="83"/>
      <c r="H98" s="86"/>
      <c r="I98" s="83"/>
      <c r="J98" s="86"/>
      <c r="K98" s="84"/>
      <c r="L98" s="82"/>
    </row>
    <row r="99" spans="1:12" ht="27" x14ac:dyDescent="0.25">
      <c r="A99" s="77" t="s">
        <v>262</v>
      </c>
      <c r="B99" s="88" t="s">
        <v>490</v>
      </c>
      <c r="C99" s="79">
        <f t="shared" si="32"/>
        <v>380072</v>
      </c>
      <c r="D99" s="79">
        <f>370717+7047</f>
        <v>377764</v>
      </c>
      <c r="E99" s="90"/>
      <c r="F99" s="89">
        <v>1050</v>
      </c>
      <c r="G99" s="90"/>
      <c r="H99" s="89"/>
      <c r="I99" s="90"/>
      <c r="J99" s="89"/>
      <c r="K99" s="80"/>
      <c r="L99" s="79">
        <v>1258</v>
      </c>
    </row>
    <row r="100" spans="1:12" ht="38.25" x14ac:dyDescent="0.25">
      <c r="A100" s="77" t="s">
        <v>263</v>
      </c>
      <c r="B100" s="78" t="s">
        <v>280</v>
      </c>
      <c r="C100" s="79">
        <f t="shared" si="32"/>
        <v>399765</v>
      </c>
      <c r="D100" s="79">
        <f>SUM(D101:D104)</f>
        <v>248565</v>
      </c>
      <c r="E100" s="90">
        <f t="shared" ref="E100:L100" si="41">SUM(E101:E104)</f>
        <v>1200</v>
      </c>
      <c r="F100" s="89">
        <f t="shared" si="41"/>
        <v>0</v>
      </c>
      <c r="G100" s="90">
        <f t="shared" si="41"/>
        <v>0</v>
      </c>
      <c r="H100" s="89">
        <f t="shared" si="41"/>
        <v>150000</v>
      </c>
      <c r="I100" s="90">
        <f t="shared" si="41"/>
        <v>0</v>
      </c>
      <c r="J100" s="89">
        <f t="shared" si="41"/>
        <v>0</v>
      </c>
      <c r="K100" s="80">
        <f t="shared" si="41"/>
        <v>0</v>
      </c>
      <c r="L100" s="79">
        <f t="shared" si="41"/>
        <v>0</v>
      </c>
    </row>
    <row r="101" spans="1:12" ht="25.5" x14ac:dyDescent="0.25">
      <c r="A101" s="85" t="s">
        <v>264</v>
      </c>
      <c r="B101" s="102" t="s">
        <v>281</v>
      </c>
      <c r="C101" s="82">
        <f t="shared" si="32"/>
        <v>42686</v>
      </c>
      <c r="D101" s="82">
        <v>42686</v>
      </c>
      <c r="E101" s="83"/>
      <c r="F101" s="86"/>
      <c r="G101" s="83"/>
      <c r="H101" s="86"/>
      <c r="I101" s="83"/>
      <c r="J101" s="86"/>
      <c r="K101" s="84"/>
      <c r="L101" s="82"/>
    </row>
    <row r="102" spans="1:12" ht="25.5" x14ac:dyDescent="0.25">
      <c r="A102" s="85" t="s">
        <v>265</v>
      </c>
      <c r="B102" s="102" t="s">
        <v>282</v>
      </c>
      <c r="C102" s="82">
        <f t="shared" ref="C102:C104" si="42">SUM(D102:L102)</f>
        <v>20000</v>
      </c>
      <c r="D102" s="82">
        <v>20000</v>
      </c>
      <c r="E102" s="83"/>
      <c r="F102" s="86"/>
      <c r="G102" s="83"/>
      <c r="H102" s="86"/>
      <c r="I102" s="83"/>
      <c r="J102" s="86"/>
      <c r="K102" s="84"/>
      <c r="L102" s="82"/>
    </row>
    <row r="103" spans="1:12" ht="38.25" x14ac:dyDescent="0.25">
      <c r="A103" s="85" t="s">
        <v>266</v>
      </c>
      <c r="B103" s="102" t="s">
        <v>283</v>
      </c>
      <c r="C103" s="82">
        <f t="shared" si="42"/>
        <v>4300</v>
      </c>
      <c r="D103" s="82">
        <v>4300</v>
      </c>
      <c r="E103" s="83"/>
      <c r="F103" s="86"/>
      <c r="G103" s="83"/>
      <c r="H103" s="86"/>
      <c r="I103" s="83"/>
      <c r="J103" s="86"/>
      <c r="K103" s="84"/>
      <c r="L103" s="82"/>
    </row>
    <row r="104" spans="1:12" ht="25.5" x14ac:dyDescent="0.25">
      <c r="A104" s="85" t="s">
        <v>267</v>
      </c>
      <c r="B104" s="102" t="s">
        <v>284</v>
      </c>
      <c r="C104" s="82">
        <f t="shared" si="42"/>
        <v>332779</v>
      </c>
      <c r="D104" s="82">
        <f>166225+10600+4354+400</f>
        <v>181579</v>
      </c>
      <c r="E104" s="83">
        <f>1000+200</f>
        <v>1200</v>
      </c>
      <c r="F104" s="86"/>
      <c r="G104" s="83"/>
      <c r="H104" s="86">
        <v>150000</v>
      </c>
      <c r="I104" s="83"/>
      <c r="J104" s="86"/>
      <c r="K104" s="84"/>
      <c r="L104" s="82"/>
    </row>
    <row r="105" spans="1:12" x14ac:dyDescent="0.25">
      <c r="A105" s="73" t="s">
        <v>30</v>
      </c>
      <c r="B105" s="74" t="s">
        <v>146</v>
      </c>
      <c r="C105" s="75">
        <f t="shared" ref="C105:C111" si="43">SUM(D105:L105)</f>
        <v>33688989</v>
      </c>
      <c r="D105" s="75">
        <f>D106+D109+D120+D126+D129+D133</f>
        <v>18719817</v>
      </c>
      <c r="E105" s="76">
        <f t="shared" ref="E105:L105" si="44">E106+E109+E120+E126+E129+E133</f>
        <v>2350</v>
      </c>
      <c r="F105" s="75">
        <f t="shared" si="44"/>
        <v>654517</v>
      </c>
      <c r="G105" s="76">
        <f t="shared" si="44"/>
        <v>150</v>
      </c>
      <c r="H105" s="75">
        <f t="shared" si="44"/>
        <v>13186250</v>
      </c>
      <c r="I105" s="76">
        <f t="shared" si="44"/>
        <v>58606</v>
      </c>
      <c r="J105" s="75">
        <f t="shared" si="44"/>
        <v>14700</v>
      </c>
      <c r="K105" s="76">
        <f t="shared" si="44"/>
        <v>0</v>
      </c>
      <c r="L105" s="75">
        <f t="shared" si="44"/>
        <v>1052599</v>
      </c>
    </row>
    <row r="106" spans="1:12" x14ac:dyDescent="0.25">
      <c r="A106" s="77" t="s">
        <v>285</v>
      </c>
      <c r="B106" s="78" t="s">
        <v>286</v>
      </c>
      <c r="C106" s="79">
        <f t="shared" si="43"/>
        <v>7794832</v>
      </c>
      <c r="D106" s="79">
        <f t="shared" ref="D106:L106" si="45">D107+D108</f>
        <v>6779631</v>
      </c>
      <c r="E106" s="80">
        <f t="shared" si="45"/>
        <v>20146</v>
      </c>
      <c r="F106" s="79">
        <f t="shared" si="45"/>
        <v>103074</v>
      </c>
      <c r="G106" s="80">
        <f t="shared" si="45"/>
        <v>150</v>
      </c>
      <c r="H106" s="79">
        <f t="shared" si="45"/>
        <v>850628</v>
      </c>
      <c r="I106" s="80">
        <f t="shared" si="45"/>
        <v>0</v>
      </c>
      <c r="J106" s="79">
        <f t="shared" si="45"/>
        <v>0</v>
      </c>
      <c r="K106" s="80">
        <f t="shared" si="45"/>
        <v>0</v>
      </c>
      <c r="L106" s="79">
        <f t="shared" si="45"/>
        <v>41203</v>
      </c>
    </row>
    <row r="107" spans="1:12" ht="25.5" x14ac:dyDescent="0.25">
      <c r="A107" s="85" t="s">
        <v>306</v>
      </c>
      <c r="B107" s="102" t="s">
        <v>321</v>
      </c>
      <c r="C107" s="82">
        <f t="shared" si="43"/>
        <v>7274583</v>
      </c>
      <c r="D107" s="82">
        <f>6189393+69989</f>
        <v>6259382</v>
      </c>
      <c r="E107" s="83">
        <v>20146</v>
      </c>
      <c r="F107" s="86">
        <f>102924+150</f>
        <v>103074</v>
      </c>
      <c r="G107" s="83">
        <v>150</v>
      </c>
      <c r="H107" s="86">
        <f>557424+293204</f>
        <v>850628</v>
      </c>
      <c r="I107" s="83"/>
      <c r="J107" s="86"/>
      <c r="K107" s="83"/>
      <c r="L107" s="86">
        <v>41203</v>
      </c>
    </row>
    <row r="108" spans="1:12" ht="51" x14ac:dyDescent="0.25">
      <c r="A108" s="85" t="s">
        <v>523</v>
      </c>
      <c r="B108" s="102" t="s">
        <v>524</v>
      </c>
      <c r="C108" s="82">
        <f t="shared" si="43"/>
        <v>520249</v>
      </c>
      <c r="D108" s="82">
        <f>520249</f>
        <v>520249</v>
      </c>
      <c r="E108" s="83"/>
      <c r="F108" s="86"/>
      <c r="G108" s="83"/>
      <c r="H108" s="86"/>
      <c r="I108" s="83"/>
      <c r="J108" s="86"/>
      <c r="K108" s="83"/>
      <c r="L108" s="86"/>
    </row>
    <row r="109" spans="1:12" ht="25.5" x14ac:dyDescent="0.25">
      <c r="A109" s="77" t="s">
        <v>287</v>
      </c>
      <c r="B109" s="78" t="s">
        <v>312</v>
      </c>
      <c r="C109" s="79">
        <f t="shared" si="43"/>
        <v>20396453</v>
      </c>
      <c r="D109" s="79">
        <f>D110+D117</f>
        <v>8320971</v>
      </c>
      <c r="E109" s="90">
        <f t="shared" ref="E109:L109" si="46">E110+E117</f>
        <v>-18796</v>
      </c>
      <c r="F109" s="89">
        <f t="shared" si="46"/>
        <v>166453</v>
      </c>
      <c r="G109" s="90">
        <f t="shared" si="46"/>
        <v>0</v>
      </c>
      <c r="H109" s="89">
        <f t="shared" si="46"/>
        <v>11085839</v>
      </c>
      <c r="I109" s="90">
        <f t="shared" si="46"/>
        <v>0</v>
      </c>
      <c r="J109" s="89">
        <f t="shared" si="46"/>
        <v>14700</v>
      </c>
      <c r="K109" s="90">
        <f t="shared" si="46"/>
        <v>0</v>
      </c>
      <c r="L109" s="89">
        <f t="shared" si="46"/>
        <v>827286</v>
      </c>
    </row>
    <row r="110" spans="1:12" x14ac:dyDescent="0.25">
      <c r="A110" s="96" t="s">
        <v>288</v>
      </c>
      <c r="B110" s="78" t="s">
        <v>307</v>
      </c>
      <c r="C110" s="79">
        <f t="shared" si="43"/>
        <v>18472643</v>
      </c>
      <c r="D110" s="79">
        <f>SUM(D111:D116)</f>
        <v>7808554</v>
      </c>
      <c r="E110" s="90">
        <f t="shared" ref="E110:L110" si="47">SUM(E111:E116)</f>
        <v>-5944</v>
      </c>
      <c r="F110" s="89">
        <f t="shared" si="47"/>
        <v>136529</v>
      </c>
      <c r="G110" s="90">
        <f t="shared" si="47"/>
        <v>0</v>
      </c>
      <c r="H110" s="89">
        <f t="shared" si="47"/>
        <v>9993174</v>
      </c>
      <c r="I110" s="90">
        <f t="shared" si="47"/>
        <v>0</v>
      </c>
      <c r="J110" s="89">
        <f t="shared" si="47"/>
        <v>0</v>
      </c>
      <c r="K110" s="80">
        <f t="shared" si="47"/>
        <v>0</v>
      </c>
      <c r="L110" s="79">
        <f t="shared" si="47"/>
        <v>540330</v>
      </c>
    </row>
    <row r="111" spans="1:12" hidden="1" x14ac:dyDescent="0.25">
      <c r="A111" s="103"/>
      <c r="B111" s="104"/>
      <c r="C111" s="105">
        <f t="shared" si="43"/>
        <v>0</v>
      </c>
      <c r="D111" s="105"/>
      <c r="E111" s="83"/>
      <c r="F111" s="86"/>
      <c r="G111" s="83"/>
      <c r="H111" s="86"/>
      <c r="I111" s="83"/>
      <c r="J111" s="86"/>
      <c r="K111" s="106"/>
      <c r="L111" s="105"/>
    </row>
    <row r="112" spans="1:12" hidden="1" x14ac:dyDescent="0.25">
      <c r="A112" s="103"/>
      <c r="B112" s="104"/>
      <c r="C112" s="105">
        <f t="shared" ref="C112:C136" si="48">SUM(D112:L112)</f>
        <v>0</v>
      </c>
      <c r="D112" s="105"/>
      <c r="E112" s="83"/>
      <c r="F112" s="86"/>
      <c r="G112" s="83"/>
      <c r="H112" s="86"/>
      <c r="I112" s="83"/>
      <c r="J112" s="86"/>
      <c r="K112" s="106"/>
      <c r="L112" s="105"/>
    </row>
    <row r="113" spans="1:12" ht="25.5" x14ac:dyDescent="0.25">
      <c r="A113" s="85" t="s">
        <v>289</v>
      </c>
      <c r="B113" s="102" t="s">
        <v>513</v>
      </c>
      <c r="C113" s="82">
        <f t="shared" si="48"/>
        <v>13173205</v>
      </c>
      <c r="D113" s="82">
        <f>4825531+52000-1090</f>
        <v>4876441</v>
      </c>
      <c r="E113" s="83">
        <f>1350-7294</f>
        <v>-5944</v>
      </c>
      <c r="F113" s="86">
        <f>117304+107+78</f>
        <v>117489</v>
      </c>
      <c r="G113" s="83"/>
      <c r="H113" s="86">
        <f>5172556+12157+2721487</f>
        <v>7906200</v>
      </c>
      <c r="I113" s="83"/>
      <c r="J113" s="86"/>
      <c r="K113" s="83"/>
      <c r="L113" s="86">
        <v>279019</v>
      </c>
    </row>
    <row r="114" spans="1:12" ht="25.5" x14ac:dyDescent="0.25">
      <c r="A114" s="85" t="s">
        <v>290</v>
      </c>
      <c r="B114" s="102" t="s">
        <v>308</v>
      </c>
      <c r="C114" s="82">
        <f t="shared" si="48"/>
        <v>2495954</v>
      </c>
      <c r="D114" s="82">
        <f>90136+212556</f>
        <v>302692</v>
      </c>
      <c r="E114" s="83"/>
      <c r="F114" s="86">
        <v>11790</v>
      </c>
      <c r="G114" s="83"/>
      <c r="H114" s="86">
        <f>1280243+705060</f>
        <v>1985303</v>
      </c>
      <c r="I114" s="83"/>
      <c r="J114" s="86"/>
      <c r="K114" s="83"/>
      <c r="L114" s="86">
        <v>196169</v>
      </c>
    </row>
    <row r="115" spans="1:12" ht="25.5" x14ac:dyDescent="0.25">
      <c r="A115" s="85" t="s">
        <v>291</v>
      </c>
      <c r="B115" s="102" t="s">
        <v>309</v>
      </c>
      <c r="C115" s="82">
        <f t="shared" si="48"/>
        <v>174063</v>
      </c>
      <c r="D115" s="82">
        <v>0</v>
      </c>
      <c r="E115" s="83"/>
      <c r="F115" s="86">
        <v>7250</v>
      </c>
      <c r="G115" s="83"/>
      <c r="H115" s="86">
        <f>41499+6827+53345</f>
        <v>101671</v>
      </c>
      <c r="I115" s="83"/>
      <c r="J115" s="86"/>
      <c r="K115" s="83"/>
      <c r="L115" s="86">
        <v>65142</v>
      </c>
    </row>
    <row r="116" spans="1:12" ht="38.25" x14ac:dyDescent="0.25">
      <c r="A116" s="85" t="s">
        <v>438</v>
      </c>
      <c r="B116" s="102" t="s">
        <v>439</v>
      </c>
      <c r="C116" s="82">
        <f t="shared" ref="C116" si="49">SUM(D116:L116)</f>
        <v>2629421</v>
      </c>
      <c r="D116" s="82">
        <v>2629421</v>
      </c>
      <c r="E116" s="83"/>
      <c r="F116" s="86"/>
      <c r="G116" s="83"/>
      <c r="H116" s="86"/>
      <c r="I116" s="83"/>
      <c r="J116" s="86"/>
      <c r="K116" s="83"/>
      <c r="L116" s="86"/>
    </row>
    <row r="117" spans="1:12" x14ac:dyDescent="0.25">
      <c r="A117" s="96" t="s">
        <v>313</v>
      </c>
      <c r="B117" s="78" t="s">
        <v>310</v>
      </c>
      <c r="C117" s="79">
        <f>SUM(D117:L117)</f>
        <v>1923810</v>
      </c>
      <c r="D117" s="79">
        <f>SUM(D118:D119)</f>
        <v>512417</v>
      </c>
      <c r="E117" s="90">
        <f t="shared" ref="E117:L117" si="50">SUM(E118:E119)</f>
        <v>-12852</v>
      </c>
      <c r="F117" s="89">
        <f t="shared" si="50"/>
        <v>29924</v>
      </c>
      <c r="G117" s="90">
        <f t="shared" si="50"/>
        <v>0</v>
      </c>
      <c r="H117" s="89">
        <f t="shared" si="50"/>
        <v>1092665</v>
      </c>
      <c r="I117" s="90">
        <f t="shared" si="50"/>
        <v>0</v>
      </c>
      <c r="J117" s="89">
        <f t="shared" si="50"/>
        <v>14700</v>
      </c>
      <c r="K117" s="80">
        <f t="shared" si="50"/>
        <v>0</v>
      </c>
      <c r="L117" s="79">
        <f t="shared" si="50"/>
        <v>286956</v>
      </c>
    </row>
    <row r="118" spans="1:12" ht="25.5" x14ac:dyDescent="0.25">
      <c r="A118" s="85" t="s">
        <v>292</v>
      </c>
      <c r="B118" s="102" t="s">
        <v>514</v>
      </c>
      <c r="C118" s="82">
        <f t="shared" si="48"/>
        <v>1059773</v>
      </c>
      <c r="D118" s="82">
        <v>512417</v>
      </c>
      <c r="E118" s="83">
        <v>-12852</v>
      </c>
      <c r="F118" s="86">
        <f>9474+17950+648</f>
        <v>28072</v>
      </c>
      <c r="G118" s="83"/>
      <c r="H118" s="86">
        <f>338764+166320</f>
        <v>505084</v>
      </c>
      <c r="I118" s="83"/>
      <c r="J118" s="86">
        <v>14700</v>
      </c>
      <c r="K118" s="83"/>
      <c r="L118" s="82">
        <v>12352</v>
      </c>
    </row>
    <row r="119" spans="1:12" ht="25.5" x14ac:dyDescent="0.25">
      <c r="A119" s="85" t="s">
        <v>293</v>
      </c>
      <c r="B119" s="102" t="s">
        <v>314</v>
      </c>
      <c r="C119" s="82">
        <f t="shared" si="48"/>
        <v>864037</v>
      </c>
      <c r="D119" s="82"/>
      <c r="E119" s="83"/>
      <c r="F119" s="86">
        <v>1852</v>
      </c>
      <c r="G119" s="83"/>
      <c r="H119" s="86">
        <f>476492+94191+16898</f>
        <v>587581</v>
      </c>
      <c r="I119" s="83"/>
      <c r="J119" s="86"/>
      <c r="K119" s="83"/>
      <c r="L119" s="82">
        <v>274604</v>
      </c>
    </row>
    <row r="120" spans="1:12" ht="25.5" x14ac:dyDescent="0.25">
      <c r="A120" s="77" t="s">
        <v>294</v>
      </c>
      <c r="B120" s="78" t="s">
        <v>311</v>
      </c>
      <c r="C120" s="79">
        <f>SUM(D120:L120)</f>
        <v>3289501</v>
      </c>
      <c r="D120" s="79">
        <f>SUM(D121:D125)</f>
        <v>2089871</v>
      </c>
      <c r="E120" s="90">
        <f t="shared" ref="E120:L120" si="51">SUM(E121:E125)</f>
        <v>0</v>
      </c>
      <c r="F120" s="89">
        <f t="shared" si="51"/>
        <v>192384</v>
      </c>
      <c r="G120" s="90">
        <f t="shared" si="51"/>
        <v>0</v>
      </c>
      <c r="H120" s="89">
        <f t="shared" si="51"/>
        <v>927395</v>
      </c>
      <c r="I120" s="90">
        <f t="shared" si="51"/>
        <v>0</v>
      </c>
      <c r="J120" s="79">
        <f t="shared" si="51"/>
        <v>0</v>
      </c>
      <c r="K120" s="80">
        <f t="shared" si="51"/>
        <v>0</v>
      </c>
      <c r="L120" s="79">
        <f t="shared" si="51"/>
        <v>79851</v>
      </c>
    </row>
    <row r="121" spans="1:12" ht="38.25" x14ac:dyDescent="0.25">
      <c r="A121" s="85" t="s">
        <v>43</v>
      </c>
      <c r="B121" s="102" t="s">
        <v>315</v>
      </c>
      <c r="C121" s="82">
        <f t="shared" si="48"/>
        <v>929418</v>
      </c>
      <c r="D121" s="82">
        <v>387992</v>
      </c>
      <c r="E121" s="83"/>
      <c r="F121" s="86">
        <f>55146+5955</f>
        <v>61101</v>
      </c>
      <c r="G121" s="83"/>
      <c r="H121" s="86">
        <f>298614+167808</f>
        <v>466422</v>
      </c>
      <c r="I121" s="83"/>
      <c r="J121" s="86"/>
      <c r="K121" s="83"/>
      <c r="L121" s="82">
        <v>13903</v>
      </c>
    </row>
    <row r="122" spans="1:12" ht="25.5" x14ac:dyDescent="0.25">
      <c r="A122" s="85" t="s">
        <v>45</v>
      </c>
      <c r="B122" s="102" t="s">
        <v>515</v>
      </c>
      <c r="C122" s="82">
        <f t="shared" si="48"/>
        <v>248505</v>
      </c>
      <c r="D122" s="82">
        <v>148421</v>
      </c>
      <c r="E122" s="83"/>
      <c r="F122" s="86">
        <v>13577</v>
      </c>
      <c r="G122" s="83"/>
      <c r="H122" s="86">
        <f>52921+26493</f>
        <v>79414</v>
      </c>
      <c r="I122" s="83"/>
      <c r="J122" s="86"/>
      <c r="K122" s="83"/>
      <c r="L122" s="82">
        <v>7093</v>
      </c>
    </row>
    <row r="123" spans="1:12" ht="25.5" x14ac:dyDescent="0.25">
      <c r="A123" s="85" t="s">
        <v>295</v>
      </c>
      <c r="B123" s="102" t="s">
        <v>516</v>
      </c>
      <c r="C123" s="82">
        <f t="shared" si="48"/>
        <v>2108276</v>
      </c>
      <c r="D123" s="82">
        <v>1553128</v>
      </c>
      <c r="E123" s="83"/>
      <c r="F123" s="86">
        <f>114506+3200</f>
        <v>117706</v>
      </c>
      <c r="G123" s="83"/>
      <c r="H123" s="86">
        <v>378587</v>
      </c>
      <c r="I123" s="83"/>
      <c r="J123" s="86"/>
      <c r="K123" s="83"/>
      <c r="L123" s="82">
        <v>58855</v>
      </c>
    </row>
    <row r="124" spans="1:12" ht="25.5" hidden="1" x14ac:dyDescent="0.25">
      <c r="A124" s="103" t="s">
        <v>296</v>
      </c>
      <c r="B124" s="104" t="s">
        <v>316</v>
      </c>
      <c r="C124" s="105">
        <f t="shared" si="48"/>
        <v>0</v>
      </c>
      <c r="D124" s="105"/>
      <c r="E124" s="106"/>
      <c r="F124" s="105"/>
      <c r="G124" s="106"/>
      <c r="H124" s="105"/>
      <c r="I124" s="106"/>
      <c r="J124" s="105"/>
      <c r="K124" s="106"/>
      <c r="L124" s="105"/>
    </row>
    <row r="125" spans="1:12" x14ac:dyDescent="0.25">
      <c r="A125" s="117" t="s">
        <v>440</v>
      </c>
      <c r="B125" s="118" t="s">
        <v>441</v>
      </c>
      <c r="C125" s="86">
        <f t="shared" ref="C125" si="52">SUM(D125:L125)</f>
        <v>3302</v>
      </c>
      <c r="D125" s="86">
        <v>330</v>
      </c>
      <c r="E125" s="83"/>
      <c r="F125" s="86"/>
      <c r="G125" s="83"/>
      <c r="H125" s="86">
        <v>2972</v>
      </c>
      <c r="I125" s="83"/>
      <c r="J125" s="86"/>
      <c r="K125" s="83"/>
      <c r="L125" s="86"/>
    </row>
    <row r="126" spans="1:12" x14ac:dyDescent="0.25">
      <c r="A126" s="77" t="s">
        <v>300</v>
      </c>
      <c r="B126" s="78" t="s">
        <v>317</v>
      </c>
      <c r="C126" s="79">
        <f>SUM(D126:L126)</f>
        <v>7300</v>
      </c>
      <c r="D126" s="79">
        <f>SUM(D127:D128)</f>
        <v>6300</v>
      </c>
      <c r="E126" s="90">
        <f t="shared" ref="E126:L126" si="53">SUM(E127:E128)</f>
        <v>1000</v>
      </c>
      <c r="F126" s="89">
        <f t="shared" si="53"/>
        <v>0</v>
      </c>
      <c r="G126" s="90">
        <f t="shared" si="53"/>
        <v>0</v>
      </c>
      <c r="H126" s="89">
        <f t="shared" si="53"/>
        <v>0</v>
      </c>
      <c r="I126" s="90">
        <f t="shared" si="53"/>
        <v>0</v>
      </c>
      <c r="J126" s="89">
        <f t="shared" si="53"/>
        <v>0</v>
      </c>
      <c r="K126" s="90">
        <f t="shared" si="53"/>
        <v>0</v>
      </c>
      <c r="L126" s="79">
        <f t="shared" si="53"/>
        <v>0</v>
      </c>
    </row>
    <row r="127" spans="1:12" ht="25.5" x14ac:dyDescent="0.25">
      <c r="A127" s="85" t="s">
        <v>49</v>
      </c>
      <c r="B127" s="102" t="s">
        <v>318</v>
      </c>
      <c r="C127" s="82">
        <f t="shared" si="48"/>
        <v>5900</v>
      </c>
      <c r="D127" s="82">
        <f>2900+2000</f>
        <v>4900</v>
      </c>
      <c r="E127" s="83">
        <v>1000</v>
      </c>
      <c r="F127" s="86"/>
      <c r="G127" s="83"/>
      <c r="H127" s="86"/>
      <c r="I127" s="83"/>
      <c r="J127" s="86"/>
      <c r="K127" s="83"/>
      <c r="L127" s="82"/>
    </row>
    <row r="128" spans="1:12" ht="25.5" x14ac:dyDescent="0.25">
      <c r="A128" s="85" t="s">
        <v>301</v>
      </c>
      <c r="B128" s="102" t="s">
        <v>322</v>
      </c>
      <c r="C128" s="82">
        <f t="shared" si="48"/>
        <v>1400</v>
      </c>
      <c r="D128" s="82">
        <v>1400</v>
      </c>
      <c r="E128" s="83"/>
      <c r="F128" s="86"/>
      <c r="G128" s="83"/>
      <c r="H128" s="86"/>
      <c r="I128" s="83"/>
      <c r="J128" s="82"/>
      <c r="K128" s="84"/>
      <c r="L128" s="82"/>
    </row>
    <row r="129" spans="1:12" ht="12.75" customHeight="1" x14ac:dyDescent="0.25">
      <c r="A129" s="77" t="s">
        <v>297</v>
      </c>
      <c r="B129" s="78" t="s">
        <v>319</v>
      </c>
      <c r="C129" s="79">
        <f>SUM(D129:L129)</f>
        <v>1183542</v>
      </c>
      <c r="D129" s="79">
        <f>SUM(D130:D132)</f>
        <v>743651</v>
      </c>
      <c r="E129" s="90">
        <f t="shared" ref="E129:L129" si="54">SUM(E130:E132)</f>
        <v>0</v>
      </c>
      <c r="F129" s="89">
        <f t="shared" si="54"/>
        <v>191053</v>
      </c>
      <c r="G129" s="90">
        <f t="shared" si="54"/>
        <v>0</v>
      </c>
      <c r="H129" s="89">
        <f t="shared" si="54"/>
        <v>145886</v>
      </c>
      <c r="I129" s="90">
        <f t="shared" si="54"/>
        <v>0</v>
      </c>
      <c r="J129" s="79">
        <f t="shared" si="54"/>
        <v>0</v>
      </c>
      <c r="K129" s="80">
        <f t="shared" si="54"/>
        <v>0</v>
      </c>
      <c r="L129" s="79">
        <f t="shared" si="54"/>
        <v>102952</v>
      </c>
    </row>
    <row r="130" spans="1:12" ht="38.25" x14ac:dyDescent="0.25">
      <c r="A130" s="85" t="s">
        <v>298</v>
      </c>
      <c r="B130" s="102" t="s">
        <v>491</v>
      </c>
      <c r="C130" s="82">
        <f t="shared" si="48"/>
        <v>947365</v>
      </c>
      <c r="D130" s="82">
        <f>735151+5000+3500</f>
        <v>743651</v>
      </c>
      <c r="E130" s="83"/>
      <c r="F130" s="86">
        <f>138584+24346</f>
        <v>162930</v>
      </c>
      <c r="G130" s="83"/>
      <c r="H130" s="86"/>
      <c r="I130" s="83"/>
      <c r="J130" s="86"/>
      <c r="K130" s="83"/>
      <c r="L130" s="82">
        <v>40784</v>
      </c>
    </row>
    <row r="131" spans="1:12" ht="38.25" x14ac:dyDescent="0.25">
      <c r="A131" s="85" t="s">
        <v>299</v>
      </c>
      <c r="B131" s="102" t="s">
        <v>492</v>
      </c>
      <c r="C131" s="82">
        <f t="shared" si="48"/>
        <v>183625</v>
      </c>
      <c r="D131" s="82"/>
      <c r="E131" s="83"/>
      <c r="F131" s="86">
        <f>4008+24115</f>
        <v>28123</v>
      </c>
      <c r="G131" s="83"/>
      <c r="H131" s="86">
        <f>36115+15855+23656+30000</f>
        <v>105626</v>
      </c>
      <c r="I131" s="83"/>
      <c r="J131" s="86"/>
      <c r="K131" s="83"/>
      <c r="L131" s="82">
        <v>49876</v>
      </c>
    </row>
    <row r="132" spans="1:12" x14ac:dyDescent="0.25">
      <c r="A132" s="85" t="s">
        <v>386</v>
      </c>
      <c r="B132" s="102" t="s">
        <v>387</v>
      </c>
      <c r="C132" s="82">
        <f t="shared" ref="C132" si="55">SUM(D132:L132)</f>
        <v>52552</v>
      </c>
      <c r="D132" s="82"/>
      <c r="E132" s="83"/>
      <c r="F132" s="86"/>
      <c r="G132" s="83"/>
      <c r="H132" s="86">
        <f>8207+21546+10507</f>
        <v>40260</v>
      </c>
      <c r="I132" s="83"/>
      <c r="J132" s="86"/>
      <c r="K132" s="83"/>
      <c r="L132" s="82">
        <v>12292</v>
      </c>
    </row>
    <row r="133" spans="1:12" x14ac:dyDescent="0.25">
      <c r="A133" s="77" t="s">
        <v>302</v>
      </c>
      <c r="B133" s="78" t="s">
        <v>320</v>
      </c>
      <c r="C133" s="79">
        <f>SUM(D133:L133)</f>
        <v>1017361</v>
      </c>
      <c r="D133" s="79">
        <f>SUM(D134:D136)</f>
        <v>779393</v>
      </c>
      <c r="E133" s="90">
        <f t="shared" ref="E133:L133" si="56">SUM(E134:E136)</f>
        <v>0</v>
      </c>
      <c r="F133" s="89">
        <f t="shared" si="56"/>
        <v>1553</v>
      </c>
      <c r="G133" s="90">
        <f t="shared" si="56"/>
        <v>0</v>
      </c>
      <c r="H133" s="89">
        <f t="shared" si="56"/>
        <v>176502</v>
      </c>
      <c r="I133" s="90">
        <f t="shared" si="56"/>
        <v>58606</v>
      </c>
      <c r="J133" s="89">
        <f t="shared" si="56"/>
        <v>0</v>
      </c>
      <c r="K133" s="90">
        <f t="shared" si="56"/>
        <v>0</v>
      </c>
      <c r="L133" s="79">
        <f t="shared" si="56"/>
        <v>1307</v>
      </c>
    </row>
    <row r="134" spans="1:12" ht="25.5" x14ac:dyDescent="0.25">
      <c r="A134" s="85" t="s">
        <v>303</v>
      </c>
      <c r="B134" s="102" t="s">
        <v>493</v>
      </c>
      <c r="C134" s="82">
        <f t="shared" si="48"/>
        <v>728505</v>
      </c>
      <c r="D134" s="82">
        <f>725980+1090</f>
        <v>727070</v>
      </c>
      <c r="E134" s="83"/>
      <c r="F134" s="86">
        <v>500</v>
      </c>
      <c r="G134" s="83"/>
      <c r="H134" s="86"/>
      <c r="I134" s="83"/>
      <c r="J134" s="86"/>
      <c r="K134" s="83"/>
      <c r="L134" s="82">
        <v>935</v>
      </c>
    </row>
    <row r="135" spans="1:12" ht="25.5" x14ac:dyDescent="0.25">
      <c r="A135" s="117" t="s">
        <v>304</v>
      </c>
      <c r="B135" s="118" t="s">
        <v>494</v>
      </c>
      <c r="C135" s="86">
        <f t="shared" si="48"/>
        <v>235108</v>
      </c>
      <c r="D135" s="86"/>
      <c r="E135" s="83"/>
      <c r="F135" s="86"/>
      <c r="G135" s="83"/>
      <c r="H135" s="86">
        <f>16810+159692</f>
        <v>176502</v>
      </c>
      <c r="I135" s="83">
        <v>58606</v>
      </c>
      <c r="J135" s="86"/>
      <c r="K135" s="83"/>
      <c r="L135" s="86"/>
    </row>
    <row r="136" spans="1:12" ht="38.25" x14ac:dyDescent="0.25">
      <c r="A136" s="85" t="s">
        <v>305</v>
      </c>
      <c r="B136" s="102" t="s">
        <v>495</v>
      </c>
      <c r="C136" s="82">
        <f t="shared" si="48"/>
        <v>53748</v>
      </c>
      <c r="D136" s="82">
        <v>52323</v>
      </c>
      <c r="E136" s="83"/>
      <c r="F136" s="86">
        <f>250+803</f>
        <v>1053</v>
      </c>
      <c r="G136" s="83"/>
      <c r="H136" s="86"/>
      <c r="I136" s="83"/>
      <c r="J136" s="82"/>
      <c r="K136" s="84"/>
      <c r="L136" s="82">
        <v>372</v>
      </c>
    </row>
    <row r="137" spans="1:12" x14ac:dyDescent="0.25">
      <c r="A137" s="73" t="s">
        <v>57</v>
      </c>
      <c r="B137" s="74" t="s">
        <v>147</v>
      </c>
      <c r="C137" s="75">
        <f>SUM(D137:L137)</f>
        <v>4633025</v>
      </c>
      <c r="D137" s="75">
        <f>D138+D145+D148+D152+D153+D154+D161</f>
        <v>4243414</v>
      </c>
      <c r="E137" s="76">
        <f t="shared" ref="E137:L137" si="57">E138+E145+E148+E152+E153+E154+E161</f>
        <v>-65000</v>
      </c>
      <c r="F137" s="75">
        <f t="shared" si="57"/>
        <v>41276</v>
      </c>
      <c r="G137" s="76">
        <f t="shared" si="57"/>
        <v>1447</v>
      </c>
      <c r="H137" s="75">
        <f t="shared" si="57"/>
        <v>374536</v>
      </c>
      <c r="I137" s="76">
        <f t="shared" si="57"/>
        <v>0</v>
      </c>
      <c r="J137" s="75">
        <f t="shared" si="57"/>
        <v>3142</v>
      </c>
      <c r="K137" s="76">
        <f t="shared" si="57"/>
        <v>0</v>
      </c>
      <c r="L137" s="75">
        <f t="shared" si="57"/>
        <v>34210</v>
      </c>
    </row>
    <row r="138" spans="1:12" ht="25.5" x14ac:dyDescent="0.25">
      <c r="A138" s="77" t="s">
        <v>323</v>
      </c>
      <c r="B138" s="78" t="s">
        <v>368</v>
      </c>
      <c r="C138" s="79">
        <f>SUM(D138:L138)</f>
        <v>718179</v>
      </c>
      <c r="D138" s="79">
        <f>SUM(D139:D144)</f>
        <v>368951</v>
      </c>
      <c r="E138" s="80">
        <f t="shared" ref="E138:L138" si="58">SUM(E139:E144)</f>
        <v>19583</v>
      </c>
      <c r="F138" s="79">
        <f t="shared" si="58"/>
        <v>10060</v>
      </c>
      <c r="G138" s="80">
        <f t="shared" si="58"/>
        <v>1447</v>
      </c>
      <c r="H138" s="79">
        <f t="shared" si="58"/>
        <v>306085</v>
      </c>
      <c r="I138" s="80">
        <f t="shared" si="58"/>
        <v>0</v>
      </c>
      <c r="J138" s="79">
        <f t="shared" si="58"/>
        <v>3000</v>
      </c>
      <c r="K138" s="80">
        <f t="shared" si="58"/>
        <v>0</v>
      </c>
      <c r="L138" s="79">
        <f t="shared" si="58"/>
        <v>9053</v>
      </c>
    </row>
    <row r="139" spans="1:12" ht="38.25" x14ac:dyDescent="0.25">
      <c r="A139" s="85" t="s">
        <v>324</v>
      </c>
      <c r="B139" s="102" t="s">
        <v>511</v>
      </c>
      <c r="C139" s="82">
        <f>SUM(D139:L139)</f>
        <v>363086</v>
      </c>
      <c r="D139" s="82">
        <f>95731-2000</f>
        <v>93731</v>
      </c>
      <c r="E139" s="84">
        <v>14583</v>
      </c>
      <c r="F139" s="82"/>
      <c r="G139" s="84">
        <v>1447</v>
      </c>
      <c r="H139" s="82">
        <v>253323</v>
      </c>
      <c r="I139" s="84"/>
      <c r="J139" s="82"/>
      <c r="K139" s="84"/>
      <c r="L139" s="82">
        <v>2</v>
      </c>
    </row>
    <row r="140" spans="1:12" ht="51" x14ac:dyDescent="0.25">
      <c r="A140" s="85" t="s">
        <v>325</v>
      </c>
      <c r="B140" s="102" t="s">
        <v>349</v>
      </c>
      <c r="C140" s="82">
        <f t="shared" ref="C140:C151" si="59">SUM(D140:L140)</f>
        <v>84309</v>
      </c>
      <c r="D140" s="82">
        <v>77988</v>
      </c>
      <c r="E140" s="83"/>
      <c r="F140" s="86">
        <v>2560</v>
      </c>
      <c r="G140" s="84"/>
      <c r="H140" s="82"/>
      <c r="I140" s="84"/>
      <c r="J140" s="82">
        <v>3000</v>
      </c>
      <c r="K140" s="84"/>
      <c r="L140" s="82">
        <v>761</v>
      </c>
    </row>
    <row r="141" spans="1:12" x14ac:dyDescent="0.25">
      <c r="A141" s="85" t="s">
        <v>326</v>
      </c>
      <c r="B141" s="102" t="s">
        <v>350</v>
      </c>
      <c r="C141" s="82">
        <f t="shared" si="59"/>
        <v>70444</v>
      </c>
      <c r="D141" s="82">
        <v>69066</v>
      </c>
      <c r="E141" s="83"/>
      <c r="F141" s="86">
        <v>1000</v>
      </c>
      <c r="G141" s="84"/>
      <c r="H141" s="82"/>
      <c r="I141" s="84"/>
      <c r="J141" s="82"/>
      <c r="K141" s="84"/>
      <c r="L141" s="82">
        <v>378</v>
      </c>
    </row>
    <row r="142" spans="1:12" x14ac:dyDescent="0.25">
      <c r="A142" s="85" t="s">
        <v>327</v>
      </c>
      <c r="B142" s="102" t="s">
        <v>351</v>
      </c>
      <c r="C142" s="82">
        <f t="shared" si="59"/>
        <v>68523</v>
      </c>
      <c r="D142" s="82">
        <v>65814</v>
      </c>
      <c r="E142" s="83"/>
      <c r="F142" s="86">
        <v>2200</v>
      </c>
      <c r="G142" s="84"/>
      <c r="H142" s="82"/>
      <c r="I142" s="83"/>
      <c r="J142" s="82"/>
      <c r="K142" s="84"/>
      <c r="L142" s="82">
        <v>509</v>
      </c>
    </row>
    <row r="143" spans="1:12" x14ac:dyDescent="0.25">
      <c r="A143" s="85" t="s">
        <v>328</v>
      </c>
      <c r="B143" s="102" t="s">
        <v>352</v>
      </c>
      <c r="C143" s="82">
        <f t="shared" si="59"/>
        <v>111306</v>
      </c>
      <c r="D143" s="82">
        <v>61706</v>
      </c>
      <c r="E143" s="83"/>
      <c r="F143" s="86">
        <v>4300</v>
      </c>
      <c r="G143" s="83"/>
      <c r="H143" s="86">
        <v>43180</v>
      </c>
      <c r="I143" s="83"/>
      <c r="J143" s="86"/>
      <c r="K143" s="84"/>
      <c r="L143" s="82">
        <v>2120</v>
      </c>
    </row>
    <row r="144" spans="1:12" x14ac:dyDescent="0.25">
      <c r="A144" s="85" t="s">
        <v>388</v>
      </c>
      <c r="B144" s="102" t="s">
        <v>389</v>
      </c>
      <c r="C144" s="82">
        <f t="shared" ref="C144" si="60">SUM(D144:L144)</f>
        <v>20511</v>
      </c>
      <c r="D144" s="82">
        <v>646</v>
      </c>
      <c r="E144" s="83">
        <v>5000</v>
      </c>
      <c r="F144" s="86"/>
      <c r="G144" s="83"/>
      <c r="H144" s="86">
        <f>3109+2436+4037</f>
        <v>9582</v>
      </c>
      <c r="I144" s="83"/>
      <c r="J144" s="86"/>
      <c r="K144" s="84"/>
      <c r="L144" s="82">
        <v>5283</v>
      </c>
    </row>
    <row r="145" spans="1:12" x14ac:dyDescent="0.25">
      <c r="A145" s="77" t="s">
        <v>329</v>
      </c>
      <c r="B145" s="78" t="s">
        <v>381</v>
      </c>
      <c r="C145" s="79">
        <f>SUM(D145:L145)</f>
        <v>452535</v>
      </c>
      <c r="D145" s="79">
        <f>SUM(D146:D147)</f>
        <v>424962</v>
      </c>
      <c r="E145" s="90">
        <f t="shared" ref="E145:L145" si="61">SUM(E146:E147)</f>
        <v>9000</v>
      </c>
      <c r="F145" s="89">
        <f t="shared" si="61"/>
        <v>11000</v>
      </c>
      <c r="G145" s="90">
        <f t="shared" si="61"/>
        <v>0</v>
      </c>
      <c r="H145" s="89">
        <f t="shared" si="61"/>
        <v>0</v>
      </c>
      <c r="I145" s="90">
        <f t="shared" si="61"/>
        <v>0</v>
      </c>
      <c r="J145" s="89">
        <f t="shared" si="61"/>
        <v>0</v>
      </c>
      <c r="K145" s="80">
        <f t="shared" si="61"/>
        <v>0</v>
      </c>
      <c r="L145" s="79">
        <f t="shared" si="61"/>
        <v>7573</v>
      </c>
    </row>
    <row r="146" spans="1:12" ht="22.5" customHeight="1" x14ac:dyDescent="0.25">
      <c r="A146" s="85" t="s">
        <v>330</v>
      </c>
      <c r="B146" s="102" t="s">
        <v>353</v>
      </c>
      <c r="C146" s="82">
        <f t="shared" si="59"/>
        <v>265470</v>
      </c>
      <c r="D146" s="82">
        <v>250294</v>
      </c>
      <c r="E146" s="83"/>
      <c r="F146" s="86">
        <v>11000</v>
      </c>
      <c r="G146" s="83"/>
      <c r="H146" s="86"/>
      <c r="I146" s="83"/>
      <c r="J146" s="86"/>
      <c r="K146" s="84"/>
      <c r="L146" s="82">
        <v>4176</v>
      </c>
    </row>
    <row r="147" spans="1:12" x14ac:dyDescent="0.25">
      <c r="A147" s="85" t="s">
        <v>331</v>
      </c>
      <c r="B147" s="102" t="s">
        <v>354</v>
      </c>
      <c r="C147" s="82">
        <f t="shared" si="59"/>
        <v>187065</v>
      </c>
      <c r="D147" s="82">
        <f>150668+25000-1000</f>
        <v>174668</v>
      </c>
      <c r="E147" s="83">
        <v>9000</v>
      </c>
      <c r="F147" s="86"/>
      <c r="G147" s="83"/>
      <c r="H147" s="86"/>
      <c r="I147" s="83"/>
      <c r="J147" s="86"/>
      <c r="K147" s="84"/>
      <c r="L147" s="82">
        <v>3397</v>
      </c>
    </row>
    <row r="148" spans="1:12" x14ac:dyDescent="0.25">
      <c r="A148" s="77" t="s">
        <v>332</v>
      </c>
      <c r="B148" s="78" t="s">
        <v>355</v>
      </c>
      <c r="C148" s="79">
        <f>SUM(D148:L148)</f>
        <v>805472</v>
      </c>
      <c r="D148" s="79">
        <f>SUM(D149:D151)</f>
        <v>756608</v>
      </c>
      <c r="E148" s="90">
        <f t="shared" ref="E148:L148" si="62">SUM(E149:E151)</f>
        <v>16417</v>
      </c>
      <c r="F148" s="89">
        <f t="shared" si="62"/>
        <v>6782</v>
      </c>
      <c r="G148" s="90">
        <f t="shared" si="62"/>
        <v>0</v>
      </c>
      <c r="H148" s="89">
        <f t="shared" si="62"/>
        <v>18451</v>
      </c>
      <c r="I148" s="90">
        <f t="shared" si="62"/>
        <v>0</v>
      </c>
      <c r="J148" s="89">
        <f t="shared" si="62"/>
        <v>0</v>
      </c>
      <c r="K148" s="80">
        <f t="shared" si="62"/>
        <v>0</v>
      </c>
      <c r="L148" s="79">
        <f t="shared" si="62"/>
        <v>7214</v>
      </c>
    </row>
    <row r="149" spans="1:12" ht="38.25" x14ac:dyDescent="0.25">
      <c r="A149" s="85" t="s">
        <v>333</v>
      </c>
      <c r="B149" s="102" t="s">
        <v>356</v>
      </c>
      <c r="C149" s="82">
        <f t="shared" si="59"/>
        <v>614397</v>
      </c>
      <c r="D149" s="82">
        <f>588377-646</f>
        <v>587731</v>
      </c>
      <c r="E149" s="83">
        <v>16417</v>
      </c>
      <c r="F149" s="86">
        <v>2846</v>
      </c>
      <c r="G149" s="83"/>
      <c r="H149" s="86">
        <v>291</v>
      </c>
      <c r="I149" s="83"/>
      <c r="J149" s="86"/>
      <c r="K149" s="84"/>
      <c r="L149" s="82">
        <v>7112</v>
      </c>
    </row>
    <row r="150" spans="1:12" ht="25.5" x14ac:dyDescent="0.25">
      <c r="A150" s="85" t="s">
        <v>334</v>
      </c>
      <c r="B150" s="102" t="s">
        <v>496</v>
      </c>
      <c r="C150" s="82">
        <f t="shared" si="59"/>
        <v>168978</v>
      </c>
      <c r="D150" s="82">
        <v>168877</v>
      </c>
      <c r="E150" s="83"/>
      <c r="F150" s="86"/>
      <c r="G150" s="83"/>
      <c r="H150" s="86"/>
      <c r="I150" s="83"/>
      <c r="J150" s="86"/>
      <c r="K150" s="84"/>
      <c r="L150" s="82">
        <v>101</v>
      </c>
    </row>
    <row r="151" spans="1:12" ht="51" x14ac:dyDescent="0.25">
      <c r="A151" s="85" t="s">
        <v>335</v>
      </c>
      <c r="B151" s="102" t="s">
        <v>357</v>
      </c>
      <c r="C151" s="82">
        <f t="shared" si="59"/>
        <v>22097</v>
      </c>
      <c r="D151" s="82"/>
      <c r="E151" s="83"/>
      <c r="F151" s="86">
        <f>400+3536</f>
        <v>3936</v>
      </c>
      <c r="G151" s="83"/>
      <c r="H151" s="82">
        <f>11646+6514</f>
        <v>18160</v>
      </c>
      <c r="I151" s="83"/>
      <c r="J151" s="82"/>
      <c r="K151" s="84"/>
      <c r="L151" s="82">
        <v>1</v>
      </c>
    </row>
    <row r="152" spans="1:12" x14ac:dyDescent="0.25">
      <c r="A152" s="87" t="s">
        <v>336</v>
      </c>
      <c r="B152" s="88" t="s">
        <v>358</v>
      </c>
      <c r="C152" s="79">
        <f>SUM(D152:L152)</f>
        <v>70186</v>
      </c>
      <c r="D152" s="79">
        <v>20000</v>
      </c>
      <c r="E152" s="90"/>
      <c r="F152" s="89"/>
      <c r="G152" s="90"/>
      <c r="H152" s="79">
        <f>35000+15000</f>
        <v>50000</v>
      </c>
      <c r="I152" s="90"/>
      <c r="J152" s="79"/>
      <c r="K152" s="80"/>
      <c r="L152" s="79">
        <v>186</v>
      </c>
    </row>
    <row r="153" spans="1:12" ht="40.5" x14ac:dyDescent="0.25">
      <c r="A153" s="87" t="s">
        <v>337</v>
      </c>
      <c r="B153" s="88" t="s">
        <v>359</v>
      </c>
      <c r="C153" s="79">
        <f>SUM(D153:L153)</f>
        <v>390000</v>
      </c>
      <c r="D153" s="79">
        <v>500000</v>
      </c>
      <c r="E153" s="90">
        <v>-110000</v>
      </c>
      <c r="F153" s="89"/>
      <c r="G153" s="90"/>
      <c r="H153" s="79"/>
      <c r="I153" s="90"/>
      <c r="J153" s="79"/>
      <c r="K153" s="80"/>
      <c r="L153" s="79"/>
    </row>
    <row r="154" spans="1:12" ht="25.5" x14ac:dyDescent="0.25">
      <c r="A154" s="77" t="s">
        <v>338</v>
      </c>
      <c r="B154" s="78" t="s">
        <v>360</v>
      </c>
      <c r="C154" s="79">
        <f>SUM(D154:L154)</f>
        <v>953022</v>
      </c>
      <c r="D154" s="79">
        <f>SUM(D155:D160)</f>
        <v>937987</v>
      </c>
      <c r="E154" s="90">
        <f t="shared" ref="E154:L154" si="63">SUM(E155:E160)</f>
        <v>0</v>
      </c>
      <c r="F154" s="89">
        <f t="shared" si="63"/>
        <v>12240</v>
      </c>
      <c r="G154" s="90">
        <f t="shared" si="63"/>
        <v>0</v>
      </c>
      <c r="H154" s="79">
        <f t="shared" si="63"/>
        <v>0</v>
      </c>
      <c r="I154" s="80">
        <f t="shared" si="63"/>
        <v>0</v>
      </c>
      <c r="J154" s="79">
        <f t="shared" si="63"/>
        <v>142</v>
      </c>
      <c r="K154" s="80">
        <f t="shared" si="63"/>
        <v>0</v>
      </c>
      <c r="L154" s="79">
        <f t="shared" si="63"/>
        <v>2653</v>
      </c>
    </row>
    <row r="155" spans="1:12" x14ac:dyDescent="0.25">
      <c r="A155" s="85" t="s">
        <v>339</v>
      </c>
      <c r="B155" s="102" t="s">
        <v>361</v>
      </c>
      <c r="C155" s="82">
        <f t="shared" ref="C155:C165" si="64">SUM(D155:L155)</f>
        <v>9033</v>
      </c>
      <c r="D155" s="82">
        <v>9033</v>
      </c>
      <c r="E155" s="83"/>
      <c r="F155" s="86"/>
      <c r="G155" s="83"/>
      <c r="H155" s="82"/>
      <c r="I155" s="84"/>
      <c r="J155" s="82"/>
      <c r="K155" s="84"/>
      <c r="L155" s="82"/>
    </row>
    <row r="156" spans="1:12" ht="63.75" x14ac:dyDescent="0.25">
      <c r="A156" s="85" t="s">
        <v>340</v>
      </c>
      <c r="B156" s="102" t="s">
        <v>510</v>
      </c>
      <c r="C156" s="82">
        <f t="shared" si="64"/>
        <v>89031</v>
      </c>
      <c r="D156" s="82">
        <f>83031+3000+3000</f>
        <v>89031</v>
      </c>
      <c r="E156" s="83"/>
      <c r="F156" s="86"/>
      <c r="G156" s="83"/>
      <c r="H156" s="82"/>
      <c r="I156" s="84"/>
      <c r="J156" s="82"/>
      <c r="K156" s="84"/>
      <c r="L156" s="82"/>
    </row>
    <row r="157" spans="1:12" x14ac:dyDescent="0.25">
      <c r="A157" s="85" t="s">
        <v>341</v>
      </c>
      <c r="B157" s="102" t="s">
        <v>362</v>
      </c>
      <c r="C157" s="82">
        <f t="shared" si="64"/>
        <v>84456</v>
      </c>
      <c r="D157" s="82">
        <v>80268</v>
      </c>
      <c r="E157" s="83"/>
      <c r="F157" s="86">
        <v>4000</v>
      </c>
      <c r="G157" s="83"/>
      <c r="H157" s="82"/>
      <c r="I157" s="84"/>
      <c r="J157" s="82"/>
      <c r="K157" s="84"/>
      <c r="L157" s="82">
        <v>188</v>
      </c>
    </row>
    <row r="158" spans="1:12" ht="38.25" x14ac:dyDescent="0.25">
      <c r="A158" s="85" t="s">
        <v>342</v>
      </c>
      <c r="B158" s="102" t="s">
        <v>497</v>
      </c>
      <c r="C158" s="82">
        <f t="shared" si="64"/>
        <v>667569</v>
      </c>
      <c r="D158" s="82">
        <f>609488+26487+24000</f>
        <v>659975</v>
      </c>
      <c r="E158" s="92"/>
      <c r="F158" s="82">
        <v>5240</v>
      </c>
      <c r="G158" s="84"/>
      <c r="H158" s="82"/>
      <c r="I158" s="84"/>
      <c r="J158" s="82"/>
      <c r="K158" s="84"/>
      <c r="L158" s="82">
        <v>2354</v>
      </c>
    </row>
    <row r="159" spans="1:12" x14ac:dyDescent="0.25">
      <c r="A159" s="85" t="s">
        <v>343</v>
      </c>
      <c r="B159" s="102" t="s">
        <v>363</v>
      </c>
      <c r="C159" s="82">
        <f t="shared" si="64"/>
        <v>15200</v>
      </c>
      <c r="D159" s="82">
        <v>12200</v>
      </c>
      <c r="E159" s="83"/>
      <c r="F159" s="82">
        <v>3000</v>
      </c>
      <c r="G159" s="84"/>
      <c r="H159" s="82"/>
      <c r="I159" s="84"/>
      <c r="J159" s="82"/>
      <c r="K159" s="84"/>
      <c r="L159" s="82"/>
    </row>
    <row r="160" spans="1:12" ht="25.5" x14ac:dyDescent="0.25">
      <c r="A160" s="85" t="s">
        <v>344</v>
      </c>
      <c r="B160" s="102" t="s">
        <v>498</v>
      </c>
      <c r="C160" s="82">
        <f t="shared" si="64"/>
        <v>87733</v>
      </c>
      <c r="D160" s="82">
        <v>87480</v>
      </c>
      <c r="E160" s="83"/>
      <c r="F160" s="82"/>
      <c r="G160" s="84"/>
      <c r="H160" s="82"/>
      <c r="I160" s="84"/>
      <c r="J160" s="82">
        <v>142</v>
      </c>
      <c r="K160" s="84"/>
      <c r="L160" s="82">
        <v>111</v>
      </c>
    </row>
    <row r="161" spans="1:12" ht="25.5" x14ac:dyDescent="0.25">
      <c r="A161" s="77" t="s">
        <v>345</v>
      </c>
      <c r="B161" s="78" t="s">
        <v>364</v>
      </c>
      <c r="C161" s="79">
        <f>SUM(D161:L161)</f>
        <v>1243631</v>
      </c>
      <c r="D161" s="79">
        <f>SUM(D162:D165)</f>
        <v>1234906</v>
      </c>
      <c r="E161" s="80">
        <f t="shared" ref="E161:L161" si="65">SUM(E162:E165)</f>
        <v>0</v>
      </c>
      <c r="F161" s="79">
        <f t="shared" si="65"/>
        <v>1194</v>
      </c>
      <c r="G161" s="80">
        <f t="shared" si="65"/>
        <v>0</v>
      </c>
      <c r="H161" s="79">
        <f t="shared" si="65"/>
        <v>0</v>
      </c>
      <c r="I161" s="80">
        <f t="shared" si="65"/>
        <v>0</v>
      </c>
      <c r="J161" s="79">
        <f t="shared" si="65"/>
        <v>0</v>
      </c>
      <c r="K161" s="80">
        <f t="shared" si="65"/>
        <v>0</v>
      </c>
      <c r="L161" s="79">
        <f t="shared" si="65"/>
        <v>7531</v>
      </c>
    </row>
    <row r="162" spans="1:12" ht="38.25" x14ac:dyDescent="0.25">
      <c r="A162" s="85" t="s">
        <v>365</v>
      </c>
      <c r="B162" s="102" t="s">
        <v>499</v>
      </c>
      <c r="C162" s="82">
        <f t="shared" si="64"/>
        <v>989431</v>
      </c>
      <c r="D162" s="82">
        <v>984714</v>
      </c>
      <c r="E162" s="83"/>
      <c r="F162" s="82">
        <v>1194</v>
      </c>
      <c r="G162" s="84"/>
      <c r="H162" s="82"/>
      <c r="I162" s="84"/>
      <c r="J162" s="82"/>
      <c r="K162" s="84"/>
      <c r="L162" s="82">
        <v>3523</v>
      </c>
    </row>
    <row r="163" spans="1:12" ht="38.25" hidden="1" x14ac:dyDescent="0.25">
      <c r="A163" s="103" t="s">
        <v>346</v>
      </c>
      <c r="B163" s="104" t="s">
        <v>366</v>
      </c>
      <c r="C163" s="105">
        <f t="shared" si="64"/>
        <v>0</v>
      </c>
      <c r="D163" s="105"/>
      <c r="E163" s="106"/>
      <c r="F163" s="105"/>
      <c r="G163" s="106"/>
      <c r="H163" s="105"/>
      <c r="I163" s="106"/>
      <c r="J163" s="105"/>
      <c r="K163" s="106"/>
      <c r="L163" s="105"/>
    </row>
    <row r="164" spans="1:12" ht="25.5" x14ac:dyDescent="0.25">
      <c r="A164" s="85" t="s">
        <v>347</v>
      </c>
      <c r="B164" s="102" t="s">
        <v>382</v>
      </c>
      <c r="C164" s="82">
        <f t="shared" si="64"/>
        <v>9200</v>
      </c>
      <c r="D164" s="82">
        <v>9200</v>
      </c>
      <c r="E164" s="84"/>
      <c r="F164" s="82"/>
      <c r="G164" s="84"/>
      <c r="H164" s="82"/>
      <c r="I164" s="84"/>
      <c r="J164" s="82"/>
      <c r="K164" s="84"/>
      <c r="L164" s="82"/>
    </row>
    <row r="165" spans="1:12" ht="38.25" x14ac:dyDescent="0.25">
      <c r="A165" s="85" t="s">
        <v>348</v>
      </c>
      <c r="B165" s="102" t="s">
        <v>367</v>
      </c>
      <c r="C165" s="82">
        <f t="shared" si="64"/>
        <v>245000</v>
      </c>
      <c r="D165" s="82">
        <v>240992</v>
      </c>
      <c r="E165" s="84"/>
      <c r="F165" s="82"/>
      <c r="G165" s="84"/>
      <c r="H165" s="82"/>
      <c r="I165" s="84"/>
      <c r="J165" s="82"/>
      <c r="K165" s="84"/>
      <c r="L165" s="82">
        <v>4008</v>
      </c>
    </row>
    <row r="166" spans="1:12" x14ac:dyDescent="0.25">
      <c r="A166" s="71"/>
      <c r="B166" s="97" t="s">
        <v>136</v>
      </c>
      <c r="C166" s="52">
        <f>SUM(D166:L166)</f>
        <v>6332012</v>
      </c>
      <c r="D166" s="52">
        <f>D167+D168+D174</f>
        <v>2268550</v>
      </c>
      <c r="E166" s="72">
        <f t="shared" ref="E166:L166" si="66">E167+E168+E174</f>
        <v>0</v>
      </c>
      <c r="F166" s="52">
        <f t="shared" si="66"/>
        <v>0</v>
      </c>
      <c r="G166" s="72">
        <f t="shared" si="66"/>
        <v>0</v>
      </c>
      <c r="H166" s="52">
        <f t="shared" si="66"/>
        <v>2528491</v>
      </c>
      <c r="I166" s="72">
        <f t="shared" si="66"/>
        <v>0</v>
      </c>
      <c r="J166" s="52">
        <f t="shared" si="66"/>
        <v>0</v>
      </c>
      <c r="K166" s="72">
        <f t="shared" si="66"/>
        <v>0</v>
      </c>
      <c r="L166" s="52">
        <f t="shared" si="66"/>
        <v>1534971</v>
      </c>
    </row>
    <row r="167" spans="1:12" ht="25.5" x14ac:dyDescent="0.25">
      <c r="A167" s="77" t="s">
        <v>137</v>
      </c>
      <c r="B167" s="78" t="s">
        <v>148</v>
      </c>
      <c r="C167" s="79">
        <f>SUM(D167:L167)</f>
        <v>4063462</v>
      </c>
      <c r="D167" s="79"/>
      <c r="E167" s="90"/>
      <c r="F167" s="89"/>
      <c r="G167" s="90"/>
      <c r="H167" s="89">
        <v>2528491</v>
      </c>
      <c r="I167" s="90"/>
      <c r="J167" s="89"/>
      <c r="K167" s="80"/>
      <c r="L167" s="53">
        <v>1534971</v>
      </c>
    </row>
    <row r="168" spans="1:12" ht="25.5" x14ac:dyDescent="0.25">
      <c r="A168" s="77" t="s">
        <v>138</v>
      </c>
      <c r="B168" s="78" t="s">
        <v>149</v>
      </c>
      <c r="C168" s="79">
        <f>SUM(D168:L168)</f>
        <v>2144043</v>
      </c>
      <c r="D168" s="79">
        <f>SUM(D169:D173)</f>
        <v>2144043</v>
      </c>
      <c r="E168" s="90">
        <f t="shared" ref="E168:L168" si="67">SUM(E169:E173)</f>
        <v>0</v>
      </c>
      <c r="F168" s="89">
        <f t="shared" si="67"/>
        <v>0</v>
      </c>
      <c r="G168" s="90">
        <f t="shared" si="67"/>
        <v>0</v>
      </c>
      <c r="H168" s="89">
        <f t="shared" si="67"/>
        <v>0</v>
      </c>
      <c r="I168" s="90">
        <f t="shared" si="67"/>
        <v>0</v>
      </c>
      <c r="J168" s="89">
        <f t="shared" si="67"/>
        <v>0</v>
      </c>
      <c r="K168" s="80">
        <f t="shared" si="67"/>
        <v>0</v>
      </c>
      <c r="L168" s="79">
        <f t="shared" si="67"/>
        <v>0</v>
      </c>
    </row>
    <row r="169" spans="1:12" ht="25.5" x14ac:dyDescent="0.25">
      <c r="A169" s="95"/>
      <c r="B169" s="102" t="s">
        <v>500</v>
      </c>
      <c r="C169" s="82">
        <f t="shared" ref="C169:C173" si="68">SUM(D169:L169)</f>
        <v>40000</v>
      </c>
      <c r="D169" s="82">
        <v>40000</v>
      </c>
      <c r="E169" s="83"/>
      <c r="F169" s="82"/>
      <c r="G169" s="84"/>
      <c r="H169" s="82"/>
      <c r="I169" s="84"/>
      <c r="J169" s="82"/>
      <c r="K169" s="84"/>
      <c r="L169" s="55"/>
    </row>
    <row r="170" spans="1:12" x14ac:dyDescent="0.25">
      <c r="A170" s="95"/>
      <c r="B170" s="102" t="s">
        <v>427</v>
      </c>
      <c r="C170" s="82">
        <f t="shared" si="68"/>
        <v>1496459</v>
      </c>
      <c r="D170" s="82">
        <f>2165586-669127</f>
        <v>1496459</v>
      </c>
      <c r="E170" s="83"/>
      <c r="F170" s="82"/>
      <c r="G170" s="84"/>
      <c r="H170" s="82"/>
      <c r="I170" s="84"/>
      <c r="J170" s="82"/>
      <c r="K170" s="84"/>
      <c r="L170" s="55"/>
    </row>
    <row r="171" spans="1:12" ht="25.5" x14ac:dyDescent="0.25">
      <c r="A171" s="95"/>
      <c r="B171" s="102" t="s">
        <v>426</v>
      </c>
      <c r="C171" s="82">
        <f t="shared" si="68"/>
        <v>520244</v>
      </c>
      <c r="D171" s="82">
        <f>517943+2301</f>
        <v>520244</v>
      </c>
      <c r="E171" s="83"/>
      <c r="F171" s="82"/>
      <c r="G171" s="84"/>
      <c r="H171" s="82"/>
      <c r="I171" s="84"/>
      <c r="J171" s="82"/>
      <c r="K171" s="84"/>
      <c r="L171" s="55"/>
    </row>
    <row r="172" spans="1:12" x14ac:dyDescent="0.25">
      <c r="A172" s="95"/>
      <c r="B172" s="102" t="s">
        <v>424</v>
      </c>
      <c r="C172" s="82">
        <f t="shared" si="68"/>
        <v>37340</v>
      </c>
      <c r="D172" s="82">
        <v>37340</v>
      </c>
      <c r="E172" s="83"/>
      <c r="F172" s="82"/>
      <c r="G172" s="84"/>
      <c r="H172" s="82"/>
      <c r="I172" s="84"/>
      <c r="J172" s="82"/>
      <c r="K172" s="84"/>
      <c r="L172" s="55"/>
    </row>
    <row r="173" spans="1:12" x14ac:dyDescent="0.25">
      <c r="A173" s="95"/>
      <c r="B173" s="102" t="s">
        <v>423</v>
      </c>
      <c r="C173" s="82">
        <f t="shared" si="68"/>
        <v>50000</v>
      </c>
      <c r="D173" s="82">
        <v>50000</v>
      </c>
      <c r="E173" s="83"/>
      <c r="F173" s="82"/>
      <c r="G173" s="84"/>
      <c r="H173" s="82"/>
      <c r="I173" s="84"/>
      <c r="J173" s="82"/>
      <c r="K173" s="84"/>
      <c r="L173" s="55"/>
    </row>
    <row r="174" spans="1:12" ht="25.5" x14ac:dyDescent="0.25">
      <c r="A174" s="77" t="s">
        <v>116</v>
      </c>
      <c r="B174" s="78" t="s">
        <v>151</v>
      </c>
      <c r="C174" s="79">
        <f>SUM(D174:K174)</f>
        <v>124507</v>
      </c>
      <c r="D174" s="79">
        <f>300000-175493</f>
        <v>124507</v>
      </c>
      <c r="E174" s="90"/>
      <c r="F174" s="79"/>
      <c r="G174" s="80"/>
      <c r="H174" s="79"/>
      <c r="I174" s="80"/>
      <c r="J174" s="79"/>
      <c r="K174" s="80"/>
      <c r="L174" s="53"/>
    </row>
    <row r="175" spans="1:12" x14ac:dyDescent="0.25">
      <c r="A175" s="98"/>
      <c r="B175" s="99" t="s">
        <v>369</v>
      </c>
      <c r="C175" s="100">
        <f>C11+C166</f>
        <v>72859143</v>
      </c>
      <c r="D175" s="100">
        <f>D11+D166</f>
        <v>47595360</v>
      </c>
      <c r="E175" s="101">
        <f>E11+E166</f>
        <v>0</v>
      </c>
      <c r="F175" s="100">
        <f t="shared" ref="F175:L175" si="69">F11+F166</f>
        <v>1916828</v>
      </c>
      <c r="G175" s="101">
        <f t="shared" si="69"/>
        <v>23833</v>
      </c>
      <c r="H175" s="100">
        <f t="shared" si="69"/>
        <v>17495160</v>
      </c>
      <c r="I175" s="101">
        <f t="shared" si="69"/>
        <v>102846</v>
      </c>
      <c r="J175" s="100">
        <f t="shared" si="69"/>
        <v>748906</v>
      </c>
      <c r="K175" s="101">
        <f t="shared" si="69"/>
        <v>0</v>
      </c>
      <c r="L175" s="100">
        <f t="shared" si="69"/>
        <v>4976210</v>
      </c>
    </row>
    <row r="176" spans="1:12" x14ac:dyDescent="0.25">
      <c r="A176" s="25"/>
      <c r="B176" s="22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2" x14ac:dyDescent="0.25">
      <c r="A177" s="25"/>
      <c r="B177" s="22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2" ht="18.75" x14ac:dyDescent="0.3">
      <c r="A178" s="180" t="s">
        <v>126</v>
      </c>
      <c r="B178" s="180"/>
      <c r="C178" s="17"/>
      <c r="D178" s="17"/>
      <c r="E178" s="17"/>
      <c r="F178" s="17"/>
      <c r="G178" s="17"/>
      <c r="H178" s="17"/>
      <c r="I178" s="17"/>
      <c r="J178" s="17"/>
      <c r="K178" s="181" t="s">
        <v>127</v>
      </c>
      <c r="L178" s="181"/>
    </row>
    <row r="179" spans="1:12" x14ac:dyDescent="0.25">
      <c r="A179" s="25"/>
      <c r="B179" s="22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2" x14ac:dyDescent="0.25">
      <c r="A180" s="25"/>
      <c r="B180" s="22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2" x14ac:dyDescent="0.25">
      <c r="A181" s="25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2" x14ac:dyDescent="0.25">
      <c r="A182" s="25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2" x14ac:dyDescent="0.25">
      <c r="A183" s="25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2" x14ac:dyDescent="0.25">
      <c r="A184" s="25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2" x14ac:dyDescent="0.25">
      <c r="A185" s="25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2" x14ac:dyDescent="0.25">
      <c r="A186" s="25"/>
      <c r="B186" s="22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2" x14ac:dyDescent="0.25">
      <c r="A187" s="25"/>
      <c r="B187" s="22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2" x14ac:dyDescent="0.25">
      <c r="A188" s="25"/>
      <c r="B188" s="22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2" x14ac:dyDescent="0.25">
      <c r="A189" s="25"/>
      <c r="B189" s="22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2" x14ac:dyDescent="0.25">
      <c r="A190" s="25"/>
      <c r="B190" s="22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2" x14ac:dyDescent="0.25">
      <c r="A191" s="25"/>
      <c r="B191" s="22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2" x14ac:dyDescent="0.25">
      <c r="A192" s="25"/>
      <c r="B192" s="22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 x14ac:dyDescent="0.25">
      <c r="A193" s="25"/>
      <c r="B193" s="22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 x14ac:dyDescent="0.25">
      <c r="A194" s="25"/>
      <c r="B194" s="22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 x14ac:dyDescent="0.25">
      <c r="A195" s="25"/>
      <c r="B195" s="22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 x14ac:dyDescent="0.25">
      <c r="A196" s="25"/>
      <c r="B196" s="22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 x14ac:dyDescent="0.25">
      <c r="A197" s="25"/>
      <c r="B197" s="22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 x14ac:dyDescent="0.25">
      <c r="A198" s="25"/>
      <c r="B198" s="22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 x14ac:dyDescent="0.25">
      <c r="A199" s="25"/>
      <c r="B199" s="22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 x14ac:dyDescent="0.25">
      <c r="A200" s="25"/>
      <c r="B200" s="22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 x14ac:dyDescent="0.25">
      <c r="A201" s="25"/>
      <c r="B201" s="22"/>
      <c r="C201" s="25"/>
      <c r="D201" s="25"/>
      <c r="E201" s="25"/>
      <c r="F201" s="25"/>
      <c r="G201" s="25"/>
      <c r="H201" s="25"/>
      <c r="I201" s="25"/>
      <c r="J201" s="25"/>
      <c r="K201" s="25"/>
    </row>
    <row r="202" spans="1:11" x14ac:dyDescent="0.25">
      <c r="A202" s="25"/>
      <c r="B202" s="22"/>
      <c r="C202" s="25"/>
      <c r="D202" s="25"/>
      <c r="E202" s="25"/>
      <c r="F202" s="25"/>
      <c r="G202" s="25"/>
      <c r="H202" s="25"/>
      <c r="I202" s="25"/>
      <c r="J202" s="25"/>
      <c r="K202" s="25"/>
    </row>
    <row r="203" spans="1:11" x14ac:dyDescent="0.25">
      <c r="A203" s="25"/>
      <c r="B203" s="22"/>
      <c r="C203" s="25"/>
      <c r="D203" s="25"/>
      <c r="E203" s="25"/>
      <c r="F203" s="25"/>
      <c r="G203" s="25"/>
      <c r="H203" s="25"/>
      <c r="I203" s="25"/>
      <c r="J203" s="25"/>
      <c r="K203" s="25"/>
    </row>
    <row r="204" spans="1:11" x14ac:dyDescent="0.25">
      <c r="A204" s="25"/>
      <c r="B204" s="22"/>
      <c r="C204" s="25"/>
      <c r="D204" s="25"/>
      <c r="E204" s="25"/>
      <c r="F204" s="25"/>
      <c r="G204" s="25"/>
      <c r="H204" s="25"/>
      <c r="I204" s="25"/>
      <c r="J204" s="25"/>
      <c r="K204" s="25"/>
    </row>
    <row r="205" spans="1:11" x14ac:dyDescent="0.25">
      <c r="A205" s="25"/>
      <c r="B205" s="22"/>
      <c r="C205" s="25"/>
      <c r="D205" s="25"/>
      <c r="E205" s="25"/>
      <c r="F205" s="25"/>
      <c r="G205" s="25"/>
      <c r="H205" s="25"/>
      <c r="I205" s="25"/>
      <c r="J205" s="25"/>
      <c r="K205" s="25"/>
    </row>
    <row r="206" spans="1:11" x14ac:dyDescent="0.25">
      <c r="A206" s="25"/>
      <c r="B206" s="22"/>
      <c r="C206" s="25"/>
      <c r="D206" s="25"/>
      <c r="E206" s="25"/>
      <c r="F206" s="25"/>
      <c r="G206" s="25"/>
      <c r="H206" s="25"/>
      <c r="I206" s="25"/>
      <c r="J206" s="25"/>
      <c r="K206" s="25"/>
    </row>
    <row r="207" spans="1:11" x14ac:dyDescent="0.25">
      <c r="A207" s="25"/>
      <c r="B207" s="22"/>
      <c r="C207" s="25"/>
      <c r="D207" s="25"/>
      <c r="E207" s="25"/>
      <c r="F207" s="25"/>
      <c r="G207" s="25"/>
      <c r="H207" s="25"/>
      <c r="I207" s="25"/>
      <c r="J207" s="25"/>
      <c r="K207" s="25"/>
    </row>
    <row r="208" spans="1:11" x14ac:dyDescent="0.25">
      <c r="A208" s="25"/>
      <c r="B208" s="22"/>
      <c r="C208" s="25"/>
      <c r="D208" s="25"/>
      <c r="E208" s="25"/>
      <c r="F208" s="25"/>
      <c r="G208" s="25"/>
      <c r="H208" s="25"/>
      <c r="I208" s="25"/>
      <c r="J208" s="25"/>
      <c r="K208" s="25"/>
    </row>
  </sheetData>
  <mergeCells count="10">
    <mergeCell ref="A178:B178"/>
    <mergeCell ref="K178:L178"/>
    <mergeCell ref="K1:L1"/>
    <mergeCell ref="A5:L5"/>
    <mergeCell ref="A6:L6"/>
    <mergeCell ref="A8:A9"/>
    <mergeCell ref="B8:B9"/>
    <mergeCell ref="C8:C9"/>
    <mergeCell ref="D8:L8"/>
    <mergeCell ref="H2:L2"/>
  </mergeCells>
  <printOptions horizontalCentered="1"/>
  <pageMargins left="0.39370078740157483" right="0.39370078740157483" top="1.1811023622047245" bottom="0.39370078740157483" header="0.19685039370078741" footer="0.19685039370078741"/>
  <pageSetup paperSize="9" scale="9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266"/>
  <sheetViews>
    <sheetView showGridLines="0" zoomScale="90" zoomScaleNormal="90" workbookViewId="0">
      <selection activeCell="H17" sqref="H17"/>
    </sheetView>
  </sheetViews>
  <sheetFormatPr defaultRowHeight="12.75" x14ac:dyDescent="0.2"/>
  <cols>
    <col min="1" max="1" width="2.7109375" style="166" customWidth="1"/>
    <col min="2" max="2" width="63.140625" style="166" customWidth="1"/>
    <col min="3" max="3" width="13.7109375" style="167" customWidth="1"/>
    <col min="4" max="4" width="6.85546875" style="167" customWidth="1"/>
    <col min="5" max="5" width="5.42578125" style="167" customWidth="1"/>
    <col min="6" max="6" width="13.7109375" style="167" customWidth="1"/>
    <col min="7" max="16384" width="9.140625" style="166"/>
  </cols>
  <sheetData>
    <row r="1" spans="1:6" ht="15.75" x14ac:dyDescent="0.25">
      <c r="A1" s="131"/>
      <c r="B1" s="131" t="s">
        <v>0</v>
      </c>
      <c r="C1" s="132"/>
      <c r="D1" s="132"/>
      <c r="E1" s="132"/>
      <c r="F1" s="133" t="s">
        <v>673</v>
      </c>
    </row>
    <row r="2" spans="1:6" ht="15.75" x14ac:dyDescent="0.25">
      <c r="A2" s="131"/>
      <c r="B2" s="131"/>
      <c r="C2" s="132"/>
      <c r="D2" s="132"/>
      <c r="E2" s="132"/>
      <c r="F2" s="134" t="s">
        <v>390</v>
      </c>
    </row>
    <row r="3" spans="1:6" ht="15.75" x14ac:dyDescent="0.25">
      <c r="A3" s="131"/>
      <c r="B3" s="131"/>
      <c r="C3" s="132"/>
      <c r="D3" s="132"/>
      <c r="E3" s="132"/>
      <c r="F3" s="134" t="s">
        <v>678</v>
      </c>
    </row>
    <row r="4" spans="1:6" ht="15.75" x14ac:dyDescent="0.25">
      <c r="A4" s="131"/>
      <c r="B4" s="131"/>
      <c r="C4" s="132"/>
      <c r="D4" s="132"/>
      <c r="E4" s="132"/>
      <c r="F4" s="134"/>
    </row>
    <row r="5" spans="1:6" ht="40.5" customHeight="1" x14ac:dyDescent="0.25">
      <c r="A5" s="131"/>
      <c r="B5" s="196" t="s">
        <v>547</v>
      </c>
      <c r="C5" s="197"/>
      <c r="D5" s="197"/>
      <c r="E5" s="197"/>
      <c r="F5" s="197"/>
    </row>
    <row r="6" spans="1:6" ht="45" customHeight="1" x14ac:dyDescent="0.2">
      <c r="A6" s="198" t="s">
        <v>383</v>
      </c>
      <c r="B6" s="199"/>
      <c r="C6" s="154" t="s">
        <v>444</v>
      </c>
      <c r="D6" s="200" t="s">
        <v>672</v>
      </c>
      <c r="E6" s="199"/>
      <c r="F6" s="154" t="s">
        <v>675</v>
      </c>
    </row>
    <row r="7" spans="1:6" ht="14.25" customHeight="1" x14ac:dyDescent="0.2"/>
    <row r="8" spans="1:6" ht="15.75" customHeight="1" x14ac:dyDescent="0.2">
      <c r="A8" s="183" t="s">
        <v>445</v>
      </c>
      <c r="B8" s="189"/>
      <c r="C8" s="189"/>
      <c r="D8" s="189"/>
      <c r="E8" s="189"/>
      <c r="F8" s="189"/>
    </row>
    <row r="9" spans="1:6" ht="15.75" customHeight="1" x14ac:dyDescent="0.2">
      <c r="A9" s="183" t="s">
        <v>446</v>
      </c>
      <c r="B9" s="184"/>
      <c r="C9" s="157">
        <v>5901745</v>
      </c>
      <c r="D9" s="185">
        <v>14183</v>
      </c>
      <c r="E9" s="191"/>
      <c r="F9" s="157">
        <v>5915928</v>
      </c>
    </row>
    <row r="10" spans="1:6" ht="15.75" customHeight="1" x14ac:dyDescent="0.2">
      <c r="A10" s="188" t="s">
        <v>447</v>
      </c>
      <c r="B10" s="189"/>
      <c r="C10" s="156">
        <v>3075633</v>
      </c>
      <c r="D10" s="190">
        <v>0</v>
      </c>
      <c r="E10" s="190"/>
      <c r="F10" s="156">
        <v>3075633</v>
      </c>
    </row>
    <row r="11" spans="1:6" ht="15.75" customHeight="1" x14ac:dyDescent="0.2">
      <c r="A11" s="188" t="s">
        <v>448</v>
      </c>
      <c r="B11" s="189"/>
      <c r="C11" s="156">
        <v>2386487</v>
      </c>
      <c r="D11" s="190">
        <v>0</v>
      </c>
      <c r="E11" s="190"/>
      <c r="F11" s="156">
        <v>2386487</v>
      </c>
    </row>
    <row r="12" spans="1:6" ht="15.75" customHeight="1" x14ac:dyDescent="0.2">
      <c r="A12" s="188" t="s">
        <v>449</v>
      </c>
      <c r="B12" s="189"/>
      <c r="C12" s="156">
        <v>689146</v>
      </c>
      <c r="D12" s="190">
        <v>0</v>
      </c>
      <c r="E12" s="190"/>
      <c r="F12" s="156">
        <v>689146</v>
      </c>
    </row>
    <row r="13" spans="1:6" ht="15.75" customHeight="1" x14ac:dyDescent="0.2">
      <c r="A13" s="188" t="s">
        <v>450</v>
      </c>
      <c r="B13" s="189"/>
      <c r="C13" s="156">
        <v>1366018</v>
      </c>
      <c r="D13" s="190">
        <v>-55817</v>
      </c>
      <c r="E13" s="187"/>
      <c r="F13" s="156">
        <v>1310201</v>
      </c>
    </row>
    <row r="14" spans="1:6" ht="15.75" customHeight="1" x14ac:dyDescent="0.2">
      <c r="A14" s="188" t="s">
        <v>548</v>
      </c>
      <c r="B14" s="189"/>
      <c r="C14" s="156">
        <v>29703</v>
      </c>
      <c r="D14" s="190">
        <v>0</v>
      </c>
      <c r="E14" s="190"/>
      <c r="F14" s="156">
        <v>29703</v>
      </c>
    </row>
    <row r="15" spans="1:6" ht="15.75" customHeight="1" x14ac:dyDescent="0.2">
      <c r="A15" s="188" t="s">
        <v>451</v>
      </c>
      <c r="B15" s="189"/>
      <c r="C15" s="156">
        <v>1084858</v>
      </c>
      <c r="D15" s="190">
        <v>-55817</v>
      </c>
      <c r="E15" s="187"/>
      <c r="F15" s="156">
        <v>1029041</v>
      </c>
    </row>
    <row r="16" spans="1:6" ht="15.75" customHeight="1" x14ac:dyDescent="0.2">
      <c r="A16" s="188" t="s">
        <v>549</v>
      </c>
      <c r="B16" s="189"/>
      <c r="C16" s="156">
        <v>100000</v>
      </c>
      <c r="D16" s="190">
        <v>-24357</v>
      </c>
      <c r="E16" s="187"/>
      <c r="F16" s="156">
        <v>75643</v>
      </c>
    </row>
    <row r="17" spans="1:6" ht="31.5" customHeight="1" x14ac:dyDescent="0.2">
      <c r="A17" s="188" t="s">
        <v>452</v>
      </c>
      <c r="B17" s="189"/>
      <c r="C17" s="156">
        <v>237157</v>
      </c>
      <c r="D17" s="190">
        <v>0</v>
      </c>
      <c r="E17" s="190"/>
      <c r="F17" s="156">
        <v>237157</v>
      </c>
    </row>
    <row r="18" spans="1:6" ht="15.75" customHeight="1" x14ac:dyDescent="0.2">
      <c r="A18" s="188" t="s">
        <v>550</v>
      </c>
      <c r="B18" s="189"/>
      <c r="C18" s="156">
        <v>14300</v>
      </c>
      <c r="D18" s="190">
        <v>0</v>
      </c>
      <c r="E18" s="190"/>
      <c r="F18" s="156">
        <v>14300</v>
      </c>
    </row>
    <row r="19" spans="1:6" ht="15.75" customHeight="1" x14ac:dyDescent="0.2">
      <c r="A19" s="188" t="s">
        <v>551</v>
      </c>
      <c r="B19" s="189"/>
      <c r="C19" s="156">
        <v>50000</v>
      </c>
      <c r="D19" s="190">
        <v>0</v>
      </c>
      <c r="E19" s="190"/>
      <c r="F19" s="156">
        <v>50000</v>
      </c>
    </row>
    <row r="20" spans="1:6" ht="15.75" customHeight="1" x14ac:dyDescent="0.2">
      <c r="A20" s="188" t="s">
        <v>552</v>
      </c>
      <c r="B20" s="189"/>
      <c r="C20" s="156">
        <v>50000</v>
      </c>
      <c r="D20" s="190">
        <v>0</v>
      </c>
      <c r="E20" s="190"/>
      <c r="F20" s="156">
        <v>50000</v>
      </c>
    </row>
    <row r="21" spans="1:6" ht="15.75" customHeight="1" x14ac:dyDescent="0.2">
      <c r="A21" s="188" t="s">
        <v>453</v>
      </c>
      <c r="B21" s="189"/>
      <c r="C21" s="156">
        <v>201076</v>
      </c>
      <c r="D21" s="190">
        <v>0</v>
      </c>
      <c r="E21" s="190"/>
      <c r="F21" s="156">
        <v>201076</v>
      </c>
    </row>
    <row r="22" spans="1:6" ht="15.75" customHeight="1" x14ac:dyDescent="0.2">
      <c r="A22" s="188" t="s">
        <v>553</v>
      </c>
      <c r="B22" s="189"/>
      <c r="C22" s="156">
        <v>86172</v>
      </c>
      <c r="D22" s="190">
        <v>0</v>
      </c>
      <c r="E22" s="190"/>
      <c r="F22" s="156">
        <v>86172</v>
      </c>
    </row>
    <row r="23" spans="1:6" ht="15.75" customHeight="1" x14ac:dyDescent="0.2">
      <c r="A23" s="188" t="s">
        <v>454</v>
      </c>
      <c r="B23" s="189"/>
      <c r="C23" s="156">
        <v>114904</v>
      </c>
      <c r="D23" s="190">
        <v>0</v>
      </c>
      <c r="E23" s="190"/>
      <c r="F23" s="156">
        <v>114904</v>
      </c>
    </row>
    <row r="24" spans="1:6" ht="31.5" customHeight="1" x14ac:dyDescent="0.2">
      <c r="A24" s="188" t="s">
        <v>554</v>
      </c>
      <c r="B24" s="189"/>
      <c r="C24" s="156">
        <v>1209018</v>
      </c>
      <c r="D24" s="190">
        <v>70000</v>
      </c>
      <c r="E24" s="187"/>
      <c r="F24" s="156">
        <v>1279018</v>
      </c>
    </row>
    <row r="25" spans="1:6" ht="15.75" customHeight="1" x14ac:dyDescent="0.2">
      <c r="A25" s="188" t="s">
        <v>555</v>
      </c>
      <c r="B25" s="189"/>
      <c r="C25" s="156">
        <v>991828</v>
      </c>
      <c r="D25" s="190">
        <v>70000</v>
      </c>
      <c r="E25" s="187"/>
      <c r="F25" s="156">
        <v>1061828</v>
      </c>
    </row>
    <row r="26" spans="1:6" ht="15.75" customHeight="1" x14ac:dyDescent="0.2">
      <c r="A26" s="188" t="s">
        <v>556</v>
      </c>
      <c r="B26" s="189"/>
      <c r="C26" s="156">
        <v>217190</v>
      </c>
      <c r="D26" s="190">
        <v>0</v>
      </c>
      <c r="E26" s="190"/>
      <c r="F26" s="156">
        <v>217190</v>
      </c>
    </row>
    <row r="27" spans="1:6" ht="14.25" customHeight="1" x14ac:dyDescent="0.25">
      <c r="A27" s="131"/>
      <c r="B27" s="131"/>
      <c r="C27" s="132"/>
      <c r="D27" s="132"/>
      <c r="E27" s="132"/>
      <c r="F27" s="132"/>
    </row>
    <row r="28" spans="1:6" ht="15.75" customHeight="1" x14ac:dyDescent="0.2">
      <c r="A28" s="183" t="s">
        <v>455</v>
      </c>
      <c r="B28" s="189"/>
      <c r="C28" s="189"/>
      <c r="D28" s="189"/>
      <c r="E28" s="189"/>
      <c r="F28" s="189"/>
    </row>
    <row r="29" spans="1:6" ht="15.75" customHeight="1" x14ac:dyDescent="0.2">
      <c r="A29" s="183" t="s">
        <v>446</v>
      </c>
      <c r="B29" s="184"/>
      <c r="C29" s="157">
        <v>3475472</v>
      </c>
      <c r="D29" s="185">
        <v>0</v>
      </c>
      <c r="E29" s="185"/>
      <c r="F29" s="157">
        <v>3475472</v>
      </c>
    </row>
    <row r="30" spans="1:6" ht="15.75" customHeight="1" x14ac:dyDescent="0.2">
      <c r="A30" s="188" t="s">
        <v>447</v>
      </c>
      <c r="B30" s="189"/>
      <c r="C30" s="156">
        <v>2875836</v>
      </c>
      <c r="D30" s="190">
        <v>0</v>
      </c>
      <c r="E30" s="190"/>
      <c r="F30" s="156">
        <v>2875836</v>
      </c>
    </row>
    <row r="31" spans="1:6" ht="15.75" customHeight="1" x14ac:dyDescent="0.2">
      <c r="A31" s="188" t="s">
        <v>448</v>
      </c>
      <c r="B31" s="189"/>
      <c r="C31" s="156">
        <v>2232331</v>
      </c>
      <c r="D31" s="190">
        <v>0</v>
      </c>
      <c r="E31" s="190"/>
      <c r="F31" s="156">
        <v>2232331</v>
      </c>
    </row>
    <row r="32" spans="1:6" ht="15.75" customHeight="1" x14ac:dyDescent="0.2">
      <c r="A32" s="188" t="s">
        <v>449</v>
      </c>
      <c r="B32" s="189"/>
      <c r="C32" s="156">
        <v>643505</v>
      </c>
      <c r="D32" s="190">
        <v>0</v>
      </c>
      <c r="E32" s="190"/>
      <c r="F32" s="156">
        <v>643505</v>
      </c>
    </row>
    <row r="33" spans="1:6" ht="15.75" customHeight="1" x14ac:dyDescent="0.2">
      <c r="A33" s="188" t="s">
        <v>450</v>
      </c>
      <c r="B33" s="189"/>
      <c r="C33" s="156">
        <v>586636</v>
      </c>
      <c r="D33" s="190">
        <v>0</v>
      </c>
      <c r="E33" s="190"/>
      <c r="F33" s="156">
        <v>586636</v>
      </c>
    </row>
    <row r="34" spans="1:6" ht="15.75" customHeight="1" x14ac:dyDescent="0.2">
      <c r="A34" s="188" t="s">
        <v>548</v>
      </c>
      <c r="B34" s="189"/>
      <c r="C34" s="156">
        <v>24500</v>
      </c>
      <c r="D34" s="190">
        <v>0</v>
      </c>
      <c r="E34" s="190"/>
      <c r="F34" s="156">
        <v>24500</v>
      </c>
    </row>
    <row r="35" spans="1:6" ht="15.75" customHeight="1" x14ac:dyDescent="0.2">
      <c r="A35" s="188" t="s">
        <v>451</v>
      </c>
      <c r="B35" s="189"/>
      <c r="C35" s="156">
        <v>359197</v>
      </c>
      <c r="D35" s="190">
        <v>0</v>
      </c>
      <c r="E35" s="190"/>
      <c r="F35" s="156">
        <v>359197</v>
      </c>
    </row>
    <row r="36" spans="1:6" ht="31.5" customHeight="1" x14ac:dyDescent="0.2">
      <c r="A36" s="188" t="s">
        <v>452</v>
      </c>
      <c r="B36" s="189"/>
      <c r="C36" s="156">
        <v>188639</v>
      </c>
      <c r="D36" s="190">
        <v>0</v>
      </c>
      <c r="E36" s="190"/>
      <c r="F36" s="156">
        <v>188639</v>
      </c>
    </row>
    <row r="37" spans="1:6" ht="15.75" customHeight="1" x14ac:dyDescent="0.2">
      <c r="A37" s="188" t="s">
        <v>550</v>
      </c>
      <c r="B37" s="189"/>
      <c r="C37" s="156">
        <v>14300</v>
      </c>
      <c r="D37" s="190">
        <v>0</v>
      </c>
      <c r="E37" s="190"/>
      <c r="F37" s="156">
        <v>14300</v>
      </c>
    </row>
    <row r="38" spans="1:6" ht="15.75" customHeight="1" x14ac:dyDescent="0.2">
      <c r="A38" s="188" t="s">
        <v>453</v>
      </c>
      <c r="B38" s="189"/>
      <c r="C38" s="156">
        <v>13000</v>
      </c>
      <c r="D38" s="190">
        <v>0</v>
      </c>
      <c r="E38" s="190"/>
      <c r="F38" s="156">
        <v>13000</v>
      </c>
    </row>
    <row r="39" spans="1:6" ht="15.75" customHeight="1" x14ac:dyDescent="0.2">
      <c r="A39" s="188" t="s">
        <v>454</v>
      </c>
      <c r="B39" s="189"/>
      <c r="C39" s="156">
        <v>13000</v>
      </c>
      <c r="D39" s="190">
        <v>0</v>
      </c>
      <c r="E39" s="190"/>
      <c r="F39" s="156">
        <v>13000</v>
      </c>
    </row>
    <row r="40" spans="1:6" ht="14.25" customHeight="1" x14ac:dyDescent="0.25">
      <c r="A40" s="131"/>
      <c r="B40" s="131"/>
      <c r="C40" s="132"/>
      <c r="D40" s="132"/>
      <c r="E40" s="132"/>
      <c r="F40" s="132"/>
    </row>
    <row r="41" spans="1:6" ht="15.75" customHeight="1" x14ac:dyDescent="0.2">
      <c r="A41" s="183" t="s">
        <v>557</v>
      </c>
      <c r="B41" s="189"/>
      <c r="C41" s="189"/>
      <c r="D41" s="189"/>
      <c r="E41" s="189"/>
      <c r="F41" s="189"/>
    </row>
    <row r="42" spans="1:6" ht="15.75" customHeight="1" x14ac:dyDescent="0.2">
      <c r="A42" s="183" t="s">
        <v>446</v>
      </c>
      <c r="B42" s="184"/>
      <c r="C42" s="157">
        <v>246956</v>
      </c>
      <c r="D42" s="185">
        <v>0</v>
      </c>
      <c r="E42" s="185"/>
      <c r="F42" s="157">
        <v>246956</v>
      </c>
    </row>
    <row r="43" spans="1:6" ht="15.75" customHeight="1" x14ac:dyDescent="0.2">
      <c r="A43" s="188" t="s">
        <v>447</v>
      </c>
      <c r="B43" s="189"/>
      <c r="C43" s="156">
        <v>8900</v>
      </c>
      <c r="D43" s="190">
        <v>0</v>
      </c>
      <c r="E43" s="190"/>
      <c r="F43" s="156">
        <v>8900</v>
      </c>
    </row>
    <row r="44" spans="1:6" ht="15.75" customHeight="1" x14ac:dyDescent="0.2">
      <c r="A44" s="188" t="s">
        <v>448</v>
      </c>
      <c r="B44" s="189"/>
      <c r="C44" s="156">
        <v>7000</v>
      </c>
      <c r="D44" s="190">
        <v>0</v>
      </c>
      <c r="E44" s="190"/>
      <c r="F44" s="156">
        <v>7000</v>
      </c>
    </row>
    <row r="45" spans="1:6" ht="15.75" customHeight="1" x14ac:dyDescent="0.2">
      <c r="A45" s="188" t="s">
        <v>449</v>
      </c>
      <c r="B45" s="189"/>
      <c r="C45" s="156">
        <v>1900</v>
      </c>
      <c r="D45" s="190">
        <v>0</v>
      </c>
      <c r="E45" s="190"/>
      <c r="F45" s="156">
        <v>1900</v>
      </c>
    </row>
    <row r="46" spans="1:6" ht="15.75" customHeight="1" x14ac:dyDescent="0.2">
      <c r="A46" s="188" t="s">
        <v>450</v>
      </c>
      <c r="B46" s="189"/>
      <c r="C46" s="156">
        <v>20866</v>
      </c>
      <c r="D46" s="190">
        <v>0</v>
      </c>
      <c r="E46" s="190"/>
      <c r="F46" s="156">
        <v>20866</v>
      </c>
    </row>
    <row r="47" spans="1:6" ht="15.75" customHeight="1" x14ac:dyDescent="0.2">
      <c r="A47" s="188" t="s">
        <v>548</v>
      </c>
      <c r="B47" s="189"/>
      <c r="C47" s="156">
        <v>5000</v>
      </c>
      <c r="D47" s="190">
        <v>0</v>
      </c>
      <c r="E47" s="190"/>
      <c r="F47" s="156">
        <v>5000</v>
      </c>
    </row>
    <row r="48" spans="1:6" ht="15.75" customHeight="1" x14ac:dyDescent="0.2">
      <c r="A48" s="188" t="s">
        <v>451</v>
      </c>
      <c r="B48" s="189"/>
      <c r="C48" s="156">
        <v>15866</v>
      </c>
      <c r="D48" s="190">
        <v>0</v>
      </c>
      <c r="E48" s="190"/>
      <c r="F48" s="156">
        <v>15866</v>
      </c>
    </row>
    <row r="49" spans="1:6" ht="31.5" customHeight="1" x14ac:dyDescent="0.2">
      <c r="A49" s="188" t="s">
        <v>554</v>
      </c>
      <c r="B49" s="189"/>
      <c r="C49" s="156">
        <v>217190</v>
      </c>
      <c r="D49" s="190">
        <v>0</v>
      </c>
      <c r="E49" s="190"/>
      <c r="F49" s="156">
        <v>217190</v>
      </c>
    </row>
    <row r="50" spans="1:6" ht="15.75" customHeight="1" x14ac:dyDescent="0.2">
      <c r="A50" s="188" t="s">
        <v>556</v>
      </c>
      <c r="B50" s="189"/>
      <c r="C50" s="156">
        <v>217190</v>
      </c>
      <c r="D50" s="190">
        <v>0</v>
      </c>
      <c r="E50" s="190"/>
      <c r="F50" s="156">
        <v>217190</v>
      </c>
    </row>
    <row r="51" spans="1:6" ht="14.25" customHeight="1" x14ac:dyDescent="0.25">
      <c r="A51" s="131"/>
      <c r="B51" s="131"/>
      <c r="C51" s="132"/>
      <c r="D51" s="132"/>
      <c r="E51" s="132"/>
      <c r="F51" s="132"/>
    </row>
    <row r="52" spans="1:6" ht="31.5" customHeight="1" x14ac:dyDescent="0.2">
      <c r="A52" s="183" t="s">
        <v>558</v>
      </c>
      <c r="B52" s="189"/>
      <c r="C52" s="189"/>
      <c r="D52" s="189"/>
      <c r="E52" s="189"/>
      <c r="F52" s="189"/>
    </row>
    <row r="53" spans="1:6" ht="15.75" customHeight="1" x14ac:dyDescent="0.2">
      <c r="A53" s="183" t="s">
        <v>446</v>
      </c>
      <c r="B53" s="184"/>
      <c r="C53" s="157">
        <v>14964</v>
      </c>
      <c r="D53" s="185">
        <v>0</v>
      </c>
      <c r="E53" s="185"/>
      <c r="F53" s="157">
        <v>14964</v>
      </c>
    </row>
    <row r="54" spans="1:6" ht="15.75" customHeight="1" x14ac:dyDescent="0.2">
      <c r="A54" s="188" t="s">
        <v>447</v>
      </c>
      <c r="B54" s="189"/>
      <c r="C54" s="156">
        <v>7670</v>
      </c>
      <c r="D54" s="190">
        <v>0</v>
      </c>
      <c r="E54" s="190"/>
      <c r="F54" s="156">
        <v>7670</v>
      </c>
    </row>
    <row r="55" spans="1:6" ht="15.75" customHeight="1" x14ac:dyDescent="0.2">
      <c r="A55" s="188" t="s">
        <v>448</v>
      </c>
      <c r="B55" s="189"/>
      <c r="C55" s="156">
        <v>5700</v>
      </c>
      <c r="D55" s="190">
        <v>0</v>
      </c>
      <c r="E55" s="190"/>
      <c r="F55" s="156">
        <v>5700</v>
      </c>
    </row>
    <row r="56" spans="1:6" ht="15.75" customHeight="1" x14ac:dyDescent="0.2">
      <c r="A56" s="188" t="s">
        <v>449</v>
      </c>
      <c r="B56" s="189"/>
      <c r="C56" s="156">
        <v>1970</v>
      </c>
      <c r="D56" s="190">
        <v>0</v>
      </c>
      <c r="E56" s="190"/>
      <c r="F56" s="156">
        <v>1970</v>
      </c>
    </row>
    <row r="57" spans="1:6" ht="15.75" customHeight="1" x14ac:dyDescent="0.2">
      <c r="A57" s="188" t="s">
        <v>450</v>
      </c>
      <c r="B57" s="189"/>
      <c r="C57" s="156">
        <v>6490</v>
      </c>
      <c r="D57" s="190">
        <v>0</v>
      </c>
      <c r="E57" s="190"/>
      <c r="F57" s="156">
        <v>6490</v>
      </c>
    </row>
    <row r="58" spans="1:6" ht="15.75" customHeight="1" x14ac:dyDescent="0.2">
      <c r="A58" s="188" t="s">
        <v>451</v>
      </c>
      <c r="B58" s="189"/>
      <c r="C58" s="156">
        <v>3563</v>
      </c>
      <c r="D58" s="190">
        <v>0</v>
      </c>
      <c r="E58" s="190"/>
      <c r="F58" s="156">
        <v>3563</v>
      </c>
    </row>
    <row r="59" spans="1:6" ht="31.5" customHeight="1" x14ac:dyDescent="0.2">
      <c r="A59" s="188" t="s">
        <v>452</v>
      </c>
      <c r="B59" s="189"/>
      <c r="C59" s="156">
        <v>2927</v>
      </c>
      <c r="D59" s="190">
        <v>0</v>
      </c>
      <c r="E59" s="190"/>
      <c r="F59" s="156">
        <v>2927</v>
      </c>
    </row>
    <row r="60" spans="1:6" ht="15.75" customHeight="1" x14ac:dyDescent="0.2">
      <c r="A60" s="188" t="s">
        <v>453</v>
      </c>
      <c r="B60" s="189"/>
      <c r="C60" s="156">
        <v>804</v>
      </c>
      <c r="D60" s="190">
        <v>0</v>
      </c>
      <c r="E60" s="190"/>
      <c r="F60" s="156">
        <v>804</v>
      </c>
    </row>
    <row r="61" spans="1:6" ht="15.75" customHeight="1" x14ac:dyDescent="0.2">
      <c r="A61" s="188" t="s">
        <v>454</v>
      </c>
      <c r="B61" s="189"/>
      <c r="C61" s="156">
        <v>804</v>
      </c>
      <c r="D61" s="190">
        <v>0</v>
      </c>
      <c r="E61" s="190"/>
      <c r="F61" s="156">
        <v>804</v>
      </c>
    </row>
    <row r="62" spans="1:6" ht="14.25" customHeight="1" x14ac:dyDescent="0.25">
      <c r="A62" s="131"/>
      <c r="B62" s="131"/>
      <c r="C62" s="132"/>
      <c r="D62" s="132"/>
      <c r="E62" s="132"/>
      <c r="F62" s="132"/>
    </row>
    <row r="63" spans="1:6" ht="15.75" customHeight="1" x14ac:dyDescent="0.2">
      <c r="A63" s="183" t="s">
        <v>559</v>
      </c>
      <c r="B63" s="189"/>
      <c r="C63" s="189"/>
      <c r="D63" s="189"/>
      <c r="E63" s="189"/>
      <c r="F63" s="189"/>
    </row>
    <row r="64" spans="1:6" ht="15.75" customHeight="1" x14ac:dyDescent="0.2">
      <c r="A64" s="183" t="s">
        <v>446</v>
      </c>
      <c r="B64" s="184"/>
      <c r="C64" s="157">
        <v>50855</v>
      </c>
      <c r="D64" s="185">
        <v>0</v>
      </c>
      <c r="E64" s="185"/>
      <c r="F64" s="157">
        <v>50855</v>
      </c>
    </row>
    <row r="65" spans="1:6" ht="15.75" customHeight="1" x14ac:dyDescent="0.2">
      <c r="A65" s="188" t="s">
        <v>450</v>
      </c>
      <c r="B65" s="189"/>
      <c r="C65" s="156">
        <v>50855</v>
      </c>
      <c r="D65" s="190">
        <v>0</v>
      </c>
      <c r="E65" s="190"/>
      <c r="F65" s="156">
        <v>50855</v>
      </c>
    </row>
    <row r="66" spans="1:6" ht="15.75" customHeight="1" x14ac:dyDescent="0.2">
      <c r="A66" s="188" t="s">
        <v>451</v>
      </c>
      <c r="B66" s="189"/>
      <c r="C66" s="156">
        <v>50855</v>
      </c>
      <c r="D66" s="190">
        <v>0</v>
      </c>
      <c r="E66" s="190"/>
      <c r="F66" s="156">
        <v>50855</v>
      </c>
    </row>
    <row r="67" spans="1:6" ht="14.25" customHeight="1" x14ac:dyDescent="0.25">
      <c r="A67" s="131"/>
      <c r="B67" s="131"/>
      <c r="C67" s="132"/>
      <c r="D67" s="132"/>
      <c r="E67" s="132"/>
      <c r="F67" s="132"/>
    </row>
    <row r="68" spans="1:6" ht="15.75" customHeight="1" x14ac:dyDescent="0.2">
      <c r="A68" s="183" t="s">
        <v>560</v>
      </c>
      <c r="B68" s="189"/>
      <c r="C68" s="189"/>
      <c r="D68" s="189"/>
      <c r="E68" s="189"/>
      <c r="F68" s="189"/>
    </row>
    <row r="69" spans="1:6" ht="15.75" customHeight="1" x14ac:dyDescent="0.2">
      <c r="A69" s="183" t="s">
        <v>446</v>
      </c>
      <c r="B69" s="184"/>
      <c r="C69" s="157">
        <v>196332</v>
      </c>
      <c r="D69" s="185">
        <v>0</v>
      </c>
      <c r="E69" s="185"/>
      <c r="F69" s="157">
        <v>196332</v>
      </c>
    </row>
    <row r="70" spans="1:6" ht="15.75" customHeight="1" x14ac:dyDescent="0.2">
      <c r="A70" s="188" t="s">
        <v>447</v>
      </c>
      <c r="B70" s="189"/>
      <c r="C70" s="156">
        <v>183227</v>
      </c>
      <c r="D70" s="190">
        <v>0</v>
      </c>
      <c r="E70" s="190"/>
      <c r="F70" s="156">
        <v>183227</v>
      </c>
    </row>
    <row r="71" spans="1:6" ht="15.75" customHeight="1" x14ac:dyDescent="0.2">
      <c r="A71" s="188" t="s">
        <v>448</v>
      </c>
      <c r="B71" s="189"/>
      <c r="C71" s="156">
        <v>141456</v>
      </c>
      <c r="D71" s="190">
        <v>0</v>
      </c>
      <c r="E71" s="190"/>
      <c r="F71" s="156">
        <v>141456</v>
      </c>
    </row>
    <row r="72" spans="1:6" ht="15.75" customHeight="1" x14ac:dyDescent="0.2">
      <c r="A72" s="188" t="s">
        <v>449</v>
      </c>
      <c r="B72" s="189"/>
      <c r="C72" s="156">
        <v>41771</v>
      </c>
      <c r="D72" s="190">
        <v>0</v>
      </c>
      <c r="E72" s="190"/>
      <c r="F72" s="156">
        <v>41771</v>
      </c>
    </row>
    <row r="73" spans="1:6" ht="15.75" customHeight="1" x14ac:dyDescent="0.2">
      <c r="A73" s="188" t="s">
        <v>450</v>
      </c>
      <c r="B73" s="189"/>
      <c r="C73" s="156">
        <v>10705</v>
      </c>
      <c r="D73" s="190">
        <v>0</v>
      </c>
      <c r="E73" s="190"/>
      <c r="F73" s="156">
        <v>10705</v>
      </c>
    </row>
    <row r="74" spans="1:6" ht="15.75" customHeight="1" x14ac:dyDescent="0.2">
      <c r="A74" s="188" t="s">
        <v>451</v>
      </c>
      <c r="B74" s="189"/>
      <c r="C74" s="156">
        <v>5814</v>
      </c>
      <c r="D74" s="190">
        <v>0</v>
      </c>
      <c r="E74" s="190"/>
      <c r="F74" s="156">
        <v>5814</v>
      </c>
    </row>
    <row r="75" spans="1:6" ht="31.5" customHeight="1" x14ac:dyDescent="0.2">
      <c r="A75" s="188" t="s">
        <v>452</v>
      </c>
      <c r="B75" s="189"/>
      <c r="C75" s="156">
        <v>4891</v>
      </c>
      <c r="D75" s="190">
        <v>0</v>
      </c>
      <c r="E75" s="190"/>
      <c r="F75" s="156">
        <v>4891</v>
      </c>
    </row>
    <row r="76" spans="1:6" ht="15.75" customHeight="1" x14ac:dyDescent="0.2">
      <c r="A76" s="188" t="s">
        <v>453</v>
      </c>
      <c r="B76" s="189"/>
      <c r="C76" s="156">
        <v>2400</v>
      </c>
      <c r="D76" s="190">
        <v>0</v>
      </c>
      <c r="E76" s="190"/>
      <c r="F76" s="156">
        <v>2400</v>
      </c>
    </row>
    <row r="77" spans="1:6" ht="15.75" customHeight="1" x14ac:dyDescent="0.2">
      <c r="A77" s="188" t="s">
        <v>454</v>
      </c>
      <c r="B77" s="189"/>
      <c r="C77" s="156">
        <v>2400</v>
      </c>
      <c r="D77" s="190">
        <v>0</v>
      </c>
      <c r="E77" s="190"/>
      <c r="F77" s="156">
        <v>2400</v>
      </c>
    </row>
    <row r="78" spans="1:6" ht="14.25" customHeight="1" x14ac:dyDescent="0.25">
      <c r="A78" s="131"/>
      <c r="B78" s="131"/>
      <c r="C78" s="132"/>
      <c r="D78" s="132"/>
      <c r="E78" s="132"/>
      <c r="F78" s="132"/>
    </row>
    <row r="79" spans="1:6" ht="15.75" customHeight="1" x14ac:dyDescent="0.2">
      <c r="A79" s="183" t="s">
        <v>561</v>
      </c>
      <c r="B79" s="189"/>
      <c r="C79" s="189"/>
      <c r="D79" s="189"/>
      <c r="E79" s="189"/>
      <c r="F79" s="189"/>
    </row>
    <row r="80" spans="1:6" ht="15.75" customHeight="1" x14ac:dyDescent="0.2">
      <c r="A80" s="183" t="s">
        <v>446</v>
      </c>
      <c r="B80" s="184"/>
      <c r="C80" s="157">
        <v>75110</v>
      </c>
      <c r="D80" s="185">
        <v>0</v>
      </c>
      <c r="E80" s="185"/>
      <c r="F80" s="157">
        <v>75110</v>
      </c>
    </row>
    <row r="81" spans="1:6" ht="15.75" customHeight="1" x14ac:dyDescent="0.2">
      <c r="A81" s="188" t="s">
        <v>450</v>
      </c>
      <c r="B81" s="189"/>
      <c r="C81" s="156">
        <v>75110</v>
      </c>
      <c r="D81" s="190">
        <v>0</v>
      </c>
      <c r="E81" s="190"/>
      <c r="F81" s="156">
        <v>75110</v>
      </c>
    </row>
    <row r="82" spans="1:6" ht="15.75" customHeight="1" x14ac:dyDescent="0.2">
      <c r="A82" s="188" t="s">
        <v>451</v>
      </c>
      <c r="B82" s="189"/>
      <c r="C82" s="156">
        <v>75110</v>
      </c>
      <c r="D82" s="190">
        <v>0</v>
      </c>
      <c r="E82" s="190"/>
      <c r="F82" s="156">
        <v>75110</v>
      </c>
    </row>
    <row r="83" spans="1:6" ht="14.25" customHeight="1" x14ac:dyDescent="0.25">
      <c r="A83" s="131"/>
      <c r="B83" s="131"/>
      <c r="C83" s="132"/>
      <c r="D83" s="132"/>
      <c r="E83" s="132"/>
      <c r="F83" s="132"/>
    </row>
    <row r="84" spans="1:6" ht="15.75" customHeight="1" x14ac:dyDescent="0.2">
      <c r="A84" s="183" t="s">
        <v>562</v>
      </c>
      <c r="B84" s="189"/>
      <c r="C84" s="189"/>
      <c r="D84" s="189"/>
      <c r="E84" s="189"/>
      <c r="F84" s="189"/>
    </row>
    <row r="85" spans="1:6" ht="15.75" customHeight="1" x14ac:dyDescent="0.2">
      <c r="A85" s="183" t="s">
        <v>446</v>
      </c>
      <c r="B85" s="184"/>
      <c r="C85" s="157">
        <v>428694</v>
      </c>
      <c r="D85" s="185">
        <v>0</v>
      </c>
      <c r="E85" s="185"/>
      <c r="F85" s="157">
        <v>428694</v>
      </c>
    </row>
    <row r="86" spans="1:6" ht="15.75" customHeight="1" x14ac:dyDescent="0.2">
      <c r="A86" s="188" t="s">
        <v>450</v>
      </c>
      <c r="B86" s="189"/>
      <c r="C86" s="156">
        <v>317594</v>
      </c>
      <c r="D86" s="190">
        <v>0</v>
      </c>
      <c r="E86" s="190"/>
      <c r="F86" s="156">
        <v>317594</v>
      </c>
    </row>
    <row r="87" spans="1:6" ht="15.75" customHeight="1" x14ac:dyDescent="0.2">
      <c r="A87" s="188" t="s">
        <v>451</v>
      </c>
      <c r="B87" s="189"/>
      <c r="C87" s="156">
        <v>276894</v>
      </c>
      <c r="D87" s="190">
        <v>0</v>
      </c>
      <c r="E87" s="190"/>
      <c r="F87" s="156">
        <v>276894</v>
      </c>
    </row>
    <row r="88" spans="1:6" ht="31.5" customHeight="1" x14ac:dyDescent="0.2">
      <c r="A88" s="188" t="s">
        <v>452</v>
      </c>
      <c r="B88" s="189"/>
      <c r="C88" s="156">
        <v>40700</v>
      </c>
      <c r="D88" s="190">
        <v>0</v>
      </c>
      <c r="E88" s="190"/>
      <c r="F88" s="156">
        <v>40700</v>
      </c>
    </row>
    <row r="89" spans="1:6" ht="15.75" customHeight="1" x14ac:dyDescent="0.2">
      <c r="A89" s="188" t="s">
        <v>453</v>
      </c>
      <c r="B89" s="189"/>
      <c r="C89" s="156">
        <v>111100</v>
      </c>
      <c r="D89" s="190">
        <v>0</v>
      </c>
      <c r="E89" s="190"/>
      <c r="F89" s="156">
        <v>111100</v>
      </c>
    </row>
    <row r="90" spans="1:6" ht="15.75" customHeight="1" x14ac:dyDescent="0.2">
      <c r="A90" s="188" t="s">
        <v>553</v>
      </c>
      <c r="B90" s="189"/>
      <c r="C90" s="156">
        <v>12400</v>
      </c>
      <c r="D90" s="190">
        <v>0</v>
      </c>
      <c r="E90" s="190"/>
      <c r="F90" s="156">
        <v>12400</v>
      </c>
    </row>
    <row r="91" spans="1:6" ht="15.75" customHeight="1" x14ac:dyDescent="0.2">
      <c r="A91" s="188" t="s">
        <v>454</v>
      </c>
      <c r="B91" s="189"/>
      <c r="C91" s="156">
        <v>98700</v>
      </c>
      <c r="D91" s="190">
        <v>0</v>
      </c>
      <c r="E91" s="190"/>
      <c r="F91" s="156">
        <v>98700</v>
      </c>
    </row>
    <row r="92" spans="1:6" ht="14.25" customHeight="1" x14ac:dyDescent="0.25">
      <c r="A92" s="131"/>
      <c r="B92" s="131"/>
      <c r="C92" s="132"/>
      <c r="D92" s="132"/>
      <c r="E92" s="132"/>
      <c r="F92" s="132"/>
    </row>
    <row r="93" spans="1:6" ht="15.75" customHeight="1" x14ac:dyDescent="0.2">
      <c r="A93" s="183" t="s">
        <v>563</v>
      </c>
      <c r="B93" s="189"/>
      <c r="C93" s="189"/>
      <c r="D93" s="189"/>
      <c r="E93" s="189"/>
      <c r="F93" s="189"/>
    </row>
    <row r="94" spans="1:6" ht="15.75" customHeight="1" x14ac:dyDescent="0.2">
      <c r="A94" s="183" t="s">
        <v>446</v>
      </c>
      <c r="B94" s="184"/>
      <c r="C94" s="157">
        <v>77494</v>
      </c>
      <c r="D94" s="185">
        <v>0</v>
      </c>
      <c r="E94" s="185"/>
      <c r="F94" s="157">
        <v>77494</v>
      </c>
    </row>
    <row r="95" spans="1:6" ht="15.75" customHeight="1" x14ac:dyDescent="0.2">
      <c r="A95" s="188" t="s">
        <v>450</v>
      </c>
      <c r="B95" s="189"/>
      <c r="C95" s="156">
        <v>3722</v>
      </c>
      <c r="D95" s="190">
        <v>0</v>
      </c>
      <c r="E95" s="190"/>
      <c r="F95" s="156">
        <v>3722</v>
      </c>
    </row>
    <row r="96" spans="1:6" ht="15.75" customHeight="1" x14ac:dyDescent="0.2">
      <c r="A96" s="188" t="s">
        <v>548</v>
      </c>
      <c r="B96" s="189"/>
      <c r="C96" s="156">
        <v>203</v>
      </c>
      <c r="D96" s="190">
        <v>0</v>
      </c>
      <c r="E96" s="190"/>
      <c r="F96" s="156">
        <v>203</v>
      </c>
    </row>
    <row r="97" spans="1:6" ht="15.75" customHeight="1" x14ac:dyDescent="0.2">
      <c r="A97" s="188" t="s">
        <v>451</v>
      </c>
      <c r="B97" s="189"/>
      <c r="C97" s="156">
        <v>3519</v>
      </c>
      <c r="D97" s="190">
        <v>0</v>
      </c>
      <c r="E97" s="190"/>
      <c r="F97" s="156">
        <v>3519</v>
      </c>
    </row>
    <row r="98" spans="1:6" ht="15.75" customHeight="1" x14ac:dyDescent="0.2">
      <c r="A98" s="188" t="s">
        <v>453</v>
      </c>
      <c r="B98" s="189"/>
      <c r="C98" s="156">
        <v>73772</v>
      </c>
      <c r="D98" s="190">
        <v>0</v>
      </c>
      <c r="E98" s="190"/>
      <c r="F98" s="156">
        <v>73772</v>
      </c>
    </row>
    <row r="99" spans="1:6" ht="15.75" customHeight="1" x14ac:dyDescent="0.2">
      <c r="A99" s="188" t="s">
        <v>553</v>
      </c>
      <c r="B99" s="189"/>
      <c r="C99" s="156">
        <v>73772</v>
      </c>
      <c r="D99" s="190">
        <v>0</v>
      </c>
      <c r="E99" s="190"/>
      <c r="F99" s="156">
        <v>73772</v>
      </c>
    </row>
    <row r="100" spans="1:6" ht="14.25" customHeight="1" x14ac:dyDescent="0.25">
      <c r="A100" s="131"/>
      <c r="B100" s="131"/>
      <c r="C100" s="132"/>
      <c r="D100" s="132"/>
      <c r="E100" s="132"/>
      <c r="F100" s="132"/>
    </row>
    <row r="101" spans="1:6" ht="15.75" customHeight="1" x14ac:dyDescent="0.2">
      <c r="A101" s="183" t="s">
        <v>564</v>
      </c>
      <c r="B101" s="189"/>
      <c r="C101" s="189"/>
      <c r="D101" s="189"/>
      <c r="E101" s="189"/>
      <c r="F101" s="189"/>
    </row>
    <row r="102" spans="1:6" ht="15.75" customHeight="1" x14ac:dyDescent="0.2">
      <c r="A102" s="183" t="s">
        <v>446</v>
      </c>
      <c r="B102" s="184"/>
      <c r="C102" s="157">
        <v>33940</v>
      </c>
      <c r="D102" s="185">
        <v>0</v>
      </c>
      <c r="E102" s="185"/>
      <c r="F102" s="157">
        <v>33940</v>
      </c>
    </row>
    <row r="103" spans="1:6" ht="15.75" customHeight="1" x14ac:dyDescent="0.2">
      <c r="A103" s="188" t="s">
        <v>450</v>
      </c>
      <c r="B103" s="189"/>
      <c r="C103" s="156">
        <v>33940</v>
      </c>
      <c r="D103" s="190">
        <v>0</v>
      </c>
      <c r="E103" s="190"/>
      <c r="F103" s="156">
        <v>33940</v>
      </c>
    </row>
    <row r="104" spans="1:6" ht="15.75" customHeight="1" x14ac:dyDescent="0.2">
      <c r="A104" s="188" t="s">
        <v>451</v>
      </c>
      <c r="B104" s="189"/>
      <c r="C104" s="156">
        <v>33940</v>
      </c>
      <c r="D104" s="190">
        <v>0</v>
      </c>
      <c r="E104" s="190"/>
      <c r="F104" s="156">
        <v>33940</v>
      </c>
    </row>
    <row r="105" spans="1:6" ht="14.25" customHeight="1" x14ac:dyDescent="0.25">
      <c r="A105" s="131"/>
      <c r="B105" s="131"/>
      <c r="C105" s="132"/>
      <c r="D105" s="132"/>
      <c r="E105" s="132"/>
      <c r="F105" s="132"/>
    </row>
    <row r="106" spans="1:6" ht="15.75" customHeight="1" x14ac:dyDescent="0.2">
      <c r="A106" s="183" t="s">
        <v>565</v>
      </c>
      <c r="B106" s="189"/>
      <c r="C106" s="189"/>
      <c r="D106" s="189"/>
      <c r="E106" s="189"/>
      <c r="F106" s="189"/>
    </row>
    <row r="107" spans="1:6" ht="15.75" customHeight="1" x14ac:dyDescent="0.2">
      <c r="A107" s="183" t="s">
        <v>446</v>
      </c>
      <c r="B107" s="184"/>
      <c r="C107" s="157">
        <v>210000</v>
      </c>
      <c r="D107" s="185">
        <v>-31460</v>
      </c>
      <c r="E107" s="191"/>
      <c r="F107" s="157">
        <v>178540</v>
      </c>
    </row>
    <row r="108" spans="1:6" ht="15.75" customHeight="1" x14ac:dyDescent="0.2">
      <c r="A108" s="188" t="s">
        <v>450</v>
      </c>
      <c r="B108" s="189"/>
      <c r="C108" s="156">
        <v>160000</v>
      </c>
      <c r="D108" s="190">
        <v>-31460</v>
      </c>
      <c r="E108" s="187"/>
      <c r="F108" s="156">
        <v>128540</v>
      </c>
    </row>
    <row r="109" spans="1:6" ht="15.75" customHeight="1" x14ac:dyDescent="0.2">
      <c r="A109" s="188" t="s">
        <v>451</v>
      </c>
      <c r="B109" s="189"/>
      <c r="C109" s="156">
        <v>160000</v>
      </c>
      <c r="D109" s="190">
        <v>-31460</v>
      </c>
      <c r="E109" s="187"/>
      <c r="F109" s="156">
        <v>128540</v>
      </c>
    </row>
    <row r="110" spans="1:6" ht="15.75" customHeight="1" x14ac:dyDescent="0.2">
      <c r="A110" s="188" t="s">
        <v>551</v>
      </c>
      <c r="B110" s="189"/>
      <c r="C110" s="156">
        <v>50000</v>
      </c>
      <c r="D110" s="190">
        <v>0</v>
      </c>
      <c r="E110" s="190"/>
      <c r="F110" s="156">
        <v>50000</v>
      </c>
    </row>
    <row r="111" spans="1:6" ht="15.75" customHeight="1" x14ac:dyDescent="0.2">
      <c r="A111" s="188" t="s">
        <v>552</v>
      </c>
      <c r="B111" s="189"/>
      <c r="C111" s="156">
        <v>50000</v>
      </c>
      <c r="D111" s="190">
        <v>0</v>
      </c>
      <c r="E111" s="190"/>
      <c r="F111" s="156">
        <v>50000</v>
      </c>
    </row>
    <row r="112" spans="1:6" ht="14.25" customHeight="1" x14ac:dyDescent="0.25">
      <c r="A112" s="131"/>
      <c r="B112" s="131"/>
      <c r="C112" s="132"/>
      <c r="D112" s="132"/>
      <c r="E112" s="132"/>
      <c r="F112" s="132"/>
    </row>
    <row r="113" spans="1:6" ht="15.75" customHeight="1" x14ac:dyDescent="0.2">
      <c r="A113" s="183" t="s">
        <v>566</v>
      </c>
      <c r="B113" s="189"/>
      <c r="C113" s="189"/>
      <c r="D113" s="189"/>
      <c r="E113" s="189"/>
      <c r="F113" s="189"/>
    </row>
    <row r="114" spans="1:6" ht="15.75" customHeight="1" x14ac:dyDescent="0.2">
      <c r="A114" s="183" t="s">
        <v>446</v>
      </c>
      <c r="B114" s="184"/>
      <c r="C114" s="157">
        <v>641318</v>
      </c>
      <c r="D114" s="185">
        <v>0</v>
      </c>
      <c r="E114" s="185"/>
      <c r="F114" s="157">
        <v>641318</v>
      </c>
    </row>
    <row r="115" spans="1:6" ht="15.75" customHeight="1" x14ac:dyDescent="0.2">
      <c r="A115" s="188" t="s">
        <v>450</v>
      </c>
      <c r="B115" s="189"/>
      <c r="C115" s="156">
        <v>100</v>
      </c>
      <c r="D115" s="190">
        <v>0</v>
      </c>
      <c r="E115" s="190"/>
      <c r="F115" s="156">
        <v>100</v>
      </c>
    </row>
    <row r="116" spans="1:6" ht="15.75" customHeight="1" x14ac:dyDescent="0.2">
      <c r="A116" s="188" t="s">
        <v>451</v>
      </c>
      <c r="B116" s="189"/>
      <c r="C116" s="156">
        <v>100</v>
      </c>
      <c r="D116" s="190">
        <v>0</v>
      </c>
      <c r="E116" s="190"/>
      <c r="F116" s="156">
        <v>100</v>
      </c>
    </row>
    <row r="117" spans="1:6" ht="31.5" customHeight="1" x14ac:dyDescent="0.2">
      <c r="A117" s="188" t="s">
        <v>554</v>
      </c>
      <c r="B117" s="189"/>
      <c r="C117" s="156">
        <v>641218</v>
      </c>
      <c r="D117" s="190">
        <v>0</v>
      </c>
      <c r="E117" s="190"/>
      <c r="F117" s="156">
        <v>641218</v>
      </c>
    </row>
    <row r="118" spans="1:6" ht="15.75" customHeight="1" x14ac:dyDescent="0.2">
      <c r="A118" s="188" t="s">
        <v>555</v>
      </c>
      <c r="B118" s="189"/>
      <c r="C118" s="156">
        <v>641218</v>
      </c>
      <c r="D118" s="190">
        <v>0</v>
      </c>
      <c r="E118" s="190"/>
      <c r="F118" s="156">
        <v>641218</v>
      </c>
    </row>
    <row r="119" spans="1:6" ht="14.25" customHeight="1" x14ac:dyDescent="0.25">
      <c r="A119" s="131"/>
      <c r="B119" s="131"/>
      <c r="C119" s="132"/>
      <c r="D119" s="132"/>
      <c r="E119" s="132"/>
      <c r="F119" s="132"/>
    </row>
    <row r="120" spans="1:6" ht="15.75" customHeight="1" x14ac:dyDescent="0.2">
      <c r="A120" s="183" t="s">
        <v>567</v>
      </c>
      <c r="B120" s="189"/>
      <c r="C120" s="189"/>
      <c r="D120" s="189"/>
      <c r="E120" s="189"/>
      <c r="F120" s="189"/>
    </row>
    <row r="121" spans="1:6" ht="15.75" customHeight="1" x14ac:dyDescent="0.2">
      <c r="A121" s="183" t="s">
        <v>446</v>
      </c>
      <c r="B121" s="184"/>
      <c r="C121" s="157">
        <v>350610</v>
      </c>
      <c r="D121" s="185">
        <v>70000</v>
      </c>
      <c r="E121" s="191"/>
      <c r="F121" s="157">
        <v>420610</v>
      </c>
    </row>
    <row r="122" spans="1:6" ht="31.5" customHeight="1" x14ac:dyDescent="0.2">
      <c r="A122" s="188" t="s">
        <v>554</v>
      </c>
      <c r="B122" s="189"/>
      <c r="C122" s="156">
        <v>350610</v>
      </c>
      <c r="D122" s="190">
        <v>70000</v>
      </c>
      <c r="E122" s="187"/>
      <c r="F122" s="156">
        <v>420610</v>
      </c>
    </row>
    <row r="123" spans="1:6" ht="15.75" customHeight="1" x14ac:dyDescent="0.2">
      <c r="A123" s="188" t="s">
        <v>555</v>
      </c>
      <c r="B123" s="189"/>
      <c r="C123" s="156">
        <v>350610</v>
      </c>
      <c r="D123" s="190">
        <v>70000</v>
      </c>
      <c r="E123" s="187"/>
      <c r="F123" s="156">
        <v>420610</v>
      </c>
    </row>
    <row r="124" spans="1:6" ht="14.25" customHeight="1" x14ac:dyDescent="0.25">
      <c r="A124" s="131"/>
      <c r="B124" s="131"/>
      <c r="C124" s="132"/>
      <c r="D124" s="132"/>
      <c r="E124" s="132"/>
      <c r="F124" s="132"/>
    </row>
    <row r="125" spans="1:6" ht="15.75" customHeight="1" x14ac:dyDescent="0.2">
      <c r="A125" s="183" t="s">
        <v>568</v>
      </c>
      <c r="B125" s="189"/>
      <c r="C125" s="189"/>
      <c r="D125" s="189"/>
      <c r="E125" s="189"/>
      <c r="F125" s="189"/>
    </row>
    <row r="126" spans="1:6" ht="15.75" customHeight="1" x14ac:dyDescent="0.2">
      <c r="A126" s="183" t="s">
        <v>446</v>
      </c>
      <c r="B126" s="184"/>
      <c r="C126" s="157">
        <v>100000</v>
      </c>
      <c r="D126" s="185">
        <v>-24357</v>
      </c>
      <c r="E126" s="191"/>
      <c r="F126" s="157">
        <v>75643</v>
      </c>
    </row>
    <row r="127" spans="1:6" ht="15.75" customHeight="1" x14ac:dyDescent="0.2">
      <c r="A127" s="188" t="s">
        <v>450</v>
      </c>
      <c r="B127" s="189"/>
      <c r="C127" s="156">
        <v>100000</v>
      </c>
      <c r="D127" s="190">
        <v>-24357</v>
      </c>
      <c r="E127" s="187"/>
      <c r="F127" s="156">
        <v>75643</v>
      </c>
    </row>
    <row r="128" spans="1:6" ht="15.75" customHeight="1" x14ac:dyDescent="0.2">
      <c r="A128" s="188" t="s">
        <v>451</v>
      </c>
      <c r="B128" s="189"/>
      <c r="C128" s="156">
        <v>100000</v>
      </c>
      <c r="D128" s="190">
        <v>-24357</v>
      </c>
      <c r="E128" s="187"/>
      <c r="F128" s="156">
        <v>75643</v>
      </c>
    </row>
    <row r="129" spans="1:6" ht="15.75" customHeight="1" x14ac:dyDescent="0.2">
      <c r="A129" s="188" t="s">
        <v>549</v>
      </c>
      <c r="B129" s="189"/>
      <c r="C129" s="156">
        <v>100000</v>
      </c>
      <c r="D129" s="190">
        <v>-24357</v>
      </c>
      <c r="E129" s="187"/>
      <c r="F129" s="156">
        <v>75643</v>
      </c>
    </row>
    <row r="130" spans="1:6" ht="14.25" customHeight="1" x14ac:dyDescent="0.25">
      <c r="A130" s="131"/>
      <c r="B130" s="131"/>
      <c r="C130" s="132"/>
      <c r="D130" s="132"/>
      <c r="E130" s="132"/>
      <c r="F130" s="132"/>
    </row>
    <row r="131" spans="1:6" ht="15.75" customHeight="1" x14ac:dyDescent="0.2">
      <c r="A131" s="183" t="s">
        <v>456</v>
      </c>
      <c r="B131" s="189"/>
      <c r="C131" s="189"/>
      <c r="D131" s="189"/>
      <c r="E131" s="189"/>
      <c r="F131" s="189"/>
    </row>
    <row r="132" spans="1:6" ht="15.75" customHeight="1" x14ac:dyDescent="0.2">
      <c r="A132" s="183" t="s">
        <v>446</v>
      </c>
      <c r="B132" s="184"/>
      <c r="C132" s="157">
        <v>3155335</v>
      </c>
      <c r="D132" s="185">
        <v>35476</v>
      </c>
      <c r="E132" s="191"/>
      <c r="F132" s="157">
        <v>3190811</v>
      </c>
    </row>
    <row r="133" spans="1:6" ht="15.75" customHeight="1" x14ac:dyDescent="0.2">
      <c r="A133" s="188" t="s">
        <v>447</v>
      </c>
      <c r="B133" s="189"/>
      <c r="C133" s="156">
        <v>2590766</v>
      </c>
      <c r="D133" s="190">
        <v>3000</v>
      </c>
      <c r="E133" s="187"/>
      <c r="F133" s="156">
        <v>2593766</v>
      </c>
    </row>
    <row r="134" spans="1:6" ht="15.75" customHeight="1" x14ac:dyDescent="0.2">
      <c r="A134" s="188" t="s">
        <v>448</v>
      </c>
      <c r="B134" s="189"/>
      <c r="C134" s="156">
        <v>1860527</v>
      </c>
      <c r="D134" s="190">
        <v>2428</v>
      </c>
      <c r="E134" s="187"/>
      <c r="F134" s="156">
        <v>1862955</v>
      </c>
    </row>
    <row r="135" spans="1:6" ht="15.75" customHeight="1" x14ac:dyDescent="0.2">
      <c r="A135" s="188" t="s">
        <v>449</v>
      </c>
      <c r="B135" s="189"/>
      <c r="C135" s="156">
        <v>730239</v>
      </c>
      <c r="D135" s="190">
        <v>572</v>
      </c>
      <c r="E135" s="187"/>
      <c r="F135" s="156">
        <v>730811</v>
      </c>
    </row>
    <row r="136" spans="1:6" ht="15.75" customHeight="1" x14ac:dyDescent="0.2">
      <c r="A136" s="188" t="s">
        <v>450</v>
      </c>
      <c r="B136" s="189"/>
      <c r="C136" s="156">
        <v>396565</v>
      </c>
      <c r="D136" s="190">
        <v>10240</v>
      </c>
      <c r="E136" s="187"/>
      <c r="F136" s="156">
        <v>406805</v>
      </c>
    </row>
    <row r="137" spans="1:6" ht="15.75" customHeight="1" x14ac:dyDescent="0.2">
      <c r="A137" s="188" t="s">
        <v>548</v>
      </c>
      <c r="B137" s="189"/>
      <c r="C137" s="156">
        <v>7074</v>
      </c>
      <c r="D137" s="190">
        <v>0</v>
      </c>
      <c r="E137" s="190"/>
      <c r="F137" s="156">
        <v>7074</v>
      </c>
    </row>
    <row r="138" spans="1:6" ht="15.75" customHeight="1" x14ac:dyDescent="0.2">
      <c r="A138" s="188" t="s">
        <v>451</v>
      </c>
      <c r="B138" s="189"/>
      <c r="C138" s="156">
        <v>225936</v>
      </c>
      <c r="D138" s="190">
        <v>3720</v>
      </c>
      <c r="E138" s="187"/>
      <c r="F138" s="156">
        <v>229656</v>
      </c>
    </row>
    <row r="139" spans="1:6" ht="31.5" customHeight="1" x14ac:dyDescent="0.2">
      <c r="A139" s="188" t="s">
        <v>452</v>
      </c>
      <c r="B139" s="189"/>
      <c r="C139" s="156">
        <v>133055</v>
      </c>
      <c r="D139" s="190">
        <v>1420</v>
      </c>
      <c r="E139" s="187"/>
      <c r="F139" s="156">
        <v>134475</v>
      </c>
    </row>
    <row r="140" spans="1:6" ht="15.75" customHeight="1" x14ac:dyDescent="0.2">
      <c r="A140" s="188" t="s">
        <v>550</v>
      </c>
      <c r="B140" s="189"/>
      <c r="C140" s="156">
        <v>30500</v>
      </c>
      <c r="D140" s="190">
        <v>5100</v>
      </c>
      <c r="E140" s="187"/>
      <c r="F140" s="156">
        <v>35600</v>
      </c>
    </row>
    <row r="141" spans="1:6" ht="15.75" customHeight="1" x14ac:dyDescent="0.2">
      <c r="A141" s="188" t="s">
        <v>453</v>
      </c>
      <c r="B141" s="189"/>
      <c r="C141" s="156">
        <v>168004</v>
      </c>
      <c r="D141" s="190">
        <v>22236</v>
      </c>
      <c r="E141" s="187"/>
      <c r="F141" s="156">
        <v>190240</v>
      </c>
    </row>
    <row r="142" spans="1:6" ht="15.75" customHeight="1" x14ac:dyDescent="0.2">
      <c r="A142" s="188" t="s">
        <v>553</v>
      </c>
      <c r="B142" s="189"/>
      <c r="C142" s="156">
        <v>45911</v>
      </c>
      <c r="D142" s="190">
        <v>5639</v>
      </c>
      <c r="E142" s="187"/>
      <c r="F142" s="156">
        <v>51550</v>
      </c>
    </row>
    <row r="143" spans="1:6" ht="15.75" customHeight="1" x14ac:dyDescent="0.2">
      <c r="A143" s="188" t="s">
        <v>454</v>
      </c>
      <c r="B143" s="189"/>
      <c r="C143" s="156">
        <v>122093</v>
      </c>
      <c r="D143" s="190">
        <v>16597</v>
      </c>
      <c r="E143" s="187"/>
      <c r="F143" s="156">
        <v>138690</v>
      </c>
    </row>
    <row r="144" spans="1:6" ht="14.25" customHeight="1" x14ac:dyDescent="0.25">
      <c r="A144" s="131"/>
      <c r="B144" s="131"/>
      <c r="C144" s="132"/>
      <c r="D144" s="132"/>
      <c r="E144" s="132"/>
      <c r="F144" s="132"/>
    </row>
    <row r="145" spans="1:6" ht="15.75" customHeight="1" x14ac:dyDescent="0.2">
      <c r="A145" s="183" t="s">
        <v>569</v>
      </c>
      <c r="B145" s="189"/>
      <c r="C145" s="189"/>
      <c r="D145" s="189"/>
      <c r="E145" s="189"/>
      <c r="F145" s="189"/>
    </row>
    <row r="146" spans="1:6" ht="15.75" customHeight="1" x14ac:dyDescent="0.2">
      <c r="A146" s="183" t="s">
        <v>446</v>
      </c>
      <c r="B146" s="184"/>
      <c r="C146" s="157">
        <v>2830332</v>
      </c>
      <c r="D146" s="185">
        <v>22236</v>
      </c>
      <c r="E146" s="191"/>
      <c r="F146" s="157">
        <v>2852568</v>
      </c>
    </row>
    <row r="147" spans="1:6" ht="15.75" customHeight="1" x14ac:dyDescent="0.2">
      <c r="A147" s="188" t="s">
        <v>447</v>
      </c>
      <c r="B147" s="189"/>
      <c r="C147" s="156">
        <v>2433398</v>
      </c>
      <c r="D147" s="190">
        <v>0</v>
      </c>
      <c r="E147" s="190"/>
      <c r="F147" s="156">
        <v>2433398</v>
      </c>
    </row>
    <row r="148" spans="1:6" ht="15.75" customHeight="1" x14ac:dyDescent="0.2">
      <c r="A148" s="188" t="s">
        <v>448</v>
      </c>
      <c r="B148" s="189"/>
      <c r="C148" s="156">
        <v>1738385</v>
      </c>
      <c r="D148" s="190">
        <v>0</v>
      </c>
      <c r="E148" s="190"/>
      <c r="F148" s="156">
        <v>1738385</v>
      </c>
    </row>
    <row r="149" spans="1:6" ht="15.75" customHeight="1" x14ac:dyDescent="0.2">
      <c r="A149" s="188" t="s">
        <v>449</v>
      </c>
      <c r="B149" s="189"/>
      <c r="C149" s="156">
        <v>695013</v>
      </c>
      <c r="D149" s="190">
        <v>0</v>
      </c>
      <c r="E149" s="190"/>
      <c r="F149" s="156">
        <v>695013</v>
      </c>
    </row>
    <row r="150" spans="1:6" ht="15.75" customHeight="1" x14ac:dyDescent="0.2">
      <c r="A150" s="188" t="s">
        <v>450</v>
      </c>
      <c r="B150" s="189"/>
      <c r="C150" s="156">
        <v>300230</v>
      </c>
      <c r="D150" s="190">
        <v>0</v>
      </c>
      <c r="E150" s="190"/>
      <c r="F150" s="156">
        <v>300230</v>
      </c>
    </row>
    <row r="151" spans="1:6" ht="15.75" customHeight="1" x14ac:dyDescent="0.2">
      <c r="A151" s="188" t="s">
        <v>548</v>
      </c>
      <c r="B151" s="189"/>
      <c r="C151" s="156">
        <v>4570</v>
      </c>
      <c r="D151" s="190">
        <v>0</v>
      </c>
      <c r="E151" s="190"/>
      <c r="F151" s="156">
        <v>4570</v>
      </c>
    </row>
    <row r="152" spans="1:6" ht="15.75" customHeight="1" x14ac:dyDescent="0.2">
      <c r="A152" s="188" t="s">
        <v>451</v>
      </c>
      <c r="B152" s="189"/>
      <c r="C152" s="156">
        <v>137885</v>
      </c>
      <c r="D152" s="190">
        <v>-6520</v>
      </c>
      <c r="E152" s="187"/>
      <c r="F152" s="156">
        <v>131365</v>
      </c>
    </row>
    <row r="153" spans="1:6" ht="31.5" customHeight="1" x14ac:dyDescent="0.2">
      <c r="A153" s="188" t="s">
        <v>452</v>
      </c>
      <c r="B153" s="189"/>
      <c r="C153" s="156">
        <v>127275</v>
      </c>
      <c r="D153" s="190">
        <v>1420</v>
      </c>
      <c r="E153" s="187"/>
      <c r="F153" s="156">
        <v>128695</v>
      </c>
    </row>
    <row r="154" spans="1:6" ht="15.75" customHeight="1" x14ac:dyDescent="0.2">
      <c r="A154" s="188" t="s">
        <v>550</v>
      </c>
      <c r="B154" s="189"/>
      <c r="C154" s="156">
        <v>30500</v>
      </c>
      <c r="D154" s="190">
        <v>5100</v>
      </c>
      <c r="E154" s="187"/>
      <c r="F154" s="156">
        <v>35600</v>
      </c>
    </row>
    <row r="155" spans="1:6" ht="15.75" customHeight="1" x14ac:dyDescent="0.2">
      <c r="A155" s="188" t="s">
        <v>453</v>
      </c>
      <c r="B155" s="189"/>
      <c r="C155" s="156">
        <v>96704</v>
      </c>
      <c r="D155" s="190">
        <v>22236</v>
      </c>
      <c r="E155" s="187"/>
      <c r="F155" s="156">
        <v>118940</v>
      </c>
    </row>
    <row r="156" spans="1:6" ht="15.75" customHeight="1" x14ac:dyDescent="0.2">
      <c r="A156" s="188" t="s">
        <v>553</v>
      </c>
      <c r="B156" s="189"/>
      <c r="C156" s="156">
        <v>0</v>
      </c>
      <c r="D156" s="190">
        <v>5639</v>
      </c>
      <c r="E156" s="187"/>
      <c r="F156" s="156">
        <v>5639</v>
      </c>
    </row>
    <row r="157" spans="1:6" ht="15.75" customHeight="1" x14ac:dyDescent="0.2">
      <c r="A157" s="188" t="s">
        <v>454</v>
      </c>
      <c r="B157" s="189"/>
      <c r="C157" s="156">
        <v>96704</v>
      </c>
      <c r="D157" s="190">
        <v>16597</v>
      </c>
      <c r="E157" s="187"/>
      <c r="F157" s="156">
        <v>113301</v>
      </c>
    </row>
    <row r="158" spans="1:6" ht="14.25" customHeight="1" x14ac:dyDescent="0.25">
      <c r="A158" s="131"/>
      <c r="B158" s="131"/>
      <c r="C158" s="132"/>
      <c r="D158" s="132"/>
      <c r="E158" s="132"/>
      <c r="F158" s="132"/>
    </row>
    <row r="159" spans="1:6" ht="15.75" customHeight="1" x14ac:dyDescent="0.2">
      <c r="A159" s="183" t="s">
        <v>570</v>
      </c>
      <c r="B159" s="189"/>
      <c r="C159" s="189"/>
      <c r="D159" s="189"/>
      <c r="E159" s="189"/>
      <c r="F159" s="189"/>
    </row>
    <row r="160" spans="1:6" ht="15.75" customHeight="1" x14ac:dyDescent="0.2">
      <c r="A160" s="183" t="s">
        <v>446</v>
      </c>
      <c r="B160" s="184"/>
      <c r="C160" s="157">
        <v>325003</v>
      </c>
      <c r="D160" s="185">
        <v>0</v>
      </c>
      <c r="E160" s="185"/>
      <c r="F160" s="157">
        <v>325003</v>
      </c>
    </row>
    <row r="161" spans="1:6" ht="15.75" customHeight="1" x14ac:dyDescent="0.2">
      <c r="A161" s="188" t="s">
        <v>447</v>
      </c>
      <c r="B161" s="189"/>
      <c r="C161" s="156">
        <v>157368</v>
      </c>
      <c r="D161" s="190">
        <v>0</v>
      </c>
      <c r="E161" s="190"/>
      <c r="F161" s="156">
        <v>157368</v>
      </c>
    </row>
    <row r="162" spans="1:6" ht="15.75" customHeight="1" x14ac:dyDescent="0.2">
      <c r="A162" s="188" t="s">
        <v>448</v>
      </c>
      <c r="B162" s="189"/>
      <c r="C162" s="156">
        <v>122142</v>
      </c>
      <c r="D162" s="190">
        <v>0</v>
      </c>
      <c r="E162" s="190"/>
      <c r="F162" s="156">
        <v>122142</v>
      </c>
    </row>
    <row r="163" spans="1:6" ht="15.75" customHeight="1" x14ac:dyDescent="0.2">
      <c r="A163" s="188" t="s">
        <v>449</v>
      </c>
      <c r="B163" s="189"/>
      <c r="C163" s="156">
        <v>35226</v>
      </c>
      <c r="D163" s="190">
        <v>0</v>
      </c>
      <c r="E163" s="190"/>
      <c r="F163" s="156">
        <v>35226</v>
      </c>
    </row>
    <row r="164" spans="1:6" ht="15.75" customHeight="1" x14ac:dyDescent="0.2">
      <c r="A164" s="188" t="s">
        <v>450</v>
      </c>
      <c r="B164" s="189"/>
      <c r="C164" s="156">
        <v>96335</v>
      </c>
      <c r="D164" s="190">
        <v>0</v>
      </c>
      <c r="E164" s="190"/>
      <c r="F164" s="156">
        <v>96335</v>
      </c>
    </row>
    <row r="165" spans="1:6" ht="15.75" customHeight="1" x14ac:dyDescent="0.2">
      <c r="A165" s="188" t="s">
        <v>548</v>
      </c>
      <c r="B165" s="189"/>
      <c r="C165" s="156">
        <v>2504</v>
      </c>
      <c r="D165" s="190">
        <v>0</v>
      </c>
      <c r="E165" s="190"/>
      <c r="F165" s="156">
        <v>2504</v>
      </c>
    </row>
    <row r="166" spans="1:6" ht="15.75" customHeight="1" x14ac:dyDescent="0.2">
      <c r="A166" s="188" t="s">
        <v>451</v>
      </c>
      <c r="B166" s="189"/>
      <c r="C166" s="156">
        <v>88051</v>
      </c>
      <c r="D166" s="190">
        <v>0</v>
      </c>
      <c r="E166" s="190"/>
      <c r="F166" s="156">
        <v>88051</v>
      </c>
    </row>
    <row r="167" spans="1:6" ht="31.5" customHeight="1" x14ac:dyDescent="0.2">
      <c r="A167" s="188" t="s">
        <v>452</v>
      </c>
      <c r="B167" s="189"/>
      <c r="C167" s="156">
        <v>5780</v>
      </c>
      <c r="D167" s="190">
        <v>0</v>
      </c>
      <c r="E167" s="190"/>
      <c r="F167" s="156">
        <v>5780</v>
      </c>
    </row>
    <row r="168" spans="1:6" ht="15.75" customHeight="1" x14ac:dyDescent="0.2">
      <c r="A168" s="188" t="s">
        <v>453</v>
      </c>
      <c r="B168" s="189"/>
      <c r="C168" s="156">
        <v>71300</v>
      </c>
      <c r="D168" s="190">
        <v>0</v>
      </c>
      <c r="E168" s="190"/>
      <c r="F168" s="156">
        <v>71300</v>
      </c>
    </row>
    <row r="169" spans="1:6" ht="15.75" customHeight="1" x14ac:dyDescent="0.2">
      <c r="A169" s="188" t="s">
        <v>553</v>
      </c>
      <c r="B169" s="189"/>
      <c r="C169" s="156">
        <v>45911</v>
      </c>
      <c r="D169" s="190">
        <v>0</v>
      </c>
      <c r="E169" s="190"/>
      <c r="F169" s="156">
        <v>45911</v>
      </c>
    </row>
    <row r="170" spans="1:6" ht="15.75" customHeight="1" x14ac:dyDescent="0.2">
      <c r="A170" s="188" t="s">
        <v>454</v>
      </c>
      <c r="B170" s="189"/>
      <c r="C170" s="156">
        <v>25389</v>
      </c>
      <c r="D170" s="190">
        <v>0</v>
      </c>
      <c r="E170" s="190"/>
      <c r="F170" s="156">
        <v>25389</v>
      </c>
    </row>
    <row r="171" spans="1:6" ht="14.25" customHeight="1" x14ac:dyDescent="0.25">
      <c r="A171" s="131"/>
      <c r="B171" s="131"/>
      <c r="C171" s="132"/>
      <c r="D171" s="132"/>
      <c r="E171" s="132"/>
      <c r="F171" s="132"/>
    </row>
    <row r="172" spans="1:6" ht="15.75" customHeight="1" x14ac:dyDescent="0.2">
      <c r="A172" s="183" t="s">
        <v>683</v>
      </c>
      <c r="B172" s="189"/>
      <c r="C172" s="189"/>
      <c r="D172" s="189"/>
      <c r="E172" s="189"/>
      <c r="F172" s="189"/>
    </row>
    <row r="173" spans="1:6" ht="15.75" customHeight="1" x14ac:dyDescent="0.2">
      <c r="A173" s="183" t="s">
        <v>446</v>
      </c>
      <c r="B173" s="184"/>
      <c r="C173" s="157">
        <v>0</v>
      </c>
      <c r="D173" s="185">
        <v>13240</v>
      </c>
      <c r="E173" s="191"/>
      <c r="F173" s="157">
        <v>13240</v>
      </c>
    </row>
    <row r="174" spans="1:6" ht="15.75" customHeight="1" x14ac:dyDescent="0.2">
      <c r="A174" s="188" t="s">
        <v>447</v>
      </c>
      <c r="B174" s="189"/>
      <c r="C174" s="156">
        <v>0</v>
      </c>
      <c r="D174" s="190">
        <v>3000</v>
      </c>
      <c r="E174" s="187"/>
      <c r="F174" s="156">
        <v>3000</v>
      </c>
    </row>
    <row r="175" spans="1:6" ht="15.75" customHeight="1" x14ac:dyDescent="0.2">
      <c r="A175" s="188" t="s">
        <v>448</v>
      </c>
      <c r="B175" s="189"/>
      <c r="C175" s="156">
        <v>0</v>
      </c>
      <c r="D175" s="190">
        <v>2428</v>
      </c>
      <c r="E175" s="187"/>
      <c r="F175" s="156">
        <v>2428</v>
      </c>
    </row>
    <row r="176" spans="1:6" ht="15.75" customHeight="1" x14ac:dyDescent="0.2">
      <c r="A176" s="188" t="s">
        <v>449</v>
      </c>
      <c r="B176" s="189"/>
      <c r="C176" s="156">
        <v>0</v>
      </c>
      <c r="D176" s="190">
        <v>572</v>
      </c>
      <c r="E176" s="187"/>
      <c r="F176" s="156">
        <v>572</v>
      </c>
    </row>
    <row r="177" spans="1:6" ht="15.75" customHeight="1" x14ac:dyDescent="0.2">
      <c r="A177" s="188" t="s">
        <v>450</v>
      </c>
      <c r="B177" s="189"/>
      <c r="C177" s="156">
        <v>0</v>
      </c>
      <c r="D177" s="190">
        <v>10240</v>
      </c>
      <c r="E177" s="187"/>
      <c r="F177" s="156">
        <v>10240</v>
      </c>
    </row>
    <row r="178" spans="1:6" ht="15.75" customHeight="1" x14ac:dyDescent="0.2">
      <c r="A178" s="188" t="s">
        <v>548</v>
      </c>
      <c r="B178" s="189"/>
      <c r="C178" s="156">
        <v>0</v>
      </c>
      <c r="D178" s="190">
        <v>0</v>
      </c>
      <c r="E178" s="190"/>
      <c r="F178" s="156">
        <v>0</v>
      </c>
    </row>
    <row r="179" spans="1:6" ht="15.75" customHeight="1" x14ac:dyDescent="0.2">
      <c r="A179" s="188" t="s">
        <v>451</v>
      </c>
      <c r="B179" s="189"/>
      <c r="C179" s="156">
        <v>0</v>
      </c>
      <c r="D179" s="190">
        <v>10240</v>
      </c>
      <c r="E179" s="187"/>
      <c r="F179" s="156">
        <v>10240</v>
      </c>
    </row>
    <row r="180" spans="1:6" ht="14.25" customHeight="1" x14ac:dyDescent="0.25">
      <c r="A180" s="131"/>
      <c r="B180" s="131"/>
      <c r="C180" s="132"/>
      <c r="D180" s="132"/>
      <c r="E180" s="132"/>
      <c r="F180" s="132"/>
    </row>
    <row r="181" spans="1:6" ht="15.75" customHeight="1" x14ac:dyDescent="0.2">
      <c r="A181" s="183" t="s">
        <v>457</v>
      </c>
      <c r="B181" s="189"/>
      <c r="C181" s="189"/>
      <c r="D181" s="189"/>
      <c r="E181" s="189"/>
      <c r="F181" s="189"/>
    </row>
    <row r="182" spans="1:6" ht="15.75" customHeight="1" x14ac:dyDescent="0.2">
      <c r="A182" s="183" t="s">
        <v>446</v>
      </c>
      <c r="B182" s="184"/>
      <c r="C182" s="157">
        <v>4806309</v>
      </c>
      <c r="D182" s="185">
        <v>0</v>
      </c>
      <c r="E182" s="185"/>
      <c r="F182" s="157">
        <v>4806309</v>
      </c>
    </row>
    <row r="183" spans="1:6" ht="15.75" customHeight="1" x14ac:dyDescent="0.2">
      <c r="A183" s="188" t="s">
        <v>447</v>
      </c>
      <c r="B183" s="189"/>
      <c r="C183" s="156">
        <v>217506</v>
      </c>
      <c r="D183" s="190">
        <v>0</v>
      </c>
      <c r="E183" s="190"/>
      <c r="F183" s="156">
        <v>217506</v>
      </c>
    </row>
    <row r="184" spans="1:6" ht="15.75" customHeight="1" x14ac:dyDescent="0.2">
      <c r="A184" s="188" t="s">
        <v>448</v>
      </c>
      <c r="B184" s="189"/>
      <c r="C184" s="156">
        <v>168254</v>
      </c>
      <c r="D184" s="190">
        <v>0</v>
      </c>
      <c r="E184" s="190"/>
      <c r="F184" s="156">
        <v>168254</v>
      </c>
    </row>
    <row r="185" spans="1:6" ht="15.75" customHeight="1" x14ac:dyDescent="0.2">
      <c r="A185" s="188" t="s">
        <v>449</v>
      </c>
      <c r="B185" s="189"/>
      <c r="C185" s="156">
        <v>49252</v>
      </c>
      <c r="D185" s="190">
        <v>0</v>
      </c>
      <c r="E185" s="190"/>
      <c r="F185" s="156">
        <v>49252</v>
      </c>
    </row>
    <row r="186" spans="1:6" ht="15.75" customHeight="1" x14ac:dyDescent="0.2">
      <c r="A186" s="188" t="s">
        <v>450</v>
      </c>
      <c r="B186" s="189"/>
      <c r="C186" s="156">
        <v>420030</v>
      </c>
      <c r="D186" s="190">
        <v>0</v>
      </c>
      <c r="E186" s="190"/>
      <c r="F186" s="156">
        <v>420030</v>
      </c>
    </row>
    <row r="187" spans="1:6" ht="15.75" customHeight="1" x14ac:dyDescent="0.2">
      <c r="A187" s="188" t="s">
        <v>548</v>
      </c>
      <c r="B187" s="189"/>
      <c r="C187" s="156">
        <v>9030</v>
      </c>
      <c r="D187" s="190">
        <v>0</v>
      </c>
      <c r="E187" s="190"/>
      <c r="F187" s="156">
        <v>9030</v>
      </c>
    </row>
    <row r="188" spans="1:6" ht="15.75" customHeight="1" x14ac:dyDescent="0.2">
      <c r="A188" s="188" t="s">
        <v>451</v>
      </c>
      <c r="B188" s="189"/>
      <c r="C188" s="156">
        <v>342083</v>
      </c>
      <c r="D188" s="190">
        <v>0</v>
      </c>
      <c r="E188" s="190"/>
      <c r="F188" s="156">
        <v>342083</v>
      </c>
    </row>
    <row r="189" spans="1:6" ht="31.5" customHeight="1" x14ac:dyDescent="0.2">
      <c r="A189" s="188" t="s">
        <v>452</v>
      </c>
      <c r="B189" s="189"/>
      <c r="C189" s="156">
        <v>49567</v>
      </c>
      <c r="D189" s="190">
        <v>0</v>
      </c>
      <c r="E189" s="190"/>
      <c r="F189" s="156">
        <v>49567</v>
      </c>
    </row>
    <row r="190" spans="1:6" ht="15.75" customHeight="1" x14ac:dyDescent="0.2">
      <c r="A190" s="188" t="s">
        <v>550</v>
      </c>
      <c r="B190" s="189"/>
      <c r="C190" s="156">
        <v>19350</v>
      </c>
      <c r="D190" s="190">
        <v>0</v>
      </c>
      <c r="E190" s="190"/>
      <c r="F190" s="156">
        <v>19350</v>
      </c>
    </row>
    <row r="191" spans="1:6" ht="15.75" customHeight="1" x14ac:dyDescent="0.2">
      <c r="A191" s="188" t="s">
        <v>458</v>
      </c>
      <c r="B191" s="189"/>
      <c r="C191" s="156">
        <v>1518273</v>
      </c>
      <c r="D191" s="190">
        <v>0</v>
      </c>
      <c r="E191" s="190"/>
      <c r="F191" s="156">
        <v>1518273</v>
      </c>
    </row>
    <row r="192" spans="1:6" ht="31.5" customHeight="1" x14ac:dyDescent="0.2">
      <c r="A192" s="188" t="s">
        <v>459</v>
      </c>
      <c r="B192" s="189"/>
      <c r="C192" s="156">
        <v>62280</v>
      </c>
      <c r="D192" s="190">
        <v>0</v>
      </c>
      <c r="E192" s="190"/>
      <c r="F192" s="156">
        <v>62280</v>
      </c>
    </row>
    <row r="193" spans="1:6" ht="31.5" customHeight="1" x14ac:dyDescent="0.2">
      <c r="A193" s="188" t="s">
        <v>460</v>
      </c>
      <c r="B193" s="189"/>
      <c r="C193" s="156">
        <v>1455993</v>
      </c>
      <c r="D193" s="190">
        <v>0</v>
      </c>
      <c r="E193" s="190"/>
      <c r="F193" s="156">
        <v>1455993</v>
      </c>
    </row>
    <row r="194" spans="1:6" ht="15.75" customHeight="1" x14ac:dyDescent="0.2">
      <c r="A194" s="188" t="s">
        <v>453</v>
      </c>
      <c r="B194" s="189"/>
      <c r="C194" s="156">
        <v>2648000</v>
      </c>
      <c r="D194" s="190">
        <v>0</v>
      </c>
      <c r="E194" s="190"/>
      <c r="F194" s="156">
        <v>2648000</v>
      </c>
    </row>
    <row r="195" spans="1:6" ht="15.75" customHeight="1" x14ac:dyDescent="0.2">
      <c r="A195" s="188" t="s">
        <v>553</v>
      </c>
      <c r="B195" s="189"/>
      <c r="C195" s="156">
        <v>7255</v>
      </c>
      <c r="D195" s="190">
        <v>0</v>
      </c>
      <c r="E195" s="190"/>
      <c r="F195" s="156">
        <v>7255</v>
      </c>
    </row>
    <row r="196" spans="1:6" ht="15.75" customHeight="1" x14ac:dyDescent="0.2">
      <c r="A196" s="188" t="s">
        <v>454</v>
      </c>
      <c r="B196" s="189"/>
      <c r="C196" s="156">
        <v>2640745</v>
      </c>
      <c r="D196" s="190">
        <v>0</v>
      </c>
      <c r="E196" s="190"/>
      <c r="F196" s="156">
        <v>2640745</v>
      </c>
    </row>
    <row r="197" spans="1:6" ht="31.5" customHeight="1" x14ac:dyDescent="0.2">
      <c r="A197" s="188" t="s">
        <v>554</v>
      </c>
      <c r="B197" s="189"/>
      <c r="C197" s="156">
        <v>2500</v>
      </c>
      <c r="D197" s="190">
        <v>0</v>
      </c>
      <c r="E197" s="190"/>
      <c r="F197" s="156">
        <v>2500</v>
      </c>
    </row>
    <row r="198" spans="1:6" ht="15.75" customHeight="1" x14ac:dyDescent="0.2">
      <c r="A198" s="188" t="s">
        <v>555</v>
      </c>
      <c r="B198" s="189"/>
      <c r="C198" s="156">
        <v>2500</v>
      </c>
      <c r="D198" s="190">
        <v>0</v>
      </c>
      <c r="E198" s="190"/>
      <c r="F198" s="156">
        <v>2500</v>
      </c>
    </row>
    <row r="199" spans="1:6" ht="14.25" customHeight="1" x14ac:dyDescent="0.25">
      <c r="A199" s="131"/>
      <c r="B199" s="131"/>
      <c r="C199" s="132"/>
      <c r="D199" s="132"/>
      <c r="E199" s="132"/>
      <c r="F199" s="132"/>
    </row>
    <row r="200" spans="1:6" ht="15.75" customHeight="1" x14ac:dyDescent="0.2">
      <c r="A200" s="183" t="s">
        <v>461</v>
      </c>
      <c r="B200" s="189"/>
      <c r="C200" s="189"/>
      <c r="D200" s="189"/>
      <c r="E200" s="189"/>
      <c r="F200" s="189"/>
    </row>
    <row r="201" spans="1:6" ht="15.75" customHeight="1" x14ac:dyDescent="0.2">
      <c r="A201" s="183" t="s">
        <v>446</v>
      </c>
      <c r="B201" s="184"/>
      <c r="C201" s="157">
        <v>717922</v>
      </c>
      <c r="D201" s="185">
        <v>0</v>
      </c>
      <c r="E201" s="185"/>
      <c r="F201" s="157">
        <v>717922</v>
      </c>
    </row>
    <row r="202" spans="1:6" ht="15.75" customHeight="1" x14ac:dyDescent="0.2">
      <c r="A202" s="188" t="s">
        <v>450</v>
      </c>
      <c r="B202" s="189"/>
      <c r="C202" s="156">
        <v>203164</v>
      </c>
      <c r="D202" s="190">
        <v>0</v>
      </c>
      <c r="E202" s="190"/>
      <c r="F202" s="156">
        <v>203164</v>
      </c>
    </row>
    <row r="203" spans="1:6" ht="15.75" customHeight="1" x14ac:dyDescent="0.2">
      <c r="A203" s="188" t="s">
        <v>451</v>
      </c>
      <c r="B203" s="189"/>
      <c r="C203" s="156">
        <v>195460</v>
      </c>
      <c r="D203" s="190">
        <v>0</v>
      </c>
      <c r="E203" s="190"/>
      <c r="F203" s="156">
        <v>195460</v>
      </c>
    </row>
    <row r="204" spans="1:6" ht="31.5" customHeight="1" x14ac:dyDescent="0.2">
      <c r="A204" s="188" t="s">
        <v>452</v>
      </c>
      <c r="B204" s="189"/>
      <c r="C204" s="156">
        <v>7704</v>
      </c>
      <c r="D204" s="190">
        <v>0</v>
      </c>
      <c r="E204" s="190"/>
      <c r="F204" s="156">
        <v>7704</v>
      </c>
    </row>
    <row r="205" spans="1:6" ht="15.75" customHeight="1" x14ac:dyDescent="0.2">
      <c r="A205" s="188" t="s">
        <v>453</v>
      </c>
      <c r="B205" s="189"/>
      <c r="C205" s="156">
        <v>514758</v>
      </c>
      <c r="D205" s="190">
        <v>0</v>
      </c>
      <c r="E205" s="190"/>
      <c r="F205" s="156">
        <v>514758</v>
      </c>
    </row>
    <row r="206" spans="1:6" ht="15.75" customHeight="1" x14ac:dyDescent="0.2">
      <c r="A206" s="188" t="s">
        <v>454</v>
      </c>
      <c r="B206" s="189"/>
      <c r="C206" s="156">
        <v>514758</v>
      </c>
      <c r="D206" s="190">
        <v>0</v>
      </c>
      <c r="E206" s="190"/>
      <c r="F206" s="156">
        <v>514758</v>
      </c>
    </row>
    <row r="207" spans="1:6" ht="14.25" customHeight="1" x14ac:dyDescent="0.25">
      <c r="A207" s="131"/>
      <c r="B207" s="131"/>
      <c r="C207" s="132"/>
      <c r="D207" s="132"/>
      <c r="E207" s="132"/>
      <c r="F207" s="132"/>
    </row>
    <row r="208" spans="1:6" ht="31.5" customHeight="1" x14ac:dyDescent="0.2">
      <c r="A208" s="183" t="s">
        <v>571</v>
      </c>
      <c r="B208" s="189"/>
      <c r="C208" s="189"/>
      <c r="D208" s="189"/>
      <c r="E208" s="189"/>
      <c r="F208" s="189"/>
    </row>
    <row r="209" spans="1:6" ht="15.75" customHeight="1" x14ac:dyDescent="0.2">
      <c r="A209" s="183" t="s">
        <v>446</v>
      </c>
      <c r="B209" s="184"/>
      <c r="C209" s="157">
        <v>1818744</v>
      </c>
      <c r="D209" s="185">
        <v>0</v>
      </c>
      <c r="E209" s="185"/>
      <c r="F209" s="157">
        <v>1818744</v>
      </c>
    </row>
    <row r="210" spans="1:6" ht="15.75" customHeight="1" x14ac:dyDescent="0.2">
      <c r="A210" s="188" t="s">
        <v>453</v>
      </c>
      <c r="B210" s="189"/>
      <c r="C210" s="156">
        <v>1818744</v>
      </c>
      <c r="D210" s="190">
        <v>0</v>
      </c>
      <c r="E210" s="190"/>
      <c r="F210" s="156">
        <v>1818744</v>
      </c>
    </row>
    <row r="211" spans="1:6" ht="15.75" customHeight="1" x14ac:dyDescent="0.2">
      <c r="A211" s="188" t="s">
        <v>454</v>
      </c>
      <c r="B211" s="189"/>
      <c r="C211" s="156">
        <v>1818744</v>
      </c>
      <c r="D211" s="190">
        <v>0</v>
      </c>
      <c r="E211" s="190"/>
      <c r="F211" s="156">
        <v>1818744</v>
      </c>
    </row>
    <row r="212" spans="1:6" ht="14.25" customHeight="1" x14ac:dyDescent="0.25">
      <c r="A212" s="131"/>
      <c r="B212" s="131"/>
      <c r="C212" s="132"/>
      <c r="D212" s="132"/>
      <c r="E212" s="132"/>
      <c r="F212" s="132"/>
    </row>
    <row r="213" spans="1:6" ht="15.75" customHeight="1" x14ac:dyDescent="0.2">
      <c r="A213" s="183" t="s">
        <v>572</v>
      </c>
      <c r="B213" s="189"/>
      <c r="C213" s="189"/>
      <c r="D213" s="189"/>
      <c r="E213" s="189"/>
      <c r="F213" s="189"/>
    </row>
    <row r="214" spans="1:6" ht="15.75" customHeight="1" x14ac:dyDescent="0.2">
      <c r="A214" s="183" t="s">
        <v>446</v>
      </c>
      <c r="B214" s="184"/>
      <c r="C214" s="157">
        <v>253695</v>
      </c>
      <c r="D214" s="185">
        <v>0</v>
      </c>
      <c r="E214" s="185"/>
      <c r="F214" s="157">
        <v>253695</v>
      </c>
    </row>
    <row r="215" spans="1:6" ht="15.75" customHeight="1" x14ac:dyDescent="0.2">
      <c r="A215" s="188" t="s">
        <v>453</v>
      </c>
      <c r="B215" s="189"/>
      <c r="C215" s="156">
        <v>253695</v>
      </c>
      <c r="D215" s="190">
        <v>0</v>
      </c>
      <c r="E215" s="190"/>
      <c r="F215" s="156">
        <v>253695</v>
      </c>
    </row>
    <row r="216" spans="1:6" ht="15.75" customHeight="1" x14ac:dyDescent="0.2">
      <c r="A216" s="188" t="s">
        <v>454</v>
      </c>
      <c r="B216" s="189"/>
      <c r="C216" s="156">
        <v>253695</v>
      </c>
      <c r="D216" s="190">
        <v>0</v>
      </c>
      <c r="E216" s="190"/>
      <c r="F216" s="156">
        <v>253695</v>
      </c>
    </row>
    <row r="217" spans="1:6" ht="14.25" customHeight="1" x14ac:dyDescent="0.25">
      <c r="A217" s="131"/>
      <c r="B217" s="131"/>
      <c r="C217" s="132"/>
      <c r="D217" s="132"/>
      <c r="E217" s="132"/>
      <c r="F217" s="132"/>
    </row>
    <row r="218" spans="1:6" ht="15.75" customHeight="1" x14ac:dyDescent="0.2">
      <c r="A218" s="183" t="s">
        <v>573</v>
      </c>
      <c r="B218" s="189"/>
      <c r="C218" s="189"/>
      <c r="D218" s="189"/>
      <c r="E218" s="189"/>
      <c r="F218" s="189"/>
    </row>
    <row r="219" spans="1:6" ht="15.75" customHeight="1" x14ac:dyDescent="0.2">
      <c r="A219" s="183" t="s">
        <v>446</v>
      </c>
      <c r="B219" s="184"/>
      <c r="C219" s="157">
        <v>1455993</v>
      </c>
      <c r="D219" s="185">
        <v>0</v>
      </c>
      <c r="E219" s="185"/>
      <c r="F219" s="157">
        <v>1455993</v>
      </c>
    </row>
    <row r="220" spans="1:6" ht="15.75" customHeight="1" x14ac:dyDescent="0.2">
      <c r="A220" s="188" t="s">
        <v>458</v>
      </c>
      <c r="B220" s="189"/>
      <c r="C220" s="156">
        <v>1455993</v>
      </c>
      <c r="D220" s="190">
        <v>0</v>
      </c>
      <c r="E220" s="190"/>
      <c r="F220" s="156">
        <v>1455993</v>
      </c>
    </row>
    <row r="221" spans="1:6" ht="31.5" customHeight="1" x14ac:dyDescent="0.2">
      <c r="A221" s="188" t="s">
        <v>460</v>
      </c>
      <c r="B221" s="189"/>
      <c r="C221" s="156">
        <v>1455993</v>
      </c>
      <c r="D221" s="190">
        <v>0</v>
      </c>
      <c r="E221" s="190"/>
      <c r="F221" s="156">
        <v>1455993</v>
      </c>
    </row>
    <row r="222" spans="1:6" ht="14.25" customHeight="1" x14ac:dyDescent="0.25">
      <c r="A222" s="131"/>
      <c r="B222" s="131"/>
      <c r="C222" s="132"/>
      <c r="D222" s="132"/>
      <c r="E222" s="132"/>
      <c r="F222" s="132"/>
    </row>
    <row r="223" spans="1:6" ht="15.75" customHeight="1" x14ac:dyDescent="0.2">
      <c r="A223" s="183" t="s">
        <v>574</v>
      </c>
      <c r="B223" s="189"/>
      <c r="C223" s="189"/>
      <c r="D223" s="189"/>
      <c r="E223" s="189"/>
      <c r="F223" s="189"/>
    </row>
    <row r="224" spans="1:6" ht="15.75" customHeight="1" x14ac:dyDescent="0.2">
      <c r="A224" s="183" t="s">
        <v>446</v>
      </c>
      <c r="B224" s="184"/>
      <c r="C224" s="157">
        <v>395046</v>
      </c>
      <c r="D224" s="185">
        <v>0</v>
      </c>
      <c r="E224" s="185"/>
      <c r="F224" s="157">
        <v>395046</v>
      </c>
    </row>
    <row r="225" spans="1:6" ht="15.75" customHeight="1" x14ac:dyDescent="0.2">
      <c r="A225" s="188" t="s">
        <v>447</v>
      </c>
      <c r="B225" s="189"/>
      <c r="C225" s="156">
        <v>217506</v>
      </c>
      <c r="D225" s="190">
        <v>0</v>
      </c>
      <c r="E225" s="190"/>
      <c r="F225" s="156">
        <v>217506</v>
      </c>
    </row>
    <row r="226" spans="1:6" ht="15.75" customHeight="1" x14ac:dyDescent="0.2">
      <c r="A226" s="188" t="s">
        <v>448</v>
      </c>
      <c r="B226" s="189"/>
      <c r="C226" s="156">
        <v>168254</v>
      </c>
      <c r="D226" s="190">
        <v>0</v>
      </c>
      <c r="E226" s="190"/>
      <c r="F226" s="156">
        <v>168254</v>
      </c>
    </row>
    <row r="227" spans="1:6" ht="15.75" customHeight="1" x14ac:dyDescent="0.2">
      <c r="A227" s="188" t="s">
        <v>449</v>
      </c>
      <c r="B227" s="189"/>
      <c r="C227" s="156">
        <v>49252</v>
      </c>
      <c r="D227" s="190">
        <v>0</v>
      </c>
      <c r="E227" s="190"/>
      <c r="F227" s="156">
        <v>49252</v>
      </c>
    </row>
    <row r="228" spans="1:6" ht="15.75" customHeight="1" x14ac:dyDescent="0.2">
      <c r="A228" s="188" t="s">
        <v>450</v>
      </c>
      <c r="B228" s="189"/>
      <c r="C228" s="156">
        <v>169420</v>
      </c>
      <c r="D228" s="190">
        <v>0</v>
      </c>
      <c r="E228" s="190"/>
      <c r="F228" s="156">
        <v>169420</v>
      </c>
    </row>
    <row r="229" spans="1:6" ht="15.75" customHeight="1" x14ac:dyDescent="0.2">
      <c r="A229" s="188" t="s">
        <v>548</v>
      </c>
      <c r="B229" s="189"/>
      <c r="C229" s="156">
        <v>8637</v>
      </c>
      <c r="D229" s="190">
        <v>0</v>
      </c>
      <c r="E229" s="190"/>
      <c r="F229" s="156">
        <v>8637</v>
      </c>
    </row>
    <row r="230" spans="1:6" ht="15.75" customHeight="1" x14ac:dyDescent="0.2">
      <c r="A230" s="188" t="s">
        <v>451</v>
      </c>
      <c r="B230" s="189"/>
      <c r="C230" s="156">
        <v>106620</v>
      </c>
      <c r="D230" s="190">
        <v>0</v>
      </c>
      <c r="E230" s="190"/>
      <c r="F230" s="156">
        <v>106620</v>
      </c>
    </row>
    <row r="231" spans="1:6" ht="31.5" customHeight="1" x14ac:dyDescent="0.2">
      <c r="A231" s="188" t="s">
        <v>452</v>
      </c>
      <c r="B231" s="189"/>
      <c r="C231" s="156">
        <v>41863</v>
      </c>
      <c r="D231" s="190">
        <v>0</v>
      </c>
      <c r="E231" s="190"/>
      <c r="F231" s="156">
        <v>41863</v>
      </c>
    </row>
    <row r="232" spans="1:6" ht="15.75" customHeight="1" x14ac:dyDescent="0.2">
      <c r="A232" s="188" t="s">
        <v>550</v>
      </c>
      <c r="B232" s="189"/>
      <c r="C232" s="156">
        <v>12300</v>
      </c>
      <c r="D232" s="190">
        <v>0</v>
      </c>
      <c r="E232" s="190"/>
      <c r="F232" s="156">
        <v>12300</v>
      </c>
    </row>
    <row r="233" spans="1:6" ht="15.75" customHeight="1" x14ac:dyDescent="0.2">
      <c r="A233" s="188" t="s">
        <v>453</v>
      </c>
      <c r="B233" s="189"/>
      <c r="C233" s="156">
        <v>8120</v>
      </c>
      <c r="D233" s="190">
        <v>0</v>
      </c>
      <c r="E233" s="190"/>
      <c r="F233" s="156">
        <v>8120</v>
      </c>
    </row>
    <row r="234" spans="1:6" ht="15.75" customHeight="1" x14ac:dyDescent="0.2">
      <c r="A234" s="188" t="s">
        <v>553</v>
      </c>
      <c r="B234" s="189"/>
      <c r="C234" s="156">
        <v>4820</v>
      </c>
      <c r="D234" s="190">
        <v>0</v>
      </c>
      <c r="E234" s="190"/>
      <c r="F234" s="156">
        <v>4820</v>
      </c>
    </row>
    <row r="235" spans="1:6" ht="15.75" customHeight="1" x14ac:dyDescent="0.2">
      <c r="A235" s="188" t="s">
        <v>454</v>
      </c>
      <c r="B235" s="189"/>
      <c r="C235" s="156">
        <v>3300</v>
      </c>
      <c r="D235" s="190">
        <v>0</v>
      </c>
      <c r="E235" s="190"/>
      <c r="F235" s="156">
        <v>3300</v>
      </c>
    </row>
    <row r="236" spans="1:6" ht="14.25" customHeight="1" x14ac:dyDescent="0.25">
      <c r="A236" s="131"/>
      <c r="B236" s="131"/>
      <c r="C236" s="132"/>
      <c r="D236" s="132"/>
      <c r="E236" s="132"/>
      <c r="F236" s="132"/>
    </row>
    <row r="237" spans="1:6" ht="15.75" customHeight="1" x14ac:dyDescent="0.2">
      <c r="A237" s="183" t="s">
        <v>575</v>
      </c>
      <c r="B237" s="189"/>
      <c r="C237" s="189"/>
      <c r="D237" s="189"/>
      <c r="E237" s="189"/>
      <c r="F237" s="189"/>
    </row>
    <row r="238" spans="1:6" ht="15.75" customHeight="1" x14ac:dyDescent="0.2">
      <c r="A238" s="183" t="s">
        <v>446</v>
      </c>
      <c r="B238" s="184"/>
      <c r="C238" s="157">
        <v>5303</v>
      </c>
      <c r="D238" s="185">
        <v>0</v>
      </c>
      <c r="E238" s="185"/>
      <c r="F238" s="157">
        <v>5303</v>
      </c>
    </row>
    <row r="239" spans="1:6" ht="15.75" customHeight="1" x14ac:dyDescent="0.2">
      <c r="A239" s="188" t="s">
        <v>450</v>
      </c>
      <c r="B239" s="189"/>
      <c r="C239" s="156">
        <v>2868</v>
      </c>
      <c r="D239" s="190">
        <v>0</v>
      </c>
      <c r="E239" s="190"/>
      <c r="F239" s="156">
        <v>2868</v>
      </c>
    </row>
    <row r="240" spans="1:6" ht="15.75" customHeight="1" x14ac:dyDescent="0.2">
      <c r="A240" s="188" t="s">
        <v>548</v>
      </c>
      <c r="B240" s="189"/>
      <c r="C240" s="156">
        <v>393</v>
      </c>
      <c r="D240" s="190">
        <v>0</v>
      </c>
      <c r="E240" s="190"/>
      <c r="F240" s="156">
        <v>393</v>
      </c>
    </row>
    <row r="241" spans="1:6" ht="15.75" customHeight="1" x14ac:dyDescent="0.2">
      <c r="A241" s="188" t="s">
        <v>451</v>
      </c>
      <c r="B241" s="189"/>
      <c r="C241" s="156">
        <v>2475</v>
      </c>
      <c r="D241" s="190">
        <v>0</v>
      </c>
      <c r="E241" s="190"/>
      <c r="F241" s="156">
        <v>2475</v>
      </c>
    </row>
    <row r="242" spans="1:6" ht="15.75" customHeight="1" x14ac:dyDescent="0.2">
      <c r="A242" s="188" t="s">
        <v>453</v>
      </c>
      <c r="B242" s="189"/>
      <c r="C242" s="156">
        <v>2435</v>
      </c>
      <c r="D242" s="190">
        <v>0</v>
      </c>
      <c r="E242" s="190"/>
      <c r="F242" s="156">
        <v>2435</v>
      </c>
    </row>
    <row r="243" spans="1:6" ht="15.75" customHeight="1" x14ac:dyDescent="0.2">
      <c r="A243" s="188" t="s">
        <v>553</v>
      </c>
      <c r="B243" s="189"/>
      <c r="C243" s="156">
        <v>2435</v>
      </c>
      <c r="D243" s="190">
        <v>0</v>
      </c>
      <c r="E243" s="190"/>
      <c r="F243" s="156">
        <v>2435</v>
      </c>
    </row>
    <row r="244" spans="1:6" ht="14.25" customHeight="1" x14ac:dyDescent="0.25">
      <c r="A244" s="131"/>
      <c r="B244" s="131"/>
      <c r="C244" s="132"/>
      <c r="D244" s="132"/>
      <c r="E244" s="132"/>
      <c r="F244" s="132"/>
    </row>
    <row r="245" spans="1:6" ht="15.75" customHeight="1" x14ac:dyDescent="0.2">
      <c r="A245" s="183" t="s">
        <v>576</v>
      </c>
      <c r="B245" s="189"/>
      <c r="C245" s="189"/>
      <c r="D245" s="189"/>
      <c r="E245" s="189"/>
      <c r="F245" s="189"/>
    </row>
    <row r="246" spans="1:6" ht="15.75" customHeight="1" x14ac:dyDescent="0.2">
      <c r="A246" s="183" t="s">
        <v>446</v>
      </c>
      <c r="B246" s="184"/>
      <c r="C246" s="157">
        <v>4748</v>
      </c>
      <c r="D246" s="185">
        <v>0</v>
      </c>
      <c r="E246" s="185"/>
      <c r="F246" s="157">
        <v>4748</v>
      </c>
    </row>
    <row r="247" spans="1:6" ht="15.75" customHeight="1" x14ac:dyDescent="0.2">
      <c r="A247" s="188" t="s">
        <v>453</v>
      </c>
      <c r="B247" s="189"/>
      <c r="C247" s="156">
        <v>4748</v>
      </c>
      <c r="D247" s="190">
        <v>0</v>
      </c>
      <c r="E247" s="190"/>
      <c r="F247" s="156">
        <v>4748</v>
      </c>
    </row>
    <row r="248" spans="1:6" ht="15.75" customHeight="1" x14ac:dyDescent="0.2">
      <c r="A248" s="188" t="s">
        <v>454</v>
      </c>
      <c r="B248" s="189"/>
      <c r="C248" s="156">
        <v>4748</v>
      </c>
      <c r="D248" s="190">
        <v>0</v>
      </c>
      <c r="E248" s="190"/>
      <c r="F248" s="156">
        <v>4748</v>
      </c>
    </row>
    <row r="249" spans="1:6" ht="14.25" customHeight="1" x14ac:dyDescent="0.25">
      <c r="A249" s="131"/>
      <c r="B249" s="131"/>
      <c r="C249" s="132"/>
      <c r="D249" s="132"/>
      <c r="E249" s="132"/>
      <c r="F249" s="132"/>
    </row>
    <row r="250" spans="1:6" ht="15.75" customHeight="1" x14ac:dyDescent="0.2">
      <c r="A250" s="183" t="s">
        <v>577</v>
      </c>
      <c r="B250" s="189"/>
      <c r="C250" s="189"/>
      <c r="D250" s="189"/>
      <c r="E250" s="189"/>
      <c r="F250" s="189"/>
    </row>
    <row r="251" spans="1:6" ht="15.75" customHeight="1" x14ac:dyDescent="0.2">
      <c r="A251" s="183" t="s">
        <v>446</v>
      </c>
      <c r="B251" s="184"/>
      <c r="C251" s="157">
        <v>90078</v>
      </c>
      <c r="D251" s="185">
        <v>0</v>
      </c>
      <c r="E251" s="185"/>
      <c r="F251" s="157">
        <v>90078</v>
      </c>
    </row>
    <row r="252" spans="1:6" ht="15.75" customHeight="1" x14ac:dyDescent="0.2">
      <c r="A252" s="188" t="s">
        <v>450</v>
      </c>
      <c r="B252" s="189"/>
      <c r="C252" s="156">
        <v>44578</v>
      </c>
      <c r="D252" s="190">
        <v>0</v>
      </c>
      <c r="E252" s="190"/>
      <c r="F252" s="156">
        <v>44578</v>
      </c>
    </row>
    <row r="253" spans="1:6" ht="15.75" customHeight="1" x14ac:dyDescent="0.2">
      <c r="A253" s="188" t="s">
        <v>451</v>
      </c>
      <c r="B253" s="189"/>
      <c r="C253" s="156">
        <v>37528</v>
      </c>
      <c r="D253" s="190">
        <v>0</v>
      </c>
      <c r="E253" s="190"/>
      <c r="F253" s="156">
        <v>37528</v>
      </c>
    </row>
    <row r="254" spans="1:6" ht="15.75" customHeight="1" x14ac:dyDescent="0.2">
      <c r="A254" s="188" t="s">
        <v>550</v>
      </c>
      <c r="B254" s="189"/>
      <c r="C254" s="156">
        <v>7050</v>
      </c>
      <c r="D254" s="190">
        <v>0</v>
      </c>
      <c r="E254" s="190"/>
      <c r="F254" s="156">
        <v>7050</v>
      </c>
    </row>
    <row r="255" spans="1:6" ht="15.75" customHeight="1" x14ac:dyDescent="0.2">
      <c r="A255" s="188" t="s">
        <v>453</v>
      </c>
      <c r="B255" s="189"/>
      <c r="C255" s="156">
        <v>45500</v>
      </c>
      <c r="D255" s="190">
        <v>0</v>
      </c>
      <c r="E255" s="190"/>
      <c r="F255" s="156">
        <v>45500</v>
      </c>
    </row>
    <row r="256" spans="1:6" ht="15.75" customHeight="1" x14ac:dyDescent="0.2">
      <c r="A256" s="188" t="s">
        <v>454</v>
      </c>
      <c r="B256" s="189"/>
      <c r="C256" s="156">
        <v>45500</v>
      </c>
      <c r="D256" s="190">
        <v>0</v>
      </c>
      <c r="E256" s="190"/>
      <c r="F256" s="156">
        <v>45500</v>
      </c>
    </row>
    <row r="257" spans="1:6" ht="14.25" customHeight="1" x14ac:dyDescent="0.25">
      <c r="A257" s="131"/>
      <c r="B257" s="131"/>
      <c r="C257" s="132"/>
      <c r="D257" s="132"/>
      <c r="E257" s="132"/>
      <c r="F257" s="132"/>
    </row>
    <row r="258" spans="1:6" ht="31.5" customHeight="1" x14ac:dyDescent="0.2">
      <c r="A258" s="183" t="s">
        <v>578</v>
      </c>
      <c r="B258" s="189"/>
      <c r="C258" s="189"/>
      <c r="D258" s="189"/>
      <c r="E258" s="189"/>
      <c r="F258" s="189"/>
    </row>
    <row r="259" spans="1:6" ht="15.75" customHeight="1" x14ac:dyDescent="0.2">
      <c r="A259" s="183" t="s">
        <v>446</v>
      </c>
      <c r="B259" s="184"/>
      <c r="C259" s="157">
        <v>62280</v>
      </c>
      <c r="D259" s="185">
        <v>0</v>
      </c>
      <c r="E259" s="185"/>
      <c r="F259" s="157">
        <v>62280</v>
      </c>
    </row>
    <row r="260" spans="1:6" ht="15.75" customHeight="1" x14ac:dyDescent="0.2">
      <c r="A260" s="188" t="s">
        <v>458</v>
      </c>
      <c r="B260" s="189"/>
      <c r="C260" s="156">
        <v>62280</v>
      </c>
      <c r="D260" s="190">
        <v>0</v>
      </c>
      <c r="E260" s="190"/>
      <c r="F260" s="156">
        <v>62280</v>
      </c>
    </row>
    <row r="261" spans="1:6" ht="31.5" customHeight="1" x14ac:dyDescent="0.2">
      <c r="A261" s="188" t="s">
        <v>459</v>
      </c>
      <c r="B261" s="189"/>
      <c r="C261" s="156">
        <v>62280</v>
      </c>
      <c r="D261" s="190">
        <v>0</v>
      </c>
      <c r="E261" s="190"/>
      <c r="F261" s="156">
        <v>62280</v>
      </c>
    </row>
    <row r="262" spans="1:6" ht="14.25" customHeight="1" x14ac:dyDescent="0.25">
      <c r="A262" s="131"/>
      <c r="B262" s="131"/>
      <c r="C262" s="132"/>
      <c r="D262" s="132"/>
      <c r="E262" s="132"/>
      <c r="F262" s="132"/>
    </row>
    <row r="263" spans="1:6" ht="15.75" customHeight="1" x14ac:dyDescent="0.2">
      <c r="A263" s="183" t="s">
        <v>579</v>
      </c>
      <c r="B263" s="189"/>
      <c r="C263" s="189"/>
      <c r="D263" s="189"/>
      <c r="E263" s="189"/>
      <c r="F263" s="189"/>
    </row>
    <row r="264" spans="1:6" ht="15.75" customHeight="1" x14ac:dyDescent="0.2">
      <c r="A264" s="183" t="s">
        <v>446</v>
      </c>
      <c r="B264" s="184"/>
      <c r="C264" s="157">
        <v>2500</v>
      </c>
      <c r="D264" s="185">
        <v>0</v>
      </c>
      <c r="E264" s="185"/>
      <c r="F264" s="157">
        <v>2500</v>
      </c>
    </row>
    <row r="265" spans="1:6" ht="31.5" customHeight="1" x14ac:dyDescent="0.2">
      <c r="A265" s="188" t="s">
        <v>554</v>
      </c>
      <c r="B265" s="189"/>
      <c r="C265" s="156">
        <v>2500</v>
      </c>
      <c r="D265" s="190">
        <v>0</v>
      </c>
      <c r="E265" s="190"/>
      <c r="F265" s="156">
        <v>2500</v>
      </c>
    </row>
    <row r="266" spans="1:6" ht="15.75" customHeight="1" x14ac:dyDescent="0.2">
      <c r="A266" s="188" t="s">
        <v>555</v>
      </c>
      <c r="B266" s="189"/>
      <c r="C266" s="156">
        <v>2500</v>
      </c>
      <c r="D266" s="190">
        <v>0</v>
      </c>
      <c r="E266" s="190"/>
      <c r="F266" s="156">
        <v>2500</v>
      </c>
    </row>
    <row r="267" spans="1:6" ht="14.25" customHeight="1" x14ac:dyDescent="0.25">
      <c r="A267" s="131"/>
      <c r="B267" s="131"/>
      <c r="C267" s="132"/>
      <c r="D267" s="132"/>
      <c r="E267" s="132"/>
      <c r="F267" s="132"/>
    </row>
    <row r="268" spans="1:6" ht="15.75" customHeight="1" x14ac:dyDescent="0.2">
      <c r="A268" s="183" t="s">
        <v>462</v>
      </c>
      <c r="B268" s="189"/>
      <c r="C268" s="189"/>
      <c r="D268" s="189"/>
      <c r="E268" s="189"/>
      <c r="F268" s="189"/>
    </row>
    <row r="269" spans="1:6" ht="15.75" customHeight="1" x14ac:dyDescent="0.2">
      <c r="A269" s="183" t="s">
        <v>446</v>
      </c>
      <c r="B269" s="184"/>
      <c r="C269" s="157">
        <v>1866639</v>
      </c>
      <c r="D269" s="185">
        <v>0</v>
      </c>
      <c r="E269" s="185"/>
      <c r="F269" s="157">
        <v>1866639</v>
      </c>
    </row>
    <row r="270" spans="1:6" ht="15.75" customHeight="1" x14ac:dyDescent="0.2">
      <c r="A270" s="188" t="s">
        <v>450</v>
      </c>
      <c r="B270" s="189"/>
      <c r="C270" s="156">
        <v>1411995</v>
      </c>
      <c r="D270" s="190">
        <v>0</v>
      </c>
      <c r="E270" s="190"/>
      <c r="F270" s="156">
        <v>1411995</v>
      </c>
    </row>
    <row r="271" spans="1:6" ht="15.75" customHeight="1" x14ac:dyDescent="0.2">
      <c r="A271" s="188" t="s">
        <v>548</v>
      </c>
      <c r="B271" s="189"/>
      <c r="C271" s="156">
        <v>9610</v>
      </c>
      <c r="D271" s="190">
        <v>0</v>
      </c>
      <c r="E271" s="190"/>
      <c r="F271" s="156">
        <v>9610</v>
      </c>
    </row>
    <row r="272" spans="1:6" ht="15.75" customHeight="1" x14ac:dyDescent="0.2">
      <c r="A272" s="188" t="s">
        <v>451</v>
      </c>
      <c r="B272" s="189"/>
      <c r="C272" s="156">
        <v>1399639</v>
      </c>
      <c r="D272" s="190">
        <v>0</v>
      </c>
      <c r="E272" s="190"/>
      <c r="F272" s="156">
        <v>1399639</v>
      </c>
    </row>
    <row r="273" spans="1:6" ht="31.5" customHeight="1" x14ac:dyDescent="0.2">
      <c r="A273" s="188" t="s">
        <v>452</v>
      </c>
      <c r="B273" s="189"/>
      <c r="C273" s="156">
        <v>2746</v>
      </c>
      <c r="D273" s="190">
        <v>0</v>
      </c>
      <c r="E273" s="190"/>
      <c r="F273" s="156">
        <v>2746</v>
      </c>
    </row>
    <row r="274" spans="1:6" ht="15.75" customHeight="1" x14ac:dyDescent="0.2">
      <c r="A274" s="188" t="s">
        <v>458</v>
      </c>
      <c r="B274" s="189"/>
      <c r="C274" s="156">
        <v>353375</v>
      </c>
      <c r="D274" s="190">
        <v>0</v>
      </c>
      <c r="E274" s="190"/>
      <c r="F274" s="156">
        <v>353375</v>
      </c>
    </row>
    <row r="275" spans="1:6" ht="31.5" customHeight="1" x14ac:dyDescent="0.2">
      <c r="A275" s="188" t="s">
        <v>459</v>
      </c>
      <c r="B275" s="189"/>
      <c r="C275" s="156">
        <v>353375</v>
      </c>
      <c r="D275" s="190">
        <v>0</v>
      </c>
      <c r="E275" s="190"/>
      <c r="F275" s="156">
        <v>353375</v>
      </c>
    </row>
    <row r="276" spans="1:6" ht="15.75" customHeight="1" x14ac:dyDescent="0.2">
      <c r="A276" s="188" t="s">
        <v>453</v>
      </c>
      <c r="B276" s="189"/>
      <c r="C276" s="156">
        <v>101269</v>
      </c>
      <c r="D276" s="190">
        <v>0</v>
      </c>
      <c r="E276" s="190"/>
      <c r="F276" s="156">
        <v>101269</v>
      </c>
    </row>
    <row r="277" spans="1:6" ht="15.75" customHeight="1" x14ac:dyDescent="0.2">
      <c r="A277" s="188" t="s">
        <v>454</v>
      </c>
      <c r="B277" s="189"/>
      <c r="C277" s="156">
        <v>101269</v>
      </c>
      <c r="D277" s="190">
        <v>0</v>
      </c>
      <c r="E277" s="190"/>
      <c r="F277" s="156">
        <v>101269</v>
      </c>
    </row>
    <row r="278" spans="1:6" ht="14.25" customHeight="1" x14ac:dyDescent="0.25">
      <c r="A278" s="131"/>
      <c r="B278" s="131"/>
      <c r="C278" s="132"/>
      <c r="D278" s="132"/>
      <c r="E278" s="132"/>
      <c r="F278" s="132"/>
    </row>
    <row r="279" spans="1:6" ht="15.75" customHeight="1" x14ac:dyDescent="0.2">
      <c r="A279" s="183" t="s">
        <v>580</v>
      </c>
      <c r="B279" s="189"/>
      <c r="C279" s="189"/>
      <c r="D279" s="189"/>
      <c r="E279" s="189"/>
      <c r="F279" s="189"/>
    </row>
    <row r="280" spans="1:6" ht="15.75" customHeight="1" x14ac:dyDescent="0.2">
      <c r="A280" s="183" t="s">
        <v>446</v>
      </c>
      <c r="B280" s="184"/>
      <c r="C280" s="157">
        <v>933567</v>
      </c>
      <c r="D280" s="185">
        <v>0</v>
      </c>
      <c r="E280" s="185"/>
      <c r="F280" s="157">
        <v>933567</v>
      </c>
    </row>
    <row r="281" spans="1:6" ht="15.75" customHeight="1" x14ac:dyDescent="0.2">
      <c r="A281" s="188" t="s">
        <v>450</v>
      </c>
      <c r="B281" s="189"/>
      <c r="C281" s="156">
        <v>933567</v>
      </c>
      <c r="D281" s="190">
        <v>0</v>
      </c>
      <c r="E281" s="190"/>
      <c r="F281" s="156">
        <v>933567</v>
      </c>
    </row>
    <row r="282" spans="1:6" ht="15.75" customHeight="1" x14ac:dyDescent="0.2">
      <c r="A282" s="188" t="s">
        <v>451</v>
      </c>
      <c r="B282" s="189"/>
      <c r="C282" s="156">
        <v>932196</v>
      </c>
      <c r="D282" s="190">
        <v>0</v>
      </c>
      <c r="E282" s="190"/>
      <c r="F282" s="156">
        <v>932196</v>
      </c>
    </row>
    <row r="283" spans="1:6" ht="31.5" customHeight="1" x14ac:dyDescent="0.2">
      <c r="A283" s="188" t="s">
        <v>452</v>
      </c>
      <c r="B283" s="189"/>
      <c r="C283" s="156">
        <v>1371</v>
      </c>
      <c r="D283" s="190">
        <v>0</v>
      </c>
      <c r="E283" s="190"/>
      <c r="F283" s="156">
        <v>1371</v>
      </c>
    </row>
    <row r="284" spans="1:6" ht="14.25" customHeight="1" x14ac:dyDescent="0.25">
      <c r="A284" s="131"/>
      <c r="B284" s="131"/>
      <c r="C284" s="132"/>
      <c r="D284" s="132"/>
      <c r="E284" s="132"/>
      <c r="F284" s="132"/>
    </row>
    <row r="285" spans="1:6" ht="15.75" customHeight="1" x14ac:dyDescent="0.2">
      <c r="A285" s="183" t="s">
        <v>581</v>
      </c>
      <c r="B285" s="189"/>
      <c r="C285" s="189"/>
      <c r="D285" s="189"/>
      <c r="E285" s="189"/>
      <c r="F285" s="189"/>
    </row>
    <row r="286" spans="1:6" ht="15.75" customHeight="1" x14ac:dyDescent="0.2">
      <c r="A286" s="183" t="s">
        <v>446</v>
      </c>
      <c r="B286" s="184"/>
      <c r="C286" s="157">
        <v>353375</v>
      </c>
      <c r="D286" s="185">
        <v>0</v>
      </c>
      <c r="E286" s="185"/>
      <c r="F286" s="157">
        <v>353375</v>
      </c>
    </row>
    <row r="287" spans="1:6" ht="15.75" customHeight="1" x14ac:dyDescent="0.2">
      <c r="A287" s="188" t="s">
        <v>458</v>
      </c>
      <c r="B287" s="189"/>
      <c r="C287" s="156">
        <v>353375</v>
      </c>
      <c r="D287" s="190">
        <v>0</v>
      </c>
      <c r="E287" s="190"/>
      <c r="F287" s="156">
        <v>353375</v>
      </c>
    </row>
    <row r="288" spans="1:6" ht="31.5" customHeight="1" x14ac:dyDescent="0.2">
      <c r="A288" s="188" t="s">
        <v>459</v>
      </c>
      <c r="B288" s="189"/>
      <c r="C288" s="156">
        <v>353375</v>
      </c>
      <c r="D288" s="190">
        <v>0</v>
      </c>
      <c r="E288" s="190"/>
      <c r="F288" s="156">
        <v>353375</v>
      </c>
    </row>
    <row r="289" spans="1:6" ht="14.25" customHeight="1" x14ac:dyDescent="0.25">
      <c r="A289" s="131"/>
      <c r="B289" s="131"/>
      <c r="C289" s="132"/>
      <c r="D289" s="132"/>
      <c r="E289" s="132"/>
      <c r="F289" s="132"/>
    </row>
    <row r="290" spans="1:6" ht="15.75" customHeight="1" x14ac:dyDescent="0.2">
      <c r="A290" s="183" t="s">
        <v>463</v>
      </c>
      <c r="B290" s="189"/>
      <c r="C290" s="189"/>
      <c r="D290" s="189"/>
      <c r="E290" s="189"/>
      <c r="F290" s="189"/>
    </row>
    <row r="291" spans="1:6" ht="15.75" customHeight="1" x14ac:dyDescent="0.2">
      <c r="A291" s="183" t="s">
        <v>446</v>
      </c>
      <c r="B291" s="184"/>
      <c r="C291" s="157">
        <v>520500</v>
      </c>
      <c r="D291" s="185">
        <v>0</v>
      </c>
      <c r="E291" s="185"/>
      <c r="F291" s="157">
        <v>520500</v>
      </c>
    </row>
    <row r="292" spans="1:6" ht="15.75" customHeight="1" x14ac:dyDescent="0.2">
      <c r="A292" s="188" t="s">
        <v>450</v>
      </c>
      <c r="B292" s="189"/>
      <c r="C292" s="156">
        <v>465324</v>
      </c>
      <c r="D292" s="190">
        <v>0</v>
      </c>
      <c r="E292" s="190"/>
      <c r="F292" s="156">
        <v>465324</v>
      </c>
    </row>
    <row r="293" spans="1:6" ht="15.75" customHeight="1" x14ac:dyDescent="0.2">
      <c r="A293" s="188" t="s">
        <v>451</v>
      </c>
      <c r="B293" s="189"/>
      <c r="C293" s="156">
        <v>464824</v>
      </c>
      <c r="D293" s="190">
        <v>0</v>
      </c>
      <c r="E293" s="190"/>
      <c r="F293" s="156">
        <v>464824</v>
      </c>
    </row>
    <row r="294" spans="1:6" ht="31.5" customHeight="1" x14ac:dyDescent="0.2">
      <c r="A294" s="188" t="s">
        <v>452</v>
      </c>
      <c r="B294" s="189"/>
      <c r="C294" s="156">
        <v>500</v>
      </c>
      <c r="D294" s="190">
        <v>0</v>
      </c>
      <c r="E294" s="190"/>
      <c r="F294" s="156">
        <v>500</v>
      </c>
    </row>
    <row r="295" spans="1:6" ht="15.75" customHeight="1" x14ac:dyDescent="0.2">
      <c r="A295" s="188" t="s">
        <v>453</v>
      </c>
      <c r="B295" s="189"/>
      <c r="C295" s="156">
        <v>55176</v>
      </c>
      <c r="D295" s="190">
        <v>0</v>
      </c>
      <c r="E295" s="190"/>
      <c r="F295" s="156">
        <v>55176</v>
      </c>
    </row>
    <row r="296" spans="1:6" ht="15.75" customHeight="1" x14ac:dyDescent="0.2">
      <c r="A296" s="188" t="s">
        <v>454</v>
      </c>
      <c r="B296" s="189"/>
      <c r="C296" s="156">
        <v>55176</v>
      </c>
      <c r="D296" s="190">
        <v>0</v>
      </c>
      <c r="E296" s="190"/>
      <c r="F296" s="156">
        <v>55176</v>
      </c>
    </row>
    <row r="297" spans="1:6" ht="14.25" customHeight="1" x14ac:dyDescent="0.25">
      <c r="A297" s="131"/>
      <c r="B297" s="131"/>
      <c r="C297" s="132"/>
      <c r="D297" s="132"/>
      <c r="E297" s="132"/>
      <c r="F297" s="132"/>
    </row>
    <row r="298" spans="1:6" ht="15.75" customHeight="1" x14ac:dyDescent="0.2">
      <c r="A298" s="183" t="s">
        <v>582</v>
      </c>
      <c r="B298" s="189"/>
      <c r="C298" s="189"/>
      <c r="D298" s="189"/>
      <c r="E298" s="189"/>
      <c r="F298" s="189"/>
    </row>
    <row r="299" spans="1:6" ht="15.75" customHeight="1" x14ac:dyDescent="0.2">
      <c r="A299" s="183" t="s">
        <v>446</v>
      </c>
      <c r="B299" s="184"/>
      <c r="C299" s="157">
        <v>45496</v>
      </c>
      <c r="D299" s="185">
        <v>0</v>
      </c>
      <c r="E299" s="185"/>
      <c r="F299" s="157">
        <v>45496</v>
      </c>
    </row>
    <row r="300" spans="1:6" ht="15.75" customHeight="1" x14ac:dyDescent="0.2">
      <c r="A300" s="188" t="s">
        <v>450</v>
      </c>
      <c r="B300" s="189"/>
      <c r="C300" s="156">
        <v>12119</v>
      </c>
      <c r="D300" s="190">
        <v>0</v>
      </c>
      <c r="E300" s="190"/>
      <c r="F300" s="156">
        <v>12119</v>
      </c>
    </row>
    <row r="301" spans="1:6" ht="15.75" customHeight="1" x14ac:dyDescent="0.2">
      <c r="A301" s="188" t="s">
        <v>548</v>
      </c>
      <c r="B301" s="189"/>
      <c r="C301" s="156">
        <v>9500</v>
      </c>
      <c r="D301" s="190">
        <v>0</v>
      </c>
      <c r="E301" s="190"/>
      <c r="F301" s="156">
        <v>9500</v>
      </c>
    </row>
    <row r="302" spans="1:6" ht="15.75" customHeight="1" x14ac:dyDescent="0.2">
      <c r="A302" s="188" t="s">
        <v>451</v>
      </c>
      <c r="B302" s="189"/>
      <c r="C302" s="156">
        <v>2619</v>
      </c>
      <c r="D302" s="190">
        <v>0</v>
      </c>
      <c r="E302" s="190"/>
      <c r="F302" s="156">
        <v>2619</v>
      </c>
    </row>
    <row r="303" spans="1:6" ht="15.75" customHeight="1" x14ac:dyDescent="0.2">
      <c r="A303" s="188" t="s">
        <v>453</v>
      </c>
      <c r="B303" s="189"/>
      <c r="C303" s="156">
        <v>33377</v>
      </c>
      <c r="D303" s="190">
        <v>0</v>
      </c>
      <c r="E303" s="190"/>
      <c r="F303" s="156">
        <v>33377</v>
      </c>
    </row>
    <row r="304" spans="1:6" ht="15.75" customHeight="1" x14ac:dyDescent="0.2">
      <c r="A304" s="188" t="s">
        <v>454</v>
      </c>
      <c r="B304" s="189"/>
      <c r="C304" s="156">
        <v>33377</v>
      </c>
      <c r="D304" s="190">
        <v>0</v>
      </c>
      <c r="E304" s="190"/>
      <c r="F304" s="156">
        <v>33377</v>
      </c>
    </row>
    <row r="305" spans="1:6" ht="14.25" customHeight="1" x14ac:dyDescent="0.25">
      <c r="A305" s="131"/>
      <c r="B305" s="131"/>
      <c r="C305" s="132"/>
      <c r="D305" s="132"/>
      <c r="E305" s="132"/>
      <c r="F305" s="132"/>
    </row>
    <row r="306" spans="1:6" ht="31.5" customHeight="1" x14ac:dyDescent="0.2">
      <c r="A306" s="183" t="s">
        <v>583</v>
      </c>
      <c r="B306" s="189"/>
      <c r="C306" s="189"/>
      <c r="D306" s="189"/>
      <c r="E306" s="189"/>
      <c r="F306" s="189"/>
    </row>
    <row r="307" spans="1:6" ht="15.75" customHeight="1" x14ac:dyDescent="0.2">
      <c r="A307" s="183" t="s">
        <v>446</v>
      </c>
      <c r="B307" s="184"/>
      <c r="C307" s="157">
        <v>13701</v>
      </c>
      <c r="D307" s="185">
        <v>0</v>
      </c>
      <c r="E307" s="185"/>
      <c r="F307" s="157">
        <v>13701</v>
      </c>
    </row>
    <row r="308" spans="1:6" ht="15.75" customHeight="1" x14ac:dyDescent="0.2">
      <c r="A308" s="188" t="s">
        <v>450</v>
      </c>
      <c r="B308" s="189"/>
      <c r="C308" s="156">
        <v>985</v>
      </c>
      <c r="D308" s="190">
        <v>0</v>
      </c>
      <c r="E308" s="190"/>
      <c r="F308" s="156">
        <v>985</v>
      </c>
    </row>
    <row r="309" spans="1:6" ht="15.75" customHeight="1" x14ac:dyDescent="0.2">
      <c r="A309" s="188" t="s">
        <v>548</v>
      </c>
      <c r="B309" s="189"/>
      <c r="C309" s="156">
        <v>110</v>
      </c>
      <c r="D309" s="190">
        <v>0</v>
      </c>
      <c r="E309" s="190"/>
      <c r="F309" s="156">
        <v>110</v>
      </c>
    </row>
    <row r="310" spans="1:6" ht="31.5" customHeight="1" x14ac:dyDescent="0.2">
      <c r="A310" s="188" t="s">
        <v>452</v>
      </c>
      <c r="B310" s="189"/>
      <c r="C310" s="156">
        <v>875</v>
      </c>
      <c r="D310" s="190">
        <v>0</v>
      </c>
      <c r="E310" s="190"/>
      <c r="F310" s="156">
        <v>875</v>
      </c>
    </row>
    <row r="311" spans="1:6" ht="15.75" customHeight="1" x14ac:dyDescent="0.2">
      <c r="A311" s="188" t="s">
        <v>453</v>
      </c>
      <c r="B311" s="189"/>
      <c r="C311" s="156">
        <v>12716</v>
      </c>
      <c r="D311" s="190">
        <v>0</v>
      </c>
      <c r="E311" s="190"/>
      <c r="F311" s="156">
        <v>12716</v>
      </c>
    </row>
    <row r="312" spans="1:6" ht="15.75" customHeight="1" x14ac:dyDescent="0.2">
      <c r="A312" s="188" t="s">
        <v>454</v>
      </c>
      <c r="B312" s="189"/>
      <c r="C312" s="156">
        <v>12716</v>
      </c>
      <c r="D312" s="190">
        <v>0</v>
      </c>
      <c r="E312" s="190"/>
      <c r="F312" s="156">
        <v>12716</v>
      </c>
    </row>
    <row r="313" spans="1:6" ht="14.25" customHeight="1" x14ac:dyDescent="0.25">
      <c r="A313" s="131"/>
      <c r="B313" s="131"/>
      <c r="C313" s="132"/>
      <c r="D313" s="132"/>
      <c r="E313" s="132"/>
      <c r="F313" s="132"/>
    </row>
    <row r="314" spans="1:6" ht="15.75" customHeight="1" x14ac:dyDescent="0.2">
      <c r="A314" s="183" t="s">
        <v>464</v>
      </c>
      <c r="B314" s="189"/>
      <c r="C314" s="189"/>
      <c r="D314" s="189"/>
      <c r="E314" s="189"/>
      <c r="F314" s="189"/>
    </row>
    <row r="315" spans="1:6" ht="15.75" customHeight="1" x14ac:dyDescent="0.2">
      <c r="A315" s="183" t="s">
        <v>446</v>
      </c>
      <c r="B315" s="184"/>
      <c r="C315" s="157">
        <v>5312290</v>
      </c>
      <c r="D315" s="185">
        <v>47267</v>
      </c>
      <c r="E315" s="191"/>
      <c r="F315" s="157">
        <v>5359557</v>
      </c>
    </row>
    <row r="316" spans="1:6" ht="15.75" customHeight="1" x14ac:dyDescent="0.2">
      <c r="A316" s="188" t="s">
        <v>447</v>
      </c>
      <c r="B316" s="189"/>
      <c r="C316" s="156">
        <v>712334</v>
      </c>
      <c r="D316" s="190">
        <v>0</v>
      </c>
      <c r="E316" s="190"/>
      <c r="F316" s="156">
        <v>712334</v>
      </c>
    </row>
    <row r="317" spans="1:6" ht="15.75" customHeight="1" x14ac:dyDescent="0.2">
      <c r="A317" s="188" t="s">
        <v>448</v>
      </c>
      <c r="B317" s="189"/>
      <c r="C317" s="156">
        <v>542677</v>
      </c>
      <c r="D317" s="190">
        <v>0</v>
      </c>
      <c r="E317" s="190"/>
      <c r="F317" s="156">
        <v>542677</v>
      </c>
    </row>
    <row r="318" spans="1:6" ht="15.75" customHeight="1" x14ac:dyDescent="0.2">
      <c r="A318" s="188" t="s">
        <v>449</v>
      </c>
      <c r="B318" s="189"/>
      <c r="C318" s="156">
        <v>169657</v>
      </c>
      <c r="D318" s="190">
        <v>0</v>
      </c>
      <c r="E318" s="190"/>
      <c r="F318" s="156">
        <v>169657</v>
      </c>
    </row>
    <row r="319" spans="1:6" ht="15.75" customHeight="1" x14ac:dyDescent="0.2">
      <c r="A319" s="188" t="s">
        <v>450</v>
      </c>
      <c r="B319" s="189"/>
      <c r="C319" s="156">
        <v>1920110</v>
      </c>
      <c r="D319" s="190">
        <v>20807</v>
      </c>
      <c r="E319" s="187"/>
      <c r="F319" s="156">
        <v>1940917</v>
      </c>
    </row>
    <row r="320" spans="1:6" ht="15.75" customHeight="1" x14ac:dyDescent="0.2">
      <c r="A320" s="188" t="s">
        <v>548</v>
      </c>
      <c r="B320" s="189"/>
      <c r="C320" s="156">
        <v>2970</v>
      </c>
      <c r="D320" s="190">
        <v>0</v>
      </c>
      <c r="E320" s="190"/>
      <c r="F320" s="156">
        <v>2970</v>
      </c>
    </row>
    <row r="321" spans="1:6" ht="15.75" customHeight="1" x14ac:dyDescent="0.2">
      <c r="A321" s="188" t="s">
        <v>451</v>
      </c>
      <c r="B321" s="189"/>
      <c r="C321" s="156">
        <v>1782322</v>
      </c>
      <c r="D321" s="190">
        <v>20807</v>
      </c>
      <c r="E321" s="187"/>
      <c r="F321" s="156">
        <v>1803129</v>
      </c>
    </row>
    <row r="322" spans="1:6" ht="31.5" customHeight="1" x14ac:dyDescent="0.2">
      <c r="A322" s="188" t="s">
        <v>452</v>
      </c>
      <c r="B322" s="189"/>
      <c r="C322" s="156">
        <v>120618</v>
      </c>
      <c r="D322" s="190">
        <v>0</v>
      </c>
      <c r="E322" s="190"/>
      <c r="F322" s="156">
        <v>120618</v>
      </c>
    </row>
    <row r="323" spans="1:6" ht="15.75" customHeight="1" x14ac:dyDescent="0.2">
      <c r="A323" s="188" t="s">
        <v>550</v>
      </c>
      <c r="B323" s="189"/>
      <c r="C323" s="156">
        <v>14200</v>
      </c>
      <c r="D323" s="190">
        <v>0</v>
      </c>
      <c r="E323" s="190"/>
      <c r="F323" s="156">
        <v>14200</v>
      </c>
    </row>
    <row r="324" spans="1:6" ht="15.75" customHeight="1" x14ac:dyDescent="0.2">
      <c r="A324" s="188" t="s">
        <v>458</v>
      </c>
      <c r="B324" s="189"/>
      <c r="C324" s="156">
        <v>333707</v>
      </c>
      <c r="D324" s="190">
        <v>31460</v>
      </c>
      <c r="E324" s="187"/>
      <c r="F324" s="156">
        <v>365167</v>
      </c>
    </row>
    <row r="325" spans="1:6" ht="31.5" customHeight="1" x14ac:dyDescent="0.2">
      <c r="A325" s="188" t="s">
        <v>459</v>
      </c>
      <c r="B325" s="189"/>
      <c r="C325" s="156">
        <v>333707</v>
      </c>
      <c r="D325" s="190">
        <v>31460</v>
      </c>
      <c r="E325" s="187"/>
      <c r="F325" s="156">
        <v>365167</v>
      </c>
    </row>
    <row r="326" spans="1:6" ht="15.75" customHeight="1" x14ac:dyDescent="0.2">
      <c r="A326" s="188" t="s">
        <v>453</v>
      </c>
      <c r="B326" s="189"/>
      <c r="C326" s="156">
        <v>2346139</v>
      </c>
      <c r="D326" s="190">
        <v>-5000</v>
      </c>
      <c r="E326" s="187"/>
      <c r="F326" s="156">
        <v>2341139</v>
      </c>
    </row>
    <row r="327" spans="1:6" ht="15.75" customHeight="1" x14ac:dyDescent="0.2">
      <c r="A327" s="188" t="s">
        <v>553</v>
      </c>
      <c r="B327" s="189"/>
      <c r="C327" s="156">
        <v>9507</v>
      </c>
      <c r="D327" s="190">
        <v>0</v>
      </c>
      <c r="E327" s="190"/>
      <c r="F327" s="156">
        <v>9507</v>
      </c>
    </row>
    <row r="328" spans="1:6" ht="15.75" customHeight="1" x14ac:dyDescent="0.2">
      <c r="A328" s="188" t="s">
        <v>454</v>
      </c>
      <c r="B328" s="189"/>
      <c r="C328" s="156">
        <v>2336632</v>
      </c>
      <c r="D328" s="190">
        <v>-5000</v>
      </c>
      <c r="E328" s="187"/>
      <c r="F328" s="156">
        <v>2331632</v>
      </c>
    </row>
    <row r="329" spans="1:6" ht="14.25" customHeight="1" x14ac:dyDescent="0.25">
      <c r="A329" s="131"/>
      <c r="B329" s="131"/>
      <c r="C329" s="132"/>
      <c r="D329" s="132"/>
      <c r="E329" s="132"/>
      <c r="F329" s="132"/>
    </row>
    <row r="330" spans="1:6" ht="15.75" customHeight="1" x14ac:dyDescent="0.2">
      <c r="A330" s="183" t="s">
        <v>584</v>
      </c>
      <c r="B330" s="189"/>
      <c r="C330" s="189"/>
      <c r="D330" s="189"/>
      <c r="E330" s="189"/>
      <c r="F330" s="189"/>
    </row>
    <row r="331" spans="1:6" ht="15.75" customHeight="1" x14ac:dyDescent="0.2">
      <c r="A331" s="183" t="s">
        <v>446</v>
      </c>
      <c r="B331" s="184"/>
      <c r="C331" s="157">
        <v>1840806</v>
      </c>
      <c r="D331" s="185">
        <v>-30000</v>
      </c>
      <c r="E331" s="191"/>
      <c r="F331" s="157">
        <v>1810806</v>
      </c>
    </row>
    <row r="332" spans="1:6" ht="15.75" customHeight="1" x14ac:dyDescent="0.2">
      <c r="A332" s="188" t="s">
        <v>450</v>
      </c>
      <c r="B332" s="189"/>
      <c r="C332" s="156">
        <v>15000</v>
      </c>
      <c r="D332" s="190">
        <v>0</v>
      </c>
      <c r="E332" s="190"/>
      <c r="F332" s="156">
        <v>15000</v>
      </c>
    </row>
    <row r="333" spans="1:6" ht="15.75" customHeight="1" x14ac:dyDescent="0.2">
      <c r="A333" s="188" t="s">
        <v>451</v>
      </c>
      <c r="B333" s="189"/>
      <c r="C333" s="156">
        <v>15000</v>
      </c>
      <c r="D333" s="190">
        <v>0</v>
      </c>
      <c r="E333" s="190"/>
      <c r="F333" s="156">
        <v>15000</v>
      </c>
    </row>
    <row r="334" spans="1:6" ht="15.75" customHeight="1" x14ac:dyDescent="0.2">
      <c r="A334" s="188" t="s">
        <v>453</v>
      </c>
      <c r="B334" s="189"/>
      <c r="C334" s="156">
        <v>1825806</v>
      </c>
      <c r="D334" s="190">
        <v>-30000</v>
      </c>
      <c r="E334" s="187"/>
      <c r="F334" s="156">
        <v>1795806</v>
      </c>
    </row>
    <row r="335" spans="1:6" ht="15.75" customHeight="1" x14ac:dyDescent="0.2">
      <c r="A335" s="188" t="s">
        <v>454</v>
      </c>
      <c r="B335" s="189"/>
      <c r="C335" s="156">
        <v>1825806</v>
      </c>
      <c r="D335" s="190">
        <v>-30000</v>
      </c>
      <c r="E335" s="187"/>
      <c r="F335" s="156">
        <v>1795806</v>
      </c>
    </row>
    <row r="336" spans="1:6" ht="14.25" customHeight="1" x14ac:dyDescent="0.25">
      <c r="A336" s="131"/>
      <c r="B336" s="131"/>
      <c r="C336" s="132"/>
      <c r="D336" s="132"/>
      <c r="E336" s="132"/>
      <c r="F336" s="132"/>
    </row>
    <row r="337" spans="1:6" ht="15.75" customHeight="1" x14ac:dyDescent="0.2">
      <c r="A337" s="183" t="s">
        <v>585</v>
      </c>
      <c r="B337" s="189"/>
      <c r="C337" s="189"/>
      <c r="D337" s="189"/>
      <c r="E337" s="189"/>
      <c r="F337" s="189"/>
    </row>
    <row r="338" spans="1:6" ht="15.75" customHeight="1" x14ac:dyDescent="0.2">
      <c r="A338" s="183" t="s">
        <v>446</v>
      </c>
      <c r="B338" s="184"/>
      <c r="C338" s="157">
        <v>584912</v>
      </c>
      <c r="D338" s="185">
        <v>0</v>
      </c>
      <c r="E338" s="185"/>
      <c r="F338" s="157">
        <v>584912</v>
      </c>
    </row>
    <row r="339" spans="1:6" ht="15.75" customHeight="1" x14ac:dyDescent="0.2">
      <c r="A339" s="188" t="s">
        <v>450</v>
      </c>
      <c r="B339" s="189"/>
      <c r="C339" s="156">
        <v>523412</v>
      </c>
      <c r="D339" s="190">
        <v>0</v>
      </c>
      <c r="E339" s="190"/>
      <c r="F339" s="156">
        <v>523412</v>
      </c>
    </row>
    <row r="340" spans="1:6" ht="15.75" customHeight="1" x14ac:dyDescent="0.2">
      <c r="A340" s="188" t="s">
        <v>451</v>
      </c>
      <c r="B340" s="189"/>
      <c r="C340" s="156">
        <v>523412</v>
      </c>
      <c r="D340" s="190">
        <v>0</v>
      </c>
      <c r="E340" s="190"/>
      <c r="F340" s="156">
        <v>523412</v>
      </c>
    </row>
    <row r="341" spans="1:6" ht="15.75" customHeight="1" x14ac:dyDescent="0.2">
      <c r="A341" s="188" t="s">
        <v>453</v>
      </c>
      <c r="B341" s="189"/>
      <c r="C341" s="156">
        <v>61500</v>
      </c>
      <c r="D341" s="190">
        <v>0</v>
      </c>
      <c r="E341" s="190"/>
      <c r="F341" s="156">
        <v>61500</v>
      </c>
    </row>
    <row r="342" spans="1:6" ht="15.75" customHeight="1" x14ac:dyDescent="0.2">
      <c r="A342" s="188" t="s">
        <v>454</v>
      </c>
      <c r="B342" s="189"/>
      <c r="C342" s="156">
        <v>61500</v>
      </c>
      <c r="D342" s="190">
        <v>0</v>
      </c>
      <c r="E342" s="190"/>
      <c r="F342" s="156">
        <v>61500</v>
      </c>
    </row>
    <row r="343" spans="1:6" ht="14.25" customHeight="1" x14ac:dyDescent="0.25">
      <c r="A343" s="131"/>
      <c r="B343" s="131"/>
      <c r="C343" s="132"/>
      <c r="D343" s="132"/>
      <c r="E343" s="132"/>
      <c r="F343" s="132"/>
    </row>
    <row r="344" spans="1:6" ht="15.75" customHeight="1" x14ac:dyDescent="0.2">
      <c r="A344" s="183" t="s">
        <v>586</v>
      </c>
      <c r="B344" s="189"/>
      <c r="C344" s="189"/>
      <c r="D344" s="189"/>
      <c r="E344" s="189"/>
      <c r="F344" s="189"/>
    </row>
    <row r="345" spans="1:6" ht="15.75" customHeight="1" x14ac:dyDescent="0.2">
      <c r="A345" s="183" t="s">
        <v>446</v>
      </c>
      <c r="B345" s="184"/>
      <c r="C345" s="157">
        <v>864668</v>
      </c>
      <c r="D345" s="185">
        <v>0</v>
      </c>
      <c r="E345" s="185"/>
      <c r="F345" s="157">
        <v>864668</v>
      </c>
    </row>
    <row r="346" spans="1:6" ht="15.75" customHeight="1" x14ac:dyDescent="0.2">
      <c r="A346" s="188" t="s">
        <v>447</v>
      </c>
      <c r="B346" s="189"/>
      <c r="C346" s="156">
        <v>708834</v>
      </c>
      <c r="D346" s="190">
        <v>0</v>
      </c>
      <c r="E346" s="190"/>
      <c r="F346" s="156">
        <v>708834</v>
      </c>
    </row>
    <row r="347" spans="1:6" ht="15.75" customHeight="1" x14ac:dyDescent="0.2">
      <c r="A347" s="188" t="s">
        <v>448</v>
      </c>
      <c r="B347" s="189"/>
      <c r="C347" s="156">
        <v>539845</v>
      </c>
      <c r="D347" s="190">
        <v>0</v>
      </c>
      <c r="E347" s="190"/>
      <c r="F347" s="156">
        <v>539845</v>
      </c>
    </row>
    <row r="348" spans="1:6" ht="15.75" customHeight="1" x14ac:dyDescent="0.2">
      <c r="A348" s="188" t="s">
        <v>449</v>
      </c>
      <c r="B348" s="189"/>
      <c r="C348" s="156">
        <v>168989</v>
      </c>
      <c r="D348" s="190">
        <v>0</v>
      </c>
      <c r="E348" s="190"/>
      <c r="F348" s="156">
        <v>168989</v>
      </c>
    </row>
    <row r="349" spans="1:6" ht="15.75" customHeight="1" x14ac:dyDescent="0.2">
      <c r="A349" s="188" t="s">
        <v>450</v>
      </c>
      <c r="B349" s="189"/>
      <c r="C349" s="156">
        <v>109684</v>
      </c>
      <c r="D349" s="190">
        <v>0</v>
      </c>
      <c r="E349" s="190"/>
      <c r="F349" s="156">
        <v>109684</v>
      </c>
    </row>
    <row r="350" spans="1:6" ht="15.75" customHeight="1" x14ac:dyDescent="0.2">
      <c r="A350" s="188" t="s">
        <v>548</v>
      </c>
      <c r="B350" s="189"/>
      <c r="C350" s="156">
        <v>2970</v>
      </c>
      <c r="D350" s="190">
        <v>0</v>
      </c>
      <c r="E350" s="190"/>
      <c r="F350" s="156">
        <v>2970</v>
      </c>
    </row>
    <row r="351" spans="1:6" ht="15.75" customHeight="1" x14ac:dyDescent="0.2">
      <c r="A351" s="188" t="s">
        <v>451</v>
      </c>
      <c r="B351" s="189"/>
      <c r="C351" s="156">
        <v>69314</v>
      </c>
      <c r="D351" s="190">
        <v>0</v>
      </c>
      <c r="E351" s="190"/>
      <c r="F351" s="156">
        <v>69314</v>
      </c>
    </row>
    <row r="352" spans="1:6" ht="31.5" customHeight="1" x14ac:dyDescent="0.2">
      <c r="A352" s="188" t="s">
        <v>452</v>
      </c>
      <c r="B352" s="189"/>
      <c r="C352" s="156">
        <v>23200</v>
      </c>
      <c r="D352" s="190">
        <v>0</v>
      </c>
      <c r="E352" s="190"/>
      <c r="F352" s="156">
        <v>23200</v>
      </c>
    </row>
    <row r="353" spans="1:6" ht="15.75" customHeight="1" x14ac:dyDescent="0.2">
      <c r="A353" s="188" t="s">
        <v>550</v>
      </c>
      <c r="B353" s="189"/>
      <c r="C353" s="156">
        <v>14200</v>
      </c>
      <c r="D353" s="190">
        <v>0</v>
      </c>
      <c r="E353" s="190"/>
      <c r="F353" s="156">
        <v>14200</v>
      </c>
    </row>
    <row r="354" spans="1:6" ht="15.75" customHeight="1" x14ac:dyDescent="0.2">
      <c r="A354" s="188" t="s">
        <v>453</v>
      </c>
      <c r="B354" s="189"/>
      <c r="C354" s="156">
        <v>46150</v>
      </c>
      <c r="D354" s="190">
        <v>0</v>
      </c>
      <c r="E354" s="190"/>
      <c r="F354" s="156">
        <v>46150</v>
      </c>
    </row>
    <row r="355" spans="1:6" ht="15.75" customHeight="1" x14ac:dyDescent="0.2">
      <c r="A355" s="188" t="s">
        <v>553</v>
      </c>
      <c r="B355" s="189"/>
      <c r="C355" s="156">
        <v>9507</v>
      </c>
      <c r="D355" s="190">
        <v>0</v>
      </c>
      <c r="E355" s="190"/>
      <c r="F355" s="156">
        <v>9507</v>
      </c>
    </row>
    <row r="356" spans="1:6" ht="15.75" customHeight="1" x14ac:dyDescent="0.2">
      <c r="A356" s="188" t="s">
        <v>454</v>
      </c>
      <c r="B356" s="189"/>
      <c r="C356" s="156">
        <v>36643</v>
      </c>
      <c r="D356" s="190">
        <v>0</v>
      </c>
      <c r="E356" s="190"/>
      <c r="F356" s="156">
        <v>36643</v>
      </c>
    </row>
    <row r="357" spans="1:6" ht="14.25" customHeight="1" x14ac:dyDescent="0.25">
      <c r="A357" s="131"/>
      <c r="B357" s="131"/>
      <c r="C357" s="132"/>
      <c r="D357" s="132"/>
      <c r="E357" s="132"/>
      <c r="F357" s="132"/>
    </row>
    <row r="358" spans="1:6" ht="15.75" customHeight="1" x14ac:dyDescent="0.2">
      <c r="A358" s="183" t="s">
        <v>465</v>
      </c>
      <c r="B358" s="189"/>
      <c r="C358" s="189"/>
      <c r="D358" s="189"/>
      <c r="E358" s="189"/>
      <c r="F358" s="189"/>
    </row>
    <row r="359" spans="1:6" ht="15.75" customHeight="1" x14ac:dyDescent="0.2">
      <c r="A359" s="183" t="s">
        <v>446</v>
      </c>
      <c r="B359" s="184"/>
      <c r="C359" s="157">
        <v>1383807</v>
      </c>
      <c r="D359" s="185">
        <v>0</v>
      </c>
      <c r="E359" s="185"/>
      <c r="F359" s="157">
        <v>1383807</v>
      </c>
    </row>
    <row r="360" spans="1:6" ht="15.75" customHeight="1" x14ac:dyDescent="0.2">
      <c r="A360" s="188" t="s">
        <v>450</v>
      </c>
      <c r="B360" s="189"/>
      <c r="C360" s="156">
        <v>1021014</v>
      </c>
      <c r="D360" s="190">
        <v>0</v>
      </c>
      <c r="E360" s="190"/>
      <c r="F360" s="156">
        <v>1021014</v>
      </c>
    </row>
    <row r="361" spans="1:6" ht="15.75" customHeight="1" x14ac:dyDescent="0.2">
      <c r="A361" s="188" t="s">
        <v>451</v>
      </c>
      <c r="B361" s="189"/>
      <c r="C361" s="156">
        <v>923596</v>
      </c>
      <c r="D361" s="190">
        <v>0</v>
      </c>
      <c r="E361" s="190"/>
      <c r="F361" s="156">
        <v>923596</v>
      </c>
    </row>
    <row r="362" spans="1:6" ht="31.5" customHeight="1" x14ac:dyDescent="0.2">
      <c r="A362" s="188" t="s">
        <v>452</v>
      </c>
      <c r="B362" s="189"/>
      <c r="C362" s="156">
        <v>97418</v>
      </c>
      <c r="D362" s="190">
        <v>0</v>
      </c>
      <c r="E362" s="190"/>
      <c r="F362" s="156">
        <v>97418</v>
      </c>
    </row>
    <row r="363" spans="1:6" ht="15.75" customHeight="1" x14ac:dyDescent="0.2">
      <c r="A363" s="188" t="s">
        <v>458</v>
      </c>
      <c r="B363" s="189"/>
      <c r="C363" s="156">
        <v>25000</v>
      </c>
      <c r="D363" s="190">
        <v>0</v>
      </c>
      <c r="E363" s="190"/>
      <c r="F363" s="156">
        <v>25000</v>
      </c>
    </row>
    <row r="364" spans="1:6" ht="31.5" customHeight="1" x14ac:dyDescent="0.2">
      <c r="A364" s="188" t="s">
        <v>459</v>
      </c>
      <c r="B364" s="189"/>
      <c r="C364" s="156">
        <v>25000</v>
      </c>
      <c r="D364" s="190">
        <v>0</v>
      </c>
      <c r="E364" s="190"/>
      <c r="F364" s="156">
        <v>25000</v>
      </c>
    </row>
    <row r="365" spans="1:6" ht="15.75" customHeight="1" x14ac:dyDescent="0.2">
      <c r="A365" s="188" t="s">
        <v>453</v>
      </c>
      <c r="B365" s="189"/>
      <c r="C365" s="156">
        <v>337793</v>
      </c>
      <c r="D365" s="190">
        <v>0</v>
      </c>
      <c r="E365" s="190"/>
      <c r="F365" s="156">
        <v>337793</v>
      </c>
    </row>
    <row r="366" spans="1:6" ht="15.75" customHeight="1" x14ac:dyDescent="0.2">
      <c r="A366" s="188" t="s">
        <v>454</v>
      </c>
      <c r="B366" s="189"/>
      <c r="C366" s="156">
        <v>337793</v>
      </c>
      <c r="D366" s="190">
        <v>0</v>
      </c>
      <c r="E366" s="190"/>
      <c r="F366" s="156">
        <v>337793</v>
      </c>
    </row>
    <row r="367" spans="1:6" ht="14.25" customHeight="1" x14ac:dyDescent="0.25">
      <c r="A367" s="131"/>
      <c r="B367" s="131"/>
      <c r="C367" s="132"/>
      <c r="D367" s="132"/>
      <c r="E367" s="132"/>
      <c r="F367" s="132"/>
    </row>
    <row r="368" spans="1:6" ht="15.75" customHeight="1" x14ac:dyDescent="0.2">
      <c r="A368" s="183" t="s">
        <v>587</v>
      </c>
      <c r="B368" s="189"/>
      <c r="C368" s="189"/>
      <c r="D368" s="189"/>
      <c r="E368" s="189"/>
      <c r="F368" s="189"/>
    </row>
    <row r="369" spans="1:6" ht="15.75" customHeight="1" x14ac:dyDescent="0.2">
      <c r="A369" s="183" t="s">
        <v>446</v>
      </c>
      <c r="B369" s="184"/>
      <c r="C369" s="157">
        <v>293707</v>
      </c>
      <c r="D369" s="185">
        <v>31460</v>
      </c>
      <c r="E369" s="191"/>
      <c r="F369" s="157">
        <v>325167</v>
      </c>
    </row>
    <row r="370" spans="1:6" ht="15.75" customHeight="1" x14ac:dyDescent="0.2">
      <c r="A370" s="188" t="s">
        <v>458</v>
      </c>
      <c r="B370" s="189"/>
      <c r="C370" s="156">
        <v>293707</v>
      </c>
      <c r="D370" s="190">
        <v>31460</v>
      </c>
      <c r="E370" s="187"/>
      <c r="F370" s="156">
        <v>325167</v>
      </c>
    </row>
    <row r="371" spans="1:6" ht="31.5" customHeight="1" x14ac:dyDescent="0.2">
      <c r="A371" s="188" t="s">
        <v>459</v>
      </c>
      <c r="B371" s="189"/>
      <c r="C371" s="156">
        <v>293707</v>
      </c>
      <c r="D371" s="190">
        <v>31460</v>
      </c>
      <c r="E371" s="187"/>
      <c r="F371" s="156">
        <v>325167</v>
      </c>
    </row>
    <row r="372" spans="1:6" ht="14.25" customHeight="1" x14ac:dyDescent="0.25">
      <c r="A372" s="131"/>
      <c r="B372" s="131"/>
      <c r="C372" s="132"/>
      <c r="D372" s="132"/>
      <c r="E372" s="132"/>
      <c r="F372" s="132"/>
    </row>
    <row r="373" spans="1:6" ht="15.75" customHeight="1" x14ac:dyDescent="0.2">
      <c r="A373" s="183" t="s">
        <v>588</v>
      </c>
      <c r="B373" s="189"/>
      <c r="C373" s="189"/>
      <c r="D373" s="189"/>
      <c r="E373" s="189"/>
      <c r="F373" s="189"/>
    </row>
    <row r="374" spans="1:6" ht="15.75" customHeight="1" x14ac:dyDescent="0.2">
      <c r="A374" s="183" t="s">
        <v>446</v>
      </c>
      <c r="B374" s="184"/>
      <c r="C374" s="157">
        <v>280000</v>
      </c>
      <c r="D374" s="185">
        <v>45807</v>
      </c>
      <c r="E374" s="191"/>
      <c r="F374" s="157">
        <v>325807</v>
      </c>
    </row>
    <row r="375" spans="1:6" ht="15.75" customHeight="1" x14ac:dyDescent="0.2">
      <c r="A375" s="188" t="s">
        <v>450</v>
      </c>
      <c r="B375" s="189"/>
      <c r="C375" s="156">
        <v>233000</v>
      </c>
      <c r="D375" s="190">
        <v>20807</v>
      </c>
      <c r="E375" s="187"/>
      <c r="F375" s="156">
        <v>253807</v>
      </c>
    </row>
    <row r="376" spans="1:6" ht="15.75" customHeight="1" x14ac:dyDescent="0.2">
      <c r="A376" s="188" t="s">
        <v>451</v>
      </c>
      <c r="B376" s="189"/>
      <c r="C376" s="156">
        <v>233000</v>
      </c>
      <c r="D376" s="190">
        <v>20807</v>
      </c>
      <c r="E376" s="187"/>
      <c r="F376" s="156">
        <v>253807</v>
      </c>
    </row>
    <row r="377" spans="1:6" ht="15.75" customHeight="1" x14ac:dyDescent="0.2">
      <c r="A377" s="188" t="s">
        <v>453</v>
      </c>
      <c r="B377" s="189"/>
      <c r="C377" s="156">
        <v>47000</v>
      </c>
      <c r="D377" s="190">
        <v>25000</v>
      </c>
      <c r="E377" s="187"/>
      <c r="F377" s="156">
        <v>72000</v>
      </c>
    </row>
    <row r="378" spans="1:6" ht="15.75" customHeight="1" x14ac:dyDescent="0.2">
      <c r="A378" s="188" t="s">
        <v>454</v>
      </c>
      <c r="B378" s="189"/>
      <c r="C378" s="156">
        <v>47000</v>
      </c>
      <c r="D378" s="190">
        <v>25000</v>
      </c>
      <c r="E378" s="187"/>
      <c r="F378" s="156">
        <v>72000</v>
      </c>
    </row>
    <row r="379" spans="1:6" ht="14.25" customHeight="1" x14ac:dyDescent="0.25">
      <c r="A379" s="131"/>
      <c r="B379" s="131"/>
      <c r="C379" s="132"/>
      <c r="D379" s="132"/>
      <c r="E379" s="132"/>
      <c r="F379" s="132"/>
    </row>
    <row r="380" spans="1:6" ht="15.75" customHeight="1" x14ac:dyDescent="0.2">
      <c r="A380" s="183" t="s">
        <v>589</v>
      </c>
      <c r="B380" s="189"/>
      <c r="C380" s="189"/>
      <c r="D380" s="189"/>
      <c r="E380" s="189"/>
      <c r="F380" s="189"/>
    </row>
    <row r="381" spans="1:6" ht="15.75" customHeight="1" x14ac:dyDescent="0.2">
      <c r="A381" s="183" t="s">
        <v>446</v>
      </c>
      <c r="B381" s="184"/>
      <c r="C381" s="157">
        <v>49390</v>
      </c>
      <c r="D381" s="185">
        <v>0</v>
      </c>
      <c r="E381" s="185"/>
      <c r="F381" s="157">
        <v>49390</v>
      </c>
    </row>
    <row r="382" spans="1:6" ht="15.75" customHeight="1" x14ac:dyDescent="0.2">
      <c r="A382" s="188" t="s">
        <v>447</v>
      </c>
      <c r="B382" s="189"/>
      <c r="C382" s="156">
        <v>3500</v>
      </c>
      <c r="D382" s="190">
        <v>0</v>
      </c>
      <c r="E382" s="190"/>
      <c r="F382" s="156">
        <v>3500</v>
      </c>
    </row>
    <row r="383" spans="1:6" ht="15.75" customHeight="1" x14ac:dyDescent="0.2">
      <c r="A383" s="188" t="s">
        <v>448</v>
      </c>
      <c r="B383" s="189"/>
      <c r="C383" s="156">
        <v>2832</v>
      </c>
      <c r="D383" s="190">
        <v>0</v>
      </c>
      <c r="E383" s="190"/>
      <c r="F383" s="156">
        <v>2832</v>
      </c>
    </row>
    <row r="384" spans="1:6" ht="15.75" customHeight="1" x14ac:dyDescent="0.2">
      <c r="A384" s="188" t="s">
        <v>449</v>
      </c>
      <c r="B384" s="189"/>
      <c r="C384" s="156">
        <v>668</v>
      </c>
      <c r="D384" s="190">
        <v>0</v>
      </c>
      <c r="E384" s="190"/>
      <c r="F384" s="156">
        <v>668</v>
      </c>
    </row>
    <row r="385" spans="1:6" ht="15.75" customHeight="1" x14ac:dyDescent="0.2">
      <c r="A385" s="188" t="s">
        <v>450</v>
      </c>
      <c r="B385" s="189"/>
      <c r="C385" s="156">
        <v>18000</v>
      </c>
      <c r="D385" s="190">
        <v>0</v>
      </c>
      <c r="E385" s="190"/>
      <c r="F385" s="156">
        <v>18000</v>
      </c>
    </row>
    <row r="386" spans="1:6" ht="15.75" customHeight="1" x14ac:dyDescent="0.2">
      <c r="A386" s="188" t="s">
        <v>451</v>
      </c>
      <c r="B386" s="189"/>
      <c r="C386" s="156">
        <v>18000</v>
      </c>
      <c r="D386" s="190">
        <v>0</v>
      </c>
      <c r="E386" s="190"/>
      <c r="F386" s="156">
        <v>18000</v>
      </c>
    </row>
    <row r="387" spans="1:6" ht="15.75" customHeight="1" x14ac:dyDescent="0.2">
      <c r="A387" s="188" t="s">
        <v>453</v>
      </c>
      <c r="B387" s="189"/>
      <c r="C387" s="156">
        <v>27890</v>
      </c>
      <c r="D387" s="190">
        <v>0</v>
      </c>
      <c r="E387" s="190"/>
      <c r="F387" s="156">
        <v>27890</v>
      </c>
    </row>
    <row r="388" spans="1:6" ht="15.75" customHeight="1" x14ac:dyDescent="0.2">
      <c r="A388" s="188" t="s">
        <v>454</v>
      </c>
      <c r="B388" s="189"/>
      <c r="C388" s="156">
        <v>27890</v>
      </c>
      <c r="D388" s="190">
        <v>0</v>
      </c>
      <c r="E388" s="190"/>
      <c r="F388" s="156">
        <v>27890</v>
      </c>
    </row>
    <row r="389" spans="1:6" ht="14.25" customHeight="1" x14ac:dyDescent="0.25">
      <c r="A389" s="131"/>
      <c r="B389" s="131"/>
      <c r="C389" s="132"/>
      <c r="D389" s="132"/>
      <c r="E389" s="132"/>
      <c r="F389" s="132"/>
    </row>
    <row r="390" spans="1:6" ht="31.5" customHeight="1" x14ac:dyDescent="0.2">
      <c r="A390" s="183" t="s">
        <v>590</v>
      </c>
      <c r="B390" s="189"/>
      <c r="C390" s="189"/>
      <c r="D390" s="189"/>
      <c r="E390" s="189"/>
      <c r="F390" s="189"/>
    </row>
    <row r="391" spans="1:6" ht="15.75" customHeight="1" x14ac:dyDescent="0.2">
      <c r="A391" s="183" t="s">
        <v>446</v>
      </c>
      <c r="B391" s="184"/>
      <c r="C391" s="157">
        <v>15000</v>
      </c>
      <c r="D391" s="185">
        <v>0</v>
      </c>
      <c r="E391" s="185"/>
      <c r="F391" s="157">
        <v>15000</v>
      </c>
    </row>
    <row r="392" spans="1:6" ht="15.75" customHeight="1" x14ac:dyDescent="0.2">
      <c r="A392" s="188" t="s">
        <v>458</v>
      </c>
      <c r="B392" s="189"/>
      <c r="C392" s="156">
        <v>15000</v>
      </c>
      <c r="D392" s="190">
        <v>0</v>
      </c>
      <c r="E392" s="190"/>
      <c r="F392" s="156">
        <v>15000</v>
      </c>
    </row>
    <row r="393" spans="1:6" ht="31.5" customHeight="1" x14ac:dyDescent="0.2">
      <c r="A393" s="188" t="s">
        <v>459</v>
      </c>
      <c r="B393" s="189"/>
      <c r="C393" s="156">
        <v>15000</v>
      </c>
      <c r="D393" s="190">
        <v>0</v>
      </c>
      <c r="E393" s="190"/>
      <c r="F393" s="156">
        <v>15000</v>
      </c>
    </row>
    <row r="394" spans="1:6" ht="14.25" customHeight="1" x14ac:dyDescent="0.25">
      <c r="A394" s="131"/>
      <c r="B394" s="131"/>
      <c r="C394" s="132"/>
      <c r="D394" s="132"/>
      <c r="E394" s="132"/>
      <c r="F394" s="132"/>
    </row>
    <row r="395" spans="1:6" ht="15.75" customHeight="1" x14ac:dyDescent="0.2">
      <c r="A395" s="183" t="s">
        <v>591</v>
      </c>
      <c r="B395" s="189"/>
      <c r="C395" s="189"/>
      <c r="D395" s="189"/>
      <c r="E395" s="189"/>
      <c r="F395" s="189"/>
    </row>
    <row r="396" spans="1:6" ht="15.75" customHeight="1" x14ac:dyDescent="0.2">
      <c r="A396" s="183" t="s">
        <v>446</v>
      </c>
      <c r="B396" s="184"/>
      <c r="C396" s="157">
        <v>178053</v>
      </c>
      <c r="D396" s="185">
        <v>31000</v>
      </c>
      <c r="E396" s="191"/>
      <c r="F396" s="157">
        <v>209053</v>
      </c>
    </row>
    <row r="397" spans="1:6" ht="15.75" customHeight="1" x14ac:dyDescent="0.2">
      <c r="A397" s="188" t="s">
        <v>447</v>
      </c>
      <c r="B397" s="189"/>
      <c r="C397" s="156">
        <v>8200</v>
      </c>
      <c r="D397" s="190">
        <v>0</v>
      </c>
      <c r="E397" s="190"/>
      <c r="F397" s="156">
        <v>8200</v>
      </c>
    </row>
    <row r="398" spans="1:6" ht="15.75" customHeight="1" x14ac:dyDescent="0.2">
      <c r="A398" s="188" t="s">
        <v>448</v>
      </c>
      <c r="B398" s="189"/>
      <c r="C398" s="156">
        <v>6000</v>
      </c>
      <c r="D398" s="190">
        <v>0</v>
      </c>
      <c r="E398" s="190"/>
      <c r="F398" s="156">
        <v>6000</v>
      </c>
    </row>
    <row r="399" spans="1:6" ht="15.75" customHeight="1" x14ac:dyDescent="0.2">
      <c r="A399" s="188" t="s">
        <v>449</v>
      </c>
      <c r="B399" s="189"/>
      <c r="C399" s="156">
        <v>2200</v>
      </c>
      <c r="D399" s="190">
        <v>0</v>
      </c>
      <c r="E399" s="190"/>
      <c r="F399" s="156">
        <v>2200</v>
      </c>
    </row>
    <row r="400" spans="1:6" ht="15.75" customHeight="1" x14ac:dyDescent="0.2">
      <c r="A400" s="188" t="s">
        <v>450</v>
      </c>
      <c r="B400" s="189"/>
      <c r="C400" s="156">
        <v>57253</v>
      </c>
      <c r="D400" s="190">
        <v>31000</v>
      </c>
      <c r="E400" s="187"/>
      <c r="F400" s="156">
        <v>88253</v>
      </c>
    </row>
    <row r="401" spans="1:6" ht="15.75" customHeight="1" x14ac:dyDescent="0.2">
      <c r="A401" s="188" t="s">
        <v>451</v>
      </c>
      <c r="B401" s="189"/>
      <c r="C401" s="156">
        <v>40663</v>
      </c>
      <c r="D401" s="190">
        <v>29000</v>
      </c>
      <c r="E401" s="187"/>
      <c r="F401" s="156">
        <v>69663</v>
      </c>
    </row>
    <row r="402" spans="1:6" ht="31.5" customHeight="1" x14ac:dyDescent="0.2">
      <c r="A402" s="188" t="s">
        <v>452</v>
      </c>
      <c r="B402" s="189"/>
      <c r="C402" s="156">
        <v>16590</v>
      </c>
      <c r="D402" s="190">
        <v>2000</v>
      </c>
      <c r="E402" s="187"/>
      <c r="F402" s="156">
        <v>18590</v>
      </c>
    </row>
    <row r="403" spans="1:6" ht="15.75" customHeight="1" x14ac:dyDescent="0.2">
      <c r="A403" s="188" t="s">
        <v>592</v>
      </c>
      <c r="B403" s="189"/>
      <c r="C403" s="156">
        <v>112600</v>
      </c>
      <c r="D403" s="190">
        <v>0</v>
      </c>
      <c r="E403" s="190"/>
      <c r="F403" s="156">
        <v>112600</v>
      </c>
    </row>
    <row r="404" spans="1:6" ht="15.75" customHeight="1" x14ac:dyDescent="0.2">
      <c r="A404" s="188" t="s">
        <v>593</v>
      </c>
      <c r="B404" s="189"/>
      <c r="C404" s="156">
        <v>105400</v>
      </c>
      <c r="D404" s="190">
        <v>3000</v>
      </c>
      <c r="E404" s="187"/>
      <c r="F404" s="156">
        <v>108400</v>
      </c>
    </row>
    <row r="405" spans="1:6" ht="15.75" customHeight="1" x14ac:dyDescent="0.2">
      <c r="A405" s="188" t="s">
        <v>594</v>
      </c>
      <c r="B405" s="189"/>
      <c r="C405" s="156">
        <v>7200</v>
      </c>
      <c r="D405" s="190">
        <v>-3000</v>
      </c>
      <c r="E405" s="187"/>
      <c r="F405" s="156">
        <v>4200</v>
      </c>
    </row>
    <row r="406" spans="1:6" ht="14.25" customHeight="1" x14ac:dyDescent="0.25">
      <c r="A406" s="131"/>
      <c r="B406" s="131"/>
      <c r="C406" s="132"/>
      <c r="D406" s="132"/>
      <c r="E406" s="132"/>
      <c r="F406" s="132"/>
    </row>
    <row r="407" spans="1:6" ht="15.75" customHeight="1" x14ac:dyDescent="0.2">
      <c r="A407" s="183" t="s">
        <v>595</v>
      </c>
      <c r="B407" s="189"/>
      <c r="C407" s="189"/>
      <c r="D407" s="189"/>
      <c r="E407" s="189"/>
      <c r="F407" s="189"/>
    </row>
    <row r="408" spans="1:6" ht="15.75" customHeight="1" x14ac:dyDescent="0.2">
      <c r="A408" s="183" t="s">
        <v>446</v>
      </c>
      <c r="B408" s="184"/>
      <c r="C408" s="157">
        <v>60000</v>
      </c>
      <c r="D408" s="185">
        <v>3000</v>
      </c>
      <c r="E408" s="191"/>
      <c r="F408" s="157">
        <v>63000</v>
      </c>
    </row>
    <row r="409" spans="1:6" ht="15.75" customHeight="1" x14ac:dyDescent="0.2">
      <c r="A409" s="188" t="s">
        <v>592</v>
      </c>
      <c r="B409" s="189"/>
      <c r="C409" s="156">
        <v>60000</v>
      </c>
      <c r="D409" s="190">
        <v>3000</v>
      </c>
      <c r="E409" s="187"/>
      <c r="F409" s="156">
        <v>63000</v>
      </c>
    </row>
    <row r="410" spans="1:6" ht="15.75" customHeight="1" x14ac:dyDescent="0.2">
      <c r="A410" s="188" t="s">
        <v>593</v>
      </c>
      <c r="B410" s="189"/>
      <c r="C410" s="156">
        <v>60000</v>
      </c>
      <c r="D410" s="190">
        <v>3000</v>
      </c>
      <c r="E410" s="187"/>
      <c r="F410" s="156">
        <v>63000</v>
      </c>
    </row>
    <row r="411" spans="1:6" ht="14.25" customHeight="1" x14ac:dyDescent="0.25">
      <c r="A411" s="131"/>
      <c r="B411" s="131"/>
      <c r="C411" s="132"/>
      <c r="D411" s="132"/>
      <c r="E411" s="132"/>
      <c r="F411" s="132"/>
    </row>
    <row r="412" spans="1:6" ht="15.75" customHeight="1" x14ac:dyDescent="0.2">
      <c r="A412" s="183" t="s">
        <v>596</v>
      </c>
      <c r="B412" s="189"/>
      <c r="C412" s="189"/>
      <c r="D412" s="189"/>
      <c r="E412" s="189"/>
      <c r="F412" s="189"/>
    </row>
    <row r="413" spans="1:6" ht="15.75" customHeight="1" x14ac:dyDescent="0.2">
      <c r="A413" s="183" t="s">
        <v>446</v>
      </c>
      <c r="B413" s="184"/>
      <c r="C413" s="157">
        <v>12400</v>
      </c>
      <c r="D413" s="185">
        <v>0</v>
      </c>
      <c r="E413" s="185"/>
      <c r="F413" s="157">
        <v>12400</v>
      </c>
    </row>
    <row r="414" spans="1:6" ht="15.75" customHeight="1" x14ac:dyDescent="0.2">
      <c r="A414" s="188" t="s">
        <v>592</v>
      </c>
      <c r="B414" s="189"/>
      <c r="C414" s="156">
        <v>12400</v>
      </c>
      <c r="D414" s="190">
        <v>0</v>
      </c>
      <c r="E414" s="190"/>
      <c r="F414" s="156">
        <v>12400</v>
      </c>
    </row>
    <row r="415" spans="1:6" ht="15.75" customHeight="1" x14ac:dyDescent="0.2">
      <c r="A415" s="188" t="s">
        <v>593</v>
      </c>
      <c r="B415" s="189"/>
      <c r="C415" s="156">
        <v>12400</v>
      </c>
      <c r="D415" s="190">
        <v>0</v>
      </c>
      <c r="E415" s="190"/>
      <c r="F415" s="156">
        <v>12400</v>
      </c>
    </row>
    <row r="416" spans="1:6" ht="14.25" customHeight="1" x14ac:dyDescent="0.25">
      <c r="A416" s="131"/>
      <c r="B416" s="131"/>
      <c r="C416" s="132"/>
      <c r="D416" s="132"/>
      <c r="E416" s="132"/>
      <c r="F416" s="132"/>
    </row>
    <row r="417" spans="1:6" ht="15.75" customHeight="1" x14ac:dyDescent="0.2">
      <c r="A417" s="183" t="s">
        <v>597</v>
      </c>
      <c r="B417" s="189"/>
      <c r="C417" s="189"/>
      <c r="D417" s="189"/>
      <c r="E417" s="189"/>
      <c r="F417" s="189"/>
    </row>
    <row r="418" spans="1:6" ht="15.75" customHeight="1" x14ac:dyDescent="0.2">
      <c r="A418" s="183" t="s">
        <v>446</v>
      </c>
      <c r="B418" s="184"/>
      <c r="C418" s="157">
        <v>40200</v>
      </c>
      <c r="D418" s="185">
        <v>-3000</v>
      </c>
      <c r="E418" s="191"/>
      <c r="F418" s="157">
        <v>37200</v>
      </c>
    </row>
    <row r="419" spans="1:6" ht="15.75" customHeight="1" x14ac:dyDescent="0.2">
      <c r="A419" s="188" t="s">
        <v>592</v>
      </c>
      <c r="B419" s="189"/>
      <c r="C419" s="156">
        <v>40200</v>
      </c>
      <c r="D419" s="190">
        <v>-3000</v>
      </c>
      <c r="E419" s="187"/>
      <c r="F419" s="156">
        <v>37200</v>
      </c>
    </row>
    <row r="420" spans="1:6" ht="15.75" customHeight="1" x14ac:dyDescent="0.2">
      <c r="A420" s="188" t="s">
        <v>593</v>
      </c>
      <c r="B420" s="189"/>
      <c r="C420" s="156">
        <v>33000</v>
      </c>
      <c r="D420" s="190">
        <v>0</v>
      </c>
      <c r="E420" s="190"/>
      <c r="F420" s="156">
        <v>33000</v>
      </c>
    </row>
    <row r="421" spans="1:6" ht="15.75" customHeight="1" x14ac:dyDescent="0.2">
      <c r="A421" s="188" t="s">
        <v>594</v>
      </c>
      <c r="B421" s="189"/>
      <c r="C421" s="156">
        <v>7200</v>
      </c>
      <c r="D421" s="190">
        <v>-3000</v>
      </c>
      <c r="E421" s="187"/>
      <c r="F421" s="156">
        <v>4200</v>
      </c>
    </row>
    <row r="422" spans="1:6" ht="14.25" customHeight="1" x14ac:dyDescent="0.25">
      <c r="A422" s="131"/>
      <c r="B422" s="131"/>
      <c r="C422" s="132"/>
      <c r="D422" s="132"/>
      <c r="E422" s="132"/>
      <c r="F422" s="132"/>
    </row>
    <row r="423" spans="1:6" ht="15.75" customHeight="1" x14ac:dyDescent="0.2">
      <c r="A423" s="183" t="s">
        <v>598</v>
      </c>
      <c r="B423" s="189"/>
      <c r="C423" s="189"/>
      <c r="D423" s="189"/>
      <c r="E423" s="189"/>
      <c r="F423" s="189"/>
    </row>
    <row r="424" spans="1:6" ht="15.75" customHeight="1" x14ac:dyDescent="0.2">
      <c r="A424" s="183" t="s">
        <v>446</v>
      </c>
      <c r="B424" s="184"/>
      <c r="C424" s="157">
        <v>7495</v>
      </c>
      <c r="D424" s="185">
        <v>0</v>
      </c>
      <c r="E424" s="185"/>
      <c r="F424" s="157">
        <v>7495</v>
      </c>
    </row>
    <row r="425" spans="1:6" ht="15.75" customHeight="1" x14ac:dyDescent="0.2">
      <c r="A425" s="188" t="s">
        <v>450</v>
      </c>
      <c r="B425" s="189"/>
      <c r="C425" s="156">
        <v>7495</v>
      </c>
      <c r="D425" s="190">
        <v>0</v>
      </c>
      <c r="E425" s="190"/>
      <c r="F425" s="156">
        <v>7495</v>
      </c>
    </row>
    <row r="426" spans="1:6" ht="15.75" customHeight="1" x14ac:dyDescent="0.2">
      <c r="A426" s="188" t="s">
        <v>451</v>
      </c>
      <c r="B426" s="189"/>
      <c r="C426" s="156">
        <v>4905</v>
      </c>
      <c r="D426" s="190">
        <v>0</v>
      </c>
      <c r="E426" s="190"/>
      <c r="F426" s="156">
        <v>4905</v>
      </c>
    </row>
    <row r="427" spans="1:6" ht="31.5" customHeight="1" x14ac:dyDescent="0.2">
      <c r="A427" s="188" t="s">
        <v>452</v>
      </c>
      <c r="B427" s="189"/>
      <c r="C427" s="156">
        <v>2590</v>
      </c>
      <c r="D427" s="190">
        <v>0</v>
      </c>
      <c r="E427" s="190"/>
      <c r="F427" s="156">
        <v>2590</v>
      </c>
    </row>
    <row r="428" spans="1:6" ht="14.25" customHeight="1" x14ac:dyDescent="0.25">
      <c r="A428" s="131"/>
      <c r="B428" s="131"/>
      <c r="C428" s="132"/>
      <c r="D428" s="132"/>
      <c r="E428" s="132"/>
      <c r="F428" s="132"/>
    </row>
    <row r="429" spans="1:6" ht="31.5" customHeight="1" x14ac:dyDescent="0.2">
      <c r="A429" s="183" t="s">
        <v>599</v>
      </c>
      <c r="B429" s="189"/>
      <c r="C429" s="189"/>
      <c r="D429" s="189"/>
      <c r="E429" s="189"/>
      <c r="F429" s="189"/>
    </row>
    <row r="430" spans="1:6" ht="15.75" customHeight="1" x14ac:dyDescent="0.2">
      <c r="A430" s="183" t="s">
        <v>446</v>
      </c>
      <c r="B430" s="184"/>
      <c r="C430" s="157">
        <v>57958</v>
      </c>
      <c r="D430" s="185">
        <v>31000</v>
      </c>
      <c r="E430" s="191"/>
      <c r="F430" s="157">
        <v>88958</v>
      </c>
    </row>
    <row r="431" spans="1:6" ht="15.75" customHeight="1" x14ac:dyDescent="0.2">
      <c r="A431" s="188" t="s">
        <v>447</v>
      </c>
      <c r="B431" s="189"/>
      <c r="C431" s="156">
        <v>8200</v>
      </c>
      <c r="D431" s="190">
        <v>0</v>
      </c>
      <c r="E431" s="190"/>
      <c r="F431" s="156">
        <v>8200</v>
      </c>
    </row>
    <row r="432" spans="1:6" ht="15.75" customHeight="1" x14ac:dyDescent="0.2">
      <c r="A432" s="188" t="s">
        <v>448</v>
      </c>
      <c r="B432" s="189"/>
      <c r="C432" s="156">
        <v>6000</v>
      </c>
      <c r="D432" s="190">
        <v>0</v>
      </c>
      <c r="E432" s="190"/>
      <c r="F432" s="156">
        <v>6000</v>
      </c>
    </row>
    <row r="433" spans="1:6" ht="15.75" customHeight="1" x14ac:dyDescent="0.2">
      <c r="A433" s="188" t="s">
        <v>449</v>
      </c>
      <c r="B433" s="189"/>
      <c r="C433" s="156">
        <v>2200</v>
      </c>
      <c r="D433" s="190">
        <v>0</v>
      </c>
      <c r="E433" s="190"/>
      <c r="F433" s="156">
        <v>2200</v>
      </c>
    </row>
    <row r="434" spans="1:6" ht="15.75" customHeight="1" x14ac:dyDescent="0.2">
      <c r="A434" s="188" t="s">
        <v>450</v>
      </c>
      <c r="B434" s="189"/>
      <c r="C434" s="156">
        <v>49758</v>
      </c>
      <c r="D434" s="190">
        <v>31000</v>
      </c>
      <c r="E434" s="187"/>
      <c r="F434" s="156">
        <v>80758</v>
      </c>
    </row>
    <row r="435" spans="1:6" ht="15.75" customHeight="1" x14ac:dyDescent="0.2">
      <c r="A435" s="188" t="s">
        <v>451</v>
      </c>
      <c r="B435" s="189"/>
      <c r="C435" s="156">
        <v>35758</v>
      </c>
      <c r="D435" s="190">
        <v>29000</v>
      </c>
      <c r="E435" s="187"/>
      <c r="F435" s="156">
        <v>64758</v>
      </c>
    </row>
    <row r="436" spans="1:6" ht="31.5" customHeight="1" x14ac:dyDescent="0.2">
      <c r="A436" s="188" t="s">
        <v>452</v>
      </c>
      <c r="B436" s="189"/>
      <c r="C436" s="156">
        <v>14000</v>
      </c>
      <c r="D436" s="190">
        <v>2000</v>
      </c>
      <c r="E436" s="187"/>
      <c r="F436" s="156">
        <v>16000</v>
      </c>
    </row>
    <row r="437" spans="1:6" ht="14.25" customHeight="1" x14ac:dyDescent="0.25">
      <c r="A437" s="131"/>
      <c r="B437" s="131"/>
      <c r="C437" s="132"/>
      <c r="D437" s="132"/>
      <c r="E437" s="132"/>
      <c r="F437" s="132"/>
    </row>
    <row r="438" spans="1:6" ht="15.75" customHeight="1" x14ac:dyDescent="0.2">
      <c r="A438" s="183" t="s">
        <v>466</v>
      </c>
      <c r="B438" s="189"/>
      <c r="C438" s="189"/>
      <c r="D438" s="189"/>
      <c r="E438" s="189"/>
      <c r="F438" s="189"/>
    </row>
    <row r="439" spans="1:6" ht="15.75" customHeight="1" x14ac:dyDescent="0.2">
      <c r="A439" s="183" t="s">
        <v>446</v>
      </c>
      <c r="B439" s="184"/>
      <c r="C439" s="157">
        <v>6855620</v>
      </c>
      <c r="D439" s="185">
        <v>1200</v>
      </c>
      <c r="E439" s="191"/>
      <c r="F439" s="157">
        <v>6856820</v>
      </c>
    </row>
    <row r="440" spans="1:6" ht="15.75" customHeight="1" x14ac:dyDescent="0.2">
      <c r="A440" s="188" t="s">
        <v>447</v>
      </c>
      <c r="B440" s="189"/>
      <c r="C440" s="156">
        <v>2684093</v>
      </c>
      <c r="D440" s="190">
        <v>0</v>
      </c>
      <c r="E440" s="190"/>
      <c r="F440" s="156">
        <v>2684093</v>
      </c>
    </row>
    <row r="441" spans="1:6" ht="15.75" customHeight="1" x14ac:dyDescent="0.2">
      <c r="A441" s="188" t="s">
        <v>448</v>
      </c>
      <c r="B441" s="189"/>
      <c r="C441" s="156">
        <v>2116700</v>
      </c>
      <c r="D441" s="190">
        <v>0</v>
      </c>
      <c r="E441" s="190"/>
      <c r="F441" s="156">
        <v>2116700</v>
      </c>
    </row>
    <row r="442" spans="1:6" ht="15.75" customHeight="1" x14ac:dyDescent="0.2">
      <c r="A442" s="188" t="s">
        <v>449</v>
      </c>
      <c r="B442" s="189"/>
      <c r="C442" s="156">
        <v>567393</v>
      </c>
      <c r="D442" s="190">
        <v>0</v>
      </c>
      <c r="E442" s="190"/>
      <c r="F442" s="156">
        <v>567393</v>
      </c>
    </row>
    <row r="443" spans="1:6" ht="15.75" customHeight="1" x14ac:dyDescent="0.2">
      <c r="A443" s="188" t="s">
        <v>450</v>
      </c>
      <c r="B443" s="189"/>
      <c r="C443" s="156">
        <v>2565463</v>
      </c>
      <c r="D443" s="190">
        <v>0</v>
      </c>
      <c r="E443" s="190"/>
      <c r="F443" s="156">
        <v>2565463</v>
      </c>
    </row>
    <row r="444" spans="1:6" ht="15.75" customHeight="1" x14ac:dyDescent="0.2">
      <c r="A444" s="188" t="s">
        <v>548</v>
      </c>
      <c r="B444" s="189"/>
      <c r="C444" s="156">
        <v>33885</v>
      </c>
      <c r="D444" s="190">
        <v>0</v>
      </c>
      <c r="E444" s="190"/>
      <c r="F444" s="156">
        <v>33885</v>
      </c>
    </row>
    <row r="445" spans="1:6" ht="15.75" customHeight="1" x14ac:dyDescent="0.2">
      <c r="A445" s="188" t="s">
        <v>451</v>
      </c>
      <c r="B445" s="189"/>
      <c r="C445" s="156">
        <v>1857845</v>
      </c>
      <c r="D445" s="190">
        <v>0</v>
      </c>
      <c r="E445" s="190"/>
      <c r="F445" s="156">
        <v>1857845</v>
      </c>
    </row>
    <row r="446" spans="1:6" ht="31.5" customHeight="1" x14ac:dyDescent="0.2">
      <c r="A446" s="188" t="s">
        <v>452</v>
      </c>
      <c r="B446" s="189"/>
      <c r="C446" s="156">
        <v>591518</v>
      </c>
      <c r="D446" s="190">
        <v>0</v>
      </c>
      <c r="E446" s="190"/>
      <c r="F446" s="156">
        <v>591518</v>
      </c>
    </row>
    <row r="447" spans="1:6" ht="15.75" customHeight="1" x14ac:dyDescent="0.2">
      <c r="A447" s="188" t="s">
        <v>600</v>
      </c>
      <c r="B447" s="189"/>
      <c r="C447" s="156">
        <v>8000</v>
      </c>
      <c r="D447" s="190">
        <v>0</v>
      </c>
      <c r="E447" s="190"/>
      <c r="F447" s="156">
        <v>8000</v>
      </c>
    </row>
    <row r="448" spans="1:6" ht="15.75" customHeight="1" x14ac:dyDescent="0.2">
      <c r="A448" s="188" t="s">
        <v>550</v>
      </c>
      <c r="B448" s="189"/>
      <c r="C448" s="156">
        <v>74215</v>
      </c>
      <c r="D448" s="190">
        <v>0</v>
      </c>
      <c r="E448" s="190"/>
      <c r="F448" s="156">
        <v>74215</v>
      </c>
    </row>
    <row r="449" spans="1:6" ht="15.75" customHeight="1" x14ac:dyDescent="0.2">
      <c r="A449" s="188" t="s">
        <v>458</v>
      </c>
      <c r="B449" s="189"/>
      <c r="C449" s="156">
        <v>858015</v>
      </c>
      <c r="D449" s="190">
        <v>1000</v>
      </c>
      <c r="E449" s="187"/>
      <c r="F449" s="156">
        <v>859015</v>
      </c>
    </row>
    <row r="450" spans="1:6" ht="31.5" customHeight="1" x14ac:dyDescent="0.2">
      <c r="A450" s="188" t="s">
        <v>459</v>
      </c>
      <c r="B450" s="189"/>
      <c r="C450" s="156">
        <v>838015</v>
      </c>
      <c r="D450" s="190">
        <v>1000</v>
      </c>
      <c r="E450" s="187"/>
      <c r="F450" s="156">
        <v>839015</v>
      </c>
    </row>
    <row r="451" spans="1:6" ht="31.5" customHeight="1" x14ac:dyDescent="0.2">
      <c r="A451" s="188" t="s">
        <v>460</v>
      </c>
      <c r="B451" s="189"/>
      <c r="C451" s="156">
        <v>20000</v>
      </c>
      <c r="D451" s="190">
        <v>0</v>
      </c>
      <c r="E451" s="190"/>
      <c r="F451" s="156">
        <v>20000</v>
      </c>
    </row>
    <row r="452" spans="1:6" ht="15.75" customHeight="1" x14ac:dyDescent="0.2">
      <c r="A452" s="188" t="s">
        <v>453</v>
      </c>
      <c r="B452" s="189"/>
      <c r="C452" s="156">
        <v>733493</v>
      </c>
      <c r="D452" s="190">
        <v>0</v>
      </c>
      <c r="E452" s="190"/>
      <c r="F452" s="156">
        <v>733493</v>
      </c>
    </row>
    <row r="453" spans="1:6" ht="15.75" customHeight="1" x14ac:dyDescent="0.2">
      <c r="A453" s="188" t="s">
        <v>553</v>
      </c>
      <c r="B453" s="189"/>
      <c r="C453" s="156">
        <v>106806</v>
      </c>
      <c r="D453" s="190">
        <v>0</v>
      </c>
      <c r="E453" s="190"/>
      <c r="F453" s="156">
        <v>106806</v>
      </c>
    </row>
    <row r="454" spans="1:6" ht="15.75" customHeight="1" x14ac:dyDescent="0.2">
      <c r="A454" s="188" t="s">
        <v>454</v>
      </c>
      <c r="B454" s="189"/>
      <c r="C454" s="156">
        <v>626687</v>
      </c>
      <c r="D454" s="190">
        <v>0</v>
      </c>
      <c r="E454" s="190"/>
      <c r="F454" s="156">
        <v>626687</v>
      </c>
    </row>
    <row r="455" spans="1:6" ht="15.75" customHeight="1" x14ac:dyDescent="0.2">
      <c r="A455" s="188" t="s">
        <v>592</v>
      </c>
      <c r="B455" s="189"/>
      <c r="C455" s="156">
        <v>200</v>
      </c>
      <c r="D455" s="190">
        <v>200</v>
      </c>
      <c r="E455" s="187"/>
      <c r="F455" s="156">
        <v>400</v>
      </c>
    </row>
    <row r="456" spans="1:6" ht="31.5" customHeight="1" x14ac:dyDescent="0.2">
      <c r="A456" s="188" t="s">
        <v>601</v>
      </c>
      <c r="B456" s="189"/>
      <c r="C456" s="156">
        <v>200</v>
      </c>
      <c r="D456" s="190">
        <v>200</v>
      </c>
      <c r="E456" s="187"/>
      <c r="F456" s="156">
        <v>400</v>
      </c>
    </row>
    <row r="457" spans="1:6" ht="31.5" customHeight="1" x14ac:dyDescent="0.2">
      <c r="A457" s="188" t="s">
        <v>554</v>
      </c>
      <c r="B457" s="189"/>
      <c r="C457" s="156">
        <v>14356</v>
      </c>
      <c r="D457" s="190">
        <v>0</v>
      </c>
      <c r="E457" s="190"/>
      <c r="F457" s="156">
        <v>14356</v>
      </c>
    </row>
    <row r="458" spans="1:6" ht="15.75" customHeight="1" x14ac:dyDescent="0.2">
      <c r="A458" s="188" t="s">
        <v>555</v>
      </c>
      <c r="B458" s="189"/>
      <c r="C458" s="156">
        <v>14356</v>
      </c>
      <c r="D458" s="190">
        <v>0</v>
      </c>
      <c r="E458" s="190"/>
      <c r="F458" s="156">
        <v>14356</v>
      </c>
    </row>
    <row r="459" spans="1:6" ht="14.25" customHeight="1" x14ac:dyDescent="0.25">
      <c r="A459" s="131"/>
      <c r="B459" s="131"/>
      <c r="C459" s="132"/>
      <c r="D459" s="132"/>
      <c r="E459" s="132"/>
      <c r="F459" s="132"/>
    </row>
    <row r="460" spans="1:6" ht="15.75" customHeight="1" x14ac:dyDescent="0.2">
      <c r="A460" s="183" t="s">
        <v>602</v>
      </c>
      <c r="B460" s="189"/>
      <c r="C460" s="189"/>
      <c r="D460" s="189"/>
      <c r="E460" s="189"/>
      <c r="F460" s="189"/>
    </row>
    <row r="461" spans="1:6" ht="15.75" customHeight="1" x14ac:dyDescent="0.2">
      <c r="A461" s="183" t="s">
        <v>446</v>
      </c>
      <c r="B461" s="184"/>
      <c r="C461" s="157">
        <v>525064</v>
      </c>
      <c r="D461" s="185">
        <v>0</v>
      </c>
      <c r="E461" s="185"/>
      <c r="F461" s="157">
        <v>525064</v>
      </c>
    </row>
    <row r="462" spans="1:6" ht="15.75" customHeight="1" x14ac:dyDescent="0.2">
      <c r="A462" s="188" t="s">
        <v>447</v>
      </c>
      <c r="B462" s="189"/>
      <c r="C462" s="156">
        <v>255080</v>
      </c>
      <c r="D462" s="190">
        <v>0</v>
      </c>
      <c r="E462" s="190"/>
      <c r="F462" s="156">
        <v>255080</v>
      </c>
    </row>
    <row r="463" spans="1:6" ht="15.75" customHeight="1" x14ac:dyDescent="0.2">
      <c r="A463" s="188" t="s">
        <v>448</v>
      </c>
      <c r="B463" s="189"/>
      <c r="C463" s="156">
        <v>197808</v>
      </c>
      <c r="D463" s="190">
        <v>0</v>
      </c>
      <c r="E463" s="190"/>
      <c r="F463" s="156">
        <v>197808</v>
      </c>
    </row>
    <row r="464" spans="1:6" ht="15.75" customHeight="1" x14ac:dyDescent="0.2">
      <c r="A464" s="188" t="s">
        <v>449</v>
      </c>
      <c r="B464" s="189"/>
      <c r="C464" s="156">
        <v>57272</v>
      </c>
      <c r="D464" s="190">
        <v>0</v>
      </c>
      <c r="E464" s="190"/>
      <c r="F464" s="156">
        <v>57272</v>
      </c>
    </row>
    <row r="465" spans="1:6" ht="15.75" customHeight="1" x14ac:dyDescent="0.2">
      <c r="A465" s="188" t="s">
        <v>450</v>
      </c>
      <c r="B465" s="189"/>
      <c r="C465" s="156">
        <v>215185</v>
      </c>
      <c r="D465" s="190">
        <v>0</v>
      </c>
      <c r="E465" s="190"/>
      <c r="F465" s="156">
        <v>215185</v>
      </c>
    </row>
    <row r="466" spans="1:6" ht="15.75" customHeight="1" x14ac:dyDescent="0.2">
      <c r="A466" s="188" t="s">
        <v>548</v>
      </c>
      <c r="B466" s="189"/>
      <c r="C466" s="156">
        <v>430</v>
      </c>
      <c r="D466" s="190">
        <v>0</v>
      </c>
      <c r="E466" s="190"/>
      <c r="F466" s="156">
        <v>430</v>
      </c>
    </row>
    <row r="467" spans="1:6" ht="15.75" customHeight="1" x14ac:dyDescent="0.2">
      <c r="A467" s="188" t="s">
        <v>451</v>
      </c>
      <c r="B467" s="189"/>
      <c r="C467" s="156">
        <v>188255</v>
      </c>
      <c r="D467" s="190">
        <v>0</v>
      </c>
      <c r="E467" s="190"/>
      <c r="F467" s="156">
        <v>188255</v>
      </c>
    </row>
    <row r="468" spans="1:6" ht="31.5" customHeight="1" x14ac:dyDescent="0.2">
      <c r="A468" s="188" t="s">
        <v>452</v>
      </c>
      <c r="B468" s="189"/>
      <c r="C468" s="156">
        <v>20300</v>
      </c>
      <c r="D468" s="190">
        <v>0</v>
      </c>
      <c r="E468" s="190"/>
      <c r="F468" s="156">
        <v>20300</v>
      </c>
    </row>
    <row r="469" spans="1:6" ht="15.75" customHeight="1" x14ac:dyDescent="0.2">
      <c r="A469" s="188" t="s">
        <v>550</v>
      </c>
      <c r="B469" s="189"/>
      <c r="C469" s="156">
        <v>6200</v>
      </c>
      <c r="D469" s="190">
        <v>0</v>
      </c>
      <c r="E469" s="190"/>
      <c r="F469" s="156">
        <v>6200</v>
      </c>
    </row>
    <row r="470" spans="1:6" ht="15.75" customHeight="1" x14ac:dyDescent="0.2">
      <c r="A470" s="188" t="s">
        <v>453</v>
      </c>
      <c r="B470" s="189"/>
      <c r="C470" s="156">
        <v>54799</v>
      </c>
      <c r="D470" s="190">
        <v>0</v>
      </c>
      <c r="E470" s="190"/>
      <c r="F470" s="156">
        <v>54799</v>
      </c>
    </row>
    <row r="471" spans="1:6" ht="15.75" customHeight="1" x14ac:dyDescent="0.2">
      <c r="A471" s="188" t="s">
        <v>454</v>
      </c>
      <c r="B471" s="189"/>
      <c r="C471" s="156">
        <v>54799</v>
      </c>
      <c r="D471" s="190">
        <v>0</v>
      </c>
      <c r="E471" s="190"/>
      <c r="F471" s="156">
        <v>54799</v>
      </c>
    </row>
    <row r="472" spans="1:6" ht="14.25" customHeight="1" x14ac:dyDescent="0.25">
      <c r="A472" s="131"/>
      <c r="B472" s="131"/>
      <c r="C472" s="132"/>
      <c r="D472" s="132"/>
      <c r="E472" s="132"/>
      <c r="F472" s="132"/>
    </row>
    <row r="473" spans="1:6" ht="15.75" customHeight="1" x14ac:dyDescent="0.2">
      <c r="A473" s="183" t="s">
        <v>603</v>
      </c>
      <c r="B473" s="189"/>
      <c r="C473" s="189"/>
      <c r="D473" s="189"/>
      <c r="E473" s="189"/>
      <c r="F473" s="189"/>
    </row>
    <row r="474" spans="1:6" ht="15.75" customHeight="1" x14ac:dyDescent="0.2">
      <c r="A474" s="183" t="s">
        <v>446</v>
      </c>
      <c r="B474" s="184"/>
      <c r="C474" s="157">
        <v>637270</v>
      </c>
      <c r="D474" s="185">
        <v>0</v>
      </c>
      <c r="E474" s="185"/>
      <c r="F474" s="157">
        <v>637270</v>
      </c>
    </row>
    <row r="475" spans="1:6" ht="15.75" customHeight="1" x14ac:dyDescent="0.2">
      <c r="A475" s="188" t="s">
        <v>447</v>
      </c>
      <c r="B475" s="189"/>
      <c r="C475" s="156">
        <v>6600</v>
      </c>
      <c r="D475" s="190">
        <v>0</v>
      </c>
      <c r="E475" s="190"/>
      <c r="F475" s="156">
        <v>6600</v>
      </c>
    </row>
    <row r="476" spans="1:6" ht="15.75" customHeight="1" x14ac:dyDescent="0.2">
      <c r="A476" s="188" t="s">
        <v>448</v>
      </c>
      <c r="B476" s="189"/>
      <c r="C476" s="156">
        <v>6000</v>
      </c>
      <c r="D476" s="190">
        <v>0</v>
      </c>
      <c r="E476" s="190"/>
      <c r="F476" s="156">
        <v>6000</v>
      </c>
    </row>
    <row r="477" spans="1:6" ht="15.75" customHeight="1" x14ac:dyDescent="0.2">
      <c r="A477" s="188" t="s">
        <v>449</v>
      </c>
      <c r="B477" s="189"/>
      <c r="C477" s="156">
        <v>600</v>
      </c>
      <c r="D477" s="190">
        <v>0</v>
      </c>
      <c r="E477" s="190"/>
      <c r="F477" s="156">
        <v>600</v>
      </c>
    </row>
    <row r="478" spans="1:6" ht="15.75" customHeight="1" x14ac:dyDescent="0.2">
      <c r="A478" s="188" t="s">
        <v>450</v>
      </c>
      <c r="B478" s="189"/>
      <c r="C478" s="156">
        <v>165970</v>
      </c>
      <c r="D478" s="190">
        <v>0</v>
      </c>
      <c r="E478" s="190"/>
      <c r="F478" s="156">
        <v>165970</v>
      </c>
    </row>
    <row r="479" spans="1:6" ht="15.75" customHeight="1" x14ac:dyDescent="0.2">
      <c r="A479" s="188" t="s">
        <v>548</v>
      </c>
      <c r="B479" s="189"/>
      <c r="C479" s="156">
        <v>3500</v>
      </c>
      <c r="D479" s="190">
        <v>0</v>
      </c>
      <c r="E479" s="190"/>
      <c r="F479" s="156">
        <v>3500</v>
      </c>
    </row>
    <row r="480" spans="1:6" ht="15.75" customHeight="1" x14ac:dyDescent="0.2">
      <c r="A480" s="188" t="s">
        <v>451</v>
      </c>
      <c r="B480" s="189"/>
      <c r="C480" s="156">
        <v>123570</v>
      </c>
      <c r="D480" s="190">
        <v>0</v>
      </c>
      <c r="E480" s="190"/>
      <c r="F480" s="156">
        <v>123570</v>
      </c>
    </row>
    <row r="481" spans="1:6" ht="31.5" customHeight="1" x14ac:dyDescent="0.2">
      <c r="A481" s="188" t="s">
        <v>452</v>
      </c>
      <c r="B481" s="189"/>
      <c r="C481" s="156">
        <v>38900</v>
      </c>
      <c r="D481" s="190">
        <v>0</v>
      </c>
      <c r="E481" s="190"/>
      <c r="F481" s="156">
        <v>38900</v>
      </c>
    </row>
    <row r="482" spans="1:6" ht="15.75" customHeight="1" x14ac:dyDescent="0.2">
      <c r="A482" s="188" t="s">
        <v>458</v>
      </c>
      <c r="B482" s="189"/>
      <c r="C482" s="156">
        <v>460700</v>
      </c>
      <c r="D482" s="190">
        <v>0</v>
      </c>
      <c r="E482" s="190"/>
      <c r="F482" s="156">
        <v>460700</v>
      </c>
    </row>
    <row r="483" spans="1:6" ht="31.5" customHeight="1" x14ac:dyDescent="0.2">
      <c r="A483" s="188" t="s">
        <v>459</v>
      </c>
      <c r="B483" s="189"/>
      <c r="C483" s="156">
        <v>460700</v>
      </c>
      <c r="D483" s="190">
        <v>0</v>
      </c>
      <c r="E483" s="190"/>
      <c r="F483" s="156">
        <v>460700</v>
      </c>
    </row>
    <row r="484" spans="1:6" ht="15.75" customHeight="1" x14ac:dyDescent="0.2">
      <c r="A484" s="188" t="s">
        <v>453</v>
      </c>
      <c r="B484" s="189"/>
      <c r="C484" s="156">
        <v>4000</v>
      </c>
      <c r="D484" s="190">
        <v>0</v>
      </c>
      <c r="E484" s="190"/>
      <c r="F484" s="156">
        <v>4000</v>
      </c>
    </row>
    <row r="485" spans="1:6" ht="15.75" customHeight="1" x14ac:dyDescent="0.2">
      <c r="A485" s="188" t="s">
        <v>553</v>
      </c>
      <c r="B485" s="189"/>
      <c r="C485" s="156">
        <v>4000</v>
      </c>
      <c r="D485" s="190">
        <v>0</v>
      </c>
      <c r="E485" s="190"/>
      <c r="F485" s="156">
        <v>4000</v>
      </c>
    </row>
    <row r="486" spans="1:6" ht="14.25" customHeight="1" x14ac:dyDescent="0.25">
      <c r="A486" s="131"/>
      <c r="B486" s="131"/>
      <c r="C486" s="132"/>
      <c r="D486" s="132"/>
      <c r="E486" s="132"/>
      <c r="F486" s="132"/>
    </row>
    <row r="487" spans="1:6" ht="15.75" customHeight="1" x14ac:dyDescent="0.2">
      <c r="A487" s="183" t="s">
        <v>604</v>
      </c>
      <c r="B487" s="189"/>
      <c r="C487" s="189"/>
      <c r="D487" s="189"/>
      <c r="E487" s="189"/>
      <c r="F487" s="189"/>
    </row>
    <row r="488" spans="1:6" ht="15.75" customHeight="1" x14ac:dyDescent="0.2">
      <c r="A488" s="183" t="s">
        <v>446</v>
      </c>
      <c r="B488" s="184"/>
      <c r="C488" s="157">
        <v>5000</v>
      </c>
      <c r="D488" s="185">
        <v>0</v>
      </c>
      <c r="E488" s="185"/>
      <c r="F488" s="157">
        <v>5000</v>
      </c>
    </row>
    <row r="489" spans="1:6" ht="15.75" customHeight="1" x14ac:dyDescent="0.2">
      <c r="A489" s="188" t="s">
        <v>458</v>
      </c>
      <c r="B489" s="189"/>
      <c r="C489" s="156">
        <v>5000</v>
      </c>
      <c r="D489" s="190">
        <v>0</v>
      </c>
      <c r="E489" s="190"/>
      <c r="F489" s="156">
        <v>5000</v>
      </c>
    </row>
    <row r="490" spans="1:6" ht="31.5" customHeight="1" x14ac:dyDescent="0.2">
      <c r="A490" s="188" t="s">
        <v>459</v>
      </c>
      <c r="B490" s="189"/>
      <c r="C490" s="156">
        <v>5000</v>
      </c>
      <c r="D490" s="190">
        <v>0</v>
      </c>
      <c r="E490" s="190"/>
      <c r="F490" s="156">
        <v>5000</v>
      </c>
    </row>
    <row r="491" spans="1:6" ht="14.25" customHeight="1" x14ac:dyDescent="0.25">
      <c r="A491" s="131"/>
      <c r="B491" s="131"/>
      <c r="C491" s="132"/>
      <c r="D491" s="132"/>
      <c r="E491" s="132"/>
      <c r="F491" s="132"/>
    </row>
    <row r="492" spans="1:6" ht="15.75" customHeight="1" x14ac:dyDescent="0.2">
      <c r="A492" s="183" t="s">
        <v>605</v>
      </c>
      <c r="B492" s="189"/>
      <c r="C492" s="189"/>
      <c r="D492" s="189"/>
      <c r="E492" s="189"/>
      <c r="F492" s="189"/>
    </row>
    <row r="493" spans="1:6" ht="15.75" customHeight="1" x14ac:dyDescent="0.2">
      <c r="A493" s="183" t="s">
        <v>446</v>
      </c>
      <c r="B493" s="184"/>
      <c r="C493" s="157">
        <v>970131</v>
      </c>
      <c r="D493" s="185">
        <v>0</v>
      </c>
      <c r="E493" s="185"/>
      <c r="F493" s="157">
        <v>970131</v>
      </c>
    </row>
    <row r="494" spans="1:6" ht="15.75" customHeight="1" x14ac:dyDescent="0.2">
      <c r="A494" s="188" t="s">
        <v>447</v>
      </c>
      <c r="B494" s="189"/>
      <c r="C494" s="156">
        <v>489065</v>
      </c>
      <c r="D494" s="190">
        <v>0</v>
      </c>
      <c r="E494" s="190"/>
      <c r="F494" s="156">
        <v>489065</v>
      </c>
    </row>
    <row r="495" spans="1:6" ht="15.75" customHeight="1" x14ac:dyDescent="0.2">
      <c r="A495" s="188" t="s">
        <v>448</v>
      </c>
      <c r="B495" s="189"/>
      <c r="C495" s="156">
        <v>379172</v>
      </c>
      <c r="D495" s="190">
        <v>0</v>
      </c>
      <c r="E495" s="190"/>
      <c r="F495" s="156">
        <v>379172</v>
      </c>
    </row>
    <row r="496" spans="1:6" ht="15.75" customHeight="1" x14ac:dyDescent="0.2">
      <c r="A496" s="188" t="s">
        <v>449</v>
      </c>
      <c r="B496" s="189"/>
      <c r="C496" s="156">
        <v>109893</v>
      </c>
      <c r="D496" s="190">
        <v>0</v>
      </c>
      <c r="E496" s="190"/>
      <c r="F496" s="156">
        <v>109893</v>
      </c>
    </row>
    <row r="497" spans="1:6" ht="15.75" customHeight="1" x14ac:dyDescent="0.2">
      <c r="A497" s="188" t="s">
        <v>450</v>
      </c>
      <c r="B497" s="189"/>
      <c r="C497" s="156">
        <v>280366</v>
      </c>
      <c r="D497" s="190">
        <v>0</v>
      </c>
      <c r="E497" s="190"/>
      <c r="F497" s="156">
        <v>280366</v>
      </c>
    </row>
    <row r="498" spans="1:6" ht="15.75" customHeight="1" x14ac:dyDescent="0.2">
      <c r="A498" s="188" t="s">
        <v>548</v>
      </c>
      <c r="B498" s="189"/>
      <c r="C498" s="156">
        <v>6690</v>
      </c>
      <c r="D498" s="190">
        <v>0</v>
      </c>
      <c r="E498" s="190"/>
      <c r="F498" s="156">
        <v>6690</v>
      </c>
    </row>
    <row r="499" spans="1:6" ht="15.75" customHeight="1" x14ac:dyDescent="0.2">
      <c r="A499" s="188" t="s">
        <v>451</v>
      </c>
      <c r="B499" s="189"/>
      <c r="C499" s="156">
        <v>204120</v>
      </c>
      <c r="D499" s="190">
        <v>0</v>
      </c>
      <c r="E499" s="190"/>
      <c r="F499" s="156">
        <v>204120</v>
      </c>
    </row>
    <row r="500" spans="1:6" ht="31.5" customHeight="1" x14ac:dyDescent="0.2">
      <c r="A500" s="188" t="s">
        <v>452</v>
      </c>
      <c r="B500" s="189"/>
      <c r="C500" s="156">
        <v>61556</v>
      </c>
      <c r="D500" s="190">
        <v>0</v>
      </c>
      <c r="E500" s="190"/>
      <c r="F500" s="156">
        <v>61556</v>
      </c>
    </row>
    <row r="501" spans="1:6" ht="15.75" customHeight="1" x14ac:dyDescent="0.2">
      <c r="A501" s="188" t="s">
        <v>600</v>
      </c>
      <c r="B501" s="189"/>
      <c r="C501" s="156">
        <v>8000</v>
      </c>
      <c r="D501" s="190">
        <v>0</v>
      </c>
      <c r="E501" s="190"/>
      <c r="F501" s="156">
        <v>8000</v>
      </c>
    </row>
    <row r="502" spans="1:6" ht="15.75" customHeight="1" x14ac:dyDescent="0.2">
      <c r="A502" s="188" t="s">
        <v>453</v>
      </c>
      <c r="B502" s="189"/>
      <c r="C502" s="156">
        <v>200700</v>
      </c>
      <c r="D502" s="190">
        <v>0</v>
      </c>
      <c r="E502" s="190"/>
      <c r="F502" s="156">
        <v>200700</v>
      </c>
    </row>
    <row r="503" spans="1:6" ht="15.75" customHeight="1" x14ac:dyDescent="0.2">
      <c r="A503" s="188" t="s">
        <v>553</v>
      </c>
      <c r="B503" s="189"/>
      <c r="C503" s="156">
        <v>700</v>
      </c>
      <c r="D503" s="190">
        <v>0</v>
      </c>
      <c r="E503" s="190"/>
      <c r="F503" s="156">
        <v>700</v>
      </c>
    </row>
    <row r="504" spans="1:6" ht="15.75" customHeight="1" x14ac:dyDescent="0.2">
      <c r="A504" s="188" t="s">
        <v>454</v>
      </c>
      <c r="B504" s="189"/>
      <c r="C504" s="156">
        <v>200000</v>
      </c>
      <c r="D504" s="190">
        <v>0</v>
      </c>
      <c r="E504" s="190"/>
      <c r="F504" s="156">
        <v>200000</v>
      </c>
    </row>
    <row r="505" spans="1:6" ht="14.25" customHeight="1" x14ac:dyDescent="0.25">
      <c r="A505" s="131"/>
      <c r="B505" s="131"/>
      <c r="C505" s="132"/>
      <c r="D505" s="132"/>
      <c r="E505" s="132"/>
      <c r="F505" s="132"/>
    </row>
    <row r="506" spans="1:6" ht="15.75" customHeight="1" x14ac:dyDescent="0.2">
      <c r="A506" s="183" t="s">
        <v>606</v>
      </c>
      <c r="B506" s="189"/>
      <c r="C506" s="189"/>
      <c r="D506" s="189"/>
      <c r="E506" s="189"/>
      <c r="F506" s="189"/>
    </row>
    <row r="507" spans="1:6" ht="15.75" customHeight="1" x14ac:dyDescent="0.2">
      <c r="A507" s="183" t="s">
        <v>446</v>
      </c>
      <c r="B507" s="184"/>
      <c r="C507" s="157">
        <v>9155</v>
      </c>
      <c r="D507" s="185">
        <v>0</v>
      </c>
      <c r="E507" s="185"/>
      <c r="F507" s="157">
        <v>9155</v>
      </c>
    </row>
    <row r="508" spans="1:6" ht="15.75" customHeight="1" x14ac:dyDescent="0.2">
      <c r="A508" s="188" t="s">
        <v>450</v>
      </c>
      <c r="B508" s="189"/>
      <c r="C508" s="156">
        <v>9155</v>
      </c>
      <c r="D508" s="190">
        <v>0</v>
      </c>
      <c r="E508" s="190"/>
      <c r="F508" s="156">
        <v>9155</v>
      </c>
    </row>
    <row r="509" spans="1:6" ht="15.75" customHeight="1" x14ac:dyDescent="0.2">
      <c r="A509" s="188" t="s">
        <v>548</v>
      </c>
      <c r="B509" s="189"/>
      <c r="C509" s="156">
        <v>7309</v>
      </c>
      <c r="D509" s="190">
        <v>0</v>
      </c>
      <c r="E509" s="190"/>
      <c r="F509" s="156">
        <v>7309</v>
      </c>
    </row>
    <row r="510" spans="1:6" ht="15.75" customHeight="1" x14ac:dyDescent="0.2">
      <c r="A510" s="188" t="s">
        <v>451</v>
      </c>
      <c r="B510" s="189"/>
      <c r="C510" s="156">
        <v>1846</v>
      </c>
      <c r="D510" s="190">
        <v>0</v>
      </c>
      <c r="E510" s="190"/>
      <c r="F510" s="156">
        <v>1846</v>
      </c>
    </row>
    <row r="511" spans="1:6" ht="14.25" customHeight="1" x14ac:dyDescent="0.25">
      <c r="A511" s="131"/>
      <c r="B511" s="131"/>
      <c r="C511" s="132"/>
      <c r="D511" s="132"/>
      <c r="E511" s="132"/>
      <c r="F511" s="132"/>
    </row>
    <row r="512" spans="1:6" ht="15.75" customHeight="1" x14ac:dyDescent="0.2">
      <c r="A512" s="183" t="s">
        <v>607</v>
      </c>
      <c r="B512" s="189"/>
      <c r="C512" s="189"/>
      <c r="D512" s="189"/>
      <c r="E512" s="189"/>
      <c r="F512" s="189"/>
    </row>
    <row r="513" spans="1:6" ht="15.75" customHeight="1" x14ac:dyDescent="0.2">
      <c r="A513" s="183" t="s">
        <v>446</v>
      </c>
      <c r="B513" s="184"/>
      <c r="C513" s="157">
        <v>11855</v>
      </c>
      <c r="D513" s="185">
        <v>0</v>
      </c>
      <c r="E513" s="185"/>
      <c r="F513" s="157">
        <v>11855</v>
      </c>
    </row>
    <row r="514" spans="1:6" ht="15.75" customHeight="1" x14ac:dyDescent="0.2">
      <c r="A514" s="188" t="s">
        <v>450</v>
      </c>
      <c r="B514" s="189"/>
      <c r="C514" s="156">
        <v>4000</v>
      </c>
      <c r="D514" s="190">
        <v>0</v>
      </c>
      <c r="E514" s="190"/>
      <c r="F514" s="156">
        <v>4000</v>
      </c>
    </row>
    <row r="515" spans="1:6" ht="15.75" customHeight="1" x14ac:dyDescent="0.2">
      <c r="A515" s="188" t="s">
        <v>451</v>
      </c>
      <c r="B515" s="189"/>
      <c r="C515" s="156">
        <v>3000</v>
      </c>
      <c r="D515" s="190">
        <v>0</v>
      </c>
      <c r="E515" s="190"/>
      <c r="F515" s="156">
        <v>3000</v>
      </c>
    </row>
    <row r="516" spans="1:6" ht="31.5" customHeight="1" x14ac:dyDescent="0.2">
      <c r="A516" s="188" t="s">
        <v>452</v>
      </c>
      <c r="B516" s="189"/>
      <c r="C516" s="156">
        <v>1000</v>
      </c>
      <c r="D516" s="190">
        <v>0</v>
      </c>
      <c r="E516" s="190"/>
      <c r="F516" s="156">
        <v>1000</v>
      </c>
    </row>
    <row r="517" spans="1:6" ht="15.75" customHeight="1" x14ac:dyDescent="0.2">
      <c r="A517" s="188" t="s">
        <v>453</v>
      </c>
      <c r="B517" s="189"/>
      <c r="C517" s="156">
        <v>7855</v>
      </c>
      <c r="D517" s="190">
        <v>0</v>
      </c>
      <c r="E517" s="190"/>
      <c r="F517" s="156">
        <v>7855</v>
      </c>
    </row>
    <row r="518" spans="1:6" ht="15.75" customHeight="1" x14ac:dyDescent="0.2">
      <c r="A518" s="188" t="s">
        <v>553</v>
      </c>
      <c r="B518" s="189"/>
      <c r="C518" s="156">
        <v>7855</v>
      </c>
      <c r="D518" s="190">
        <v>0</v>
      </c>
      <c r="E518" s="190"/>
      <c r="F518" s="156">
        <v>7855</v>
      </c>
    </row>
    <row r="519" spans="1:6" ht="14.25" customHeight="1" x14ac:dyDescent="0.25">
      <c r="A519" s="131"/>
      <c r="B519" s="131"/>
      <c r="C519" s="132"/>
      <c r="D519" s="132"/>
      <c r="E519" s="132"/>
      <c r="F519" s="132"/>
    </row>
    <row r="520" spans="1:6" ht="15.75" customHeight="1" x14ac:dyDescent="0.2">
      <c r="A520" s="183" t="s">
        <v>608</v>
      </c>
      <c r="B520" s="189"/>
      <c r="C520" s="189"/>
      <c r="D520" s="189"/>
      <c r="E520" s="189"/>
      <c r="F520" s="189"/>
    </row>
    <row r="521" spans="1:6" ht="15.75" customHeight="1" x14ac:dyDescent="0.2">
      <c r="A521" s="183" t="s">
        <v>446</v>
      </c>
      <c r="B521" s="184"/>
      <c r="C521" s="157">
        <v>472476</v>
      </c>
      <c r="D521" s="185">
        <v>0</v>
      </c>
      <c r="E521" s="185"/>
      <c r="F521" s="157">
        <v>472476</v>
      </c>
    </row>
    <row r="522" spans="1:6" ht="15.75" customHeight="1" x14ac:dyDescent="0.2">
      <c r="A522" s="188" t="s">
        <v>447</v>
      </c>
      <c r="B522" s="189"/>
      <c r="C522" s="156">
        <v>310783</v>
      </c>
      <c r="D522" s="190">
        <v>0</v>
      </c>
      <c r="E522" s="190"/>
      <c r="F522" s="156">
        <v>310783</v>
      </c>
    </row>
    <row r="523" spans="1:6" ht="15.75" customHeight="1" x14ac:dyDescent="0.2">
      <c r="A523" s="188" t="s">
        <v>448</v>
      </c>
      <c r="B523" s="189"/>
      <c r="C523" s="156">
        <v>241552</v>
      </c>
      <c r="D523" s="190">
        <v>0</v>
      </c>
      <c r="E523" s="190"/>
      <c r="F523" s="156">
        <v>241552</v>
      </c>
    </row>
    <row r="524" spans="1:6" ht="15.75" customHeight="1" x14ac:dyDescent="0.2">
      <c r="A524" s="188" t="s">
        <v>449</v>
      </c>
      <c r="B524" s="189"/>
      <c r="C524" s="156">
        <v>69231</v>
      </c>
      <c r="D524" s="190">
        <v>0</v>
      </c>
      <c r="E524" s="190"/>
      <c r="F524" s="156">
        <v>69231</v>
      </c>
    </row>
    <row r="525" spans="1:6" ht="15.75" customHeight="1" x14ac:dyDescent="0.2">
      <c r="A525" s="188" t="s">
        <v>450</v>
      </c>
      <c r="B525" s="189"/>
      <c r="C525" s="156">
        <v>141168</v>
      </c>
      <c r="D525" s="190">
        <v>0</v>
      </c>
      <c r="E525" s="190"/>
      <c r="F525" s="156">
        <v>141168</v>
      </c>
    </row>
    <row r="526" spans="1:6" ht="15.75" customHeight="1" x14ac:dyDescent="0.2">
      <c r="A526" s="188" t="s">
        <v>548</v>
      </c>
      <c r="B526" s="189"/>
      <c r="C526" s="156">
        <v>8450</v>
      </c>
      <c r="D526" s="190">
        <v>0</v>
      </c>
      <c r="E526" s="190"/>
      <c r="F526" s="156">
        <v>8450</v>
      </c>
    </row>
    <row r="527" spans="1:6" ht="15.75" customHeight="1" x14ac:dyDescent="0.2">
      <c r="A527" s="188" t="s">
        <v>451</v>
      </c>
      <c r="B527" s="189"/>
      <c r="C527" s="156">
        <v>92383</v>
      </c>
      <c r="D527" s="190">
        <v>0</v>
      </c>
      <c r="E527" s="190"/>
      <c r="F527" s="156">
        <v>92383</v>
      </c>
    </row>
    <row r="528" spans="1:6" ht="31.5" customHeight="1" x14ac:dyDescent="0.2">
      <c r="A528" s="188" t="s">
        <v>452</v>
      </c>
      <c r="B528" s="189"/>
      <c r="C528" s="156">
        <v>40320</v>
      </c>
      <c r="D528" s="190">
        <v>0</v>
      </c>
      <c r="E528" s="190"/>
      <c r="F528" s="156">
        <v>40320</v>
      </c>
    </row>
    <row r="529" spans="1:6" ht="15.75" customHeight="1" x14ac:dyDescent="0.2">
      <c r="A529" s="188" t="s">
        <v>550</v>
      </c>
      <c r="B529" s="189"/>
      <c r="C529" s="156">
        <v>15</v>
      </c>
      <c r="D529" s="190">
        <v>0</v>
      </c>
      <c r="E529" s="190"/>
      <c r="F529" s="156">
        <v>15</v>
      </c>
    </row>
    <row r="530" spans="1:6" ht="15.75" customHeight="1" x14ac:dyDescent="0.2">
      <c r="A530" s="188" t="s">
        <v>453</v>
      </c>
      <c r="B530" s="189"/>
      <c r="C530" s="156">
        <v>20525</v>
      </c>
      <c r="D530" s="190">
        <v>0</v>
      </c>
      <c r="E530" s="190"/>
      <c r="F530" s="156">
        <v>20525</v>
      </c>
    </row>
    <row r="531" spans="1:6" ht="15.75" customHeight="1" x14ac:dyDescent="0.2">
      <c r="A531" s="188" t="s">
        <v>553</v>
      </c>
      <c r="B531" s="189"/>
      <c r="C531" s="156">
        <v>1475</v>
      </c>
      <c r="D531" s="190">
        <v>0</v>
      </c>
      <c r="E531" s="190"/>
      <c r="F531" s="156">
        <v>1475</v>
      </c>
    </row>
    <row r="532" spans="1:6" ht="15.75" customHeight="1" x14ac:dyDescent="0.2">
      <c r="A532" s="188" t="s">
        <v>454</v>
      </c>
      <c r="B532" s="189"/>
      <c r="C532" s="156">
        <v>19050</v>
      </c>
      <c r="D532" s="190">
        <v>0</v>
      </c>
      <c r="E532" s="190"/>
      <c r="F532" s="156">
        <v>19050</v>
      </c>
    </row>
    <row r="533" spans="1:6" ht="14.25" customHeight="1" x14ac:dyDescent="0.25">
      <c r="A533" s="131"/>
      <c r="B533" s="131"/>
      <c r="C533" s="132"/>
      <c r="D533" s="132"/>
      <c r="E533" s="132"/>
      <c r="F533" s="132"/>
    </row>
    <row r="534" spans="1:6" ht="15.75" customHeight="1" x14ac:dyDescent="0.2">
      <c r="A534" s="183" t="s">
        <v>609</v>
      </c>
      <c r="B534" s="189"/>
      <c r="C534" s="189"/>
      <c r="D534" s="189"/>
      <c r="E534" s="189"/>
      <c r="F534" s="189"/>
    </row>
    <row r="535" spans="1:6" ht="15.75" customHeight="1" x14ac:dyDescent="0.2">
      <c r="A535" s="183" t="s">
        <v>446</v>
      </c>
      <c r="B535" s="184"/>
      <c r="C535" s="157">
        <v>1621008</v>
      </c>
      <c r="D535" s="185">
        <v>0</v>
      </c>
      <c r="E535" s="185"/>
      <c r="F535" s="157">
        <v>1621008</v>
      </c>
    </row>
    <row r="536" spans="1:6" ht="15.75" customHeight="1" x14ac:dyDescent="0.2">
      <c r="A536" s="188" t="s">
        <v>447</v>
      </c>
      <c r="B536" s="189"/>
      <c r="C536" s="156">
        <v>748902</v>
      </c>
      <c r="D536" s="190">
        <v>0</v>
      </c>
      <c r="E536" s="190"/>
      <c r="F536" s="156">
        <v>748902</v>
      </c>
    </row>
    <row r="537" spans="1:6" ht="15.75" customHeight="1" x14ac:dyDescent="0.2">
      <c r="A537" s="188" t="s">
        <v>448</v>
      </c>
      <c r="B537" s="189"/>
      <c r="C537" s="156">
        <v>584128</v>
      </c>
      <c r="D537" s="190">
        <v>0</v>
      </c>
      <c r="E537" s="190"/>
      <c r="F537" s="156">
        <v>584128</v>
      </c>
    </row>
    <row r="538" spans="1:6" ht="15.75" customHeight="1" x14ac:dyDescent="0.2">
      <c r="A538" s="188" t="s">
        <v>449</v>
      </c>
      <c r="B538" s="189"/>
      <c r="C538" s="156">
        <v>164774</v>
      </c>
      <c r="D538" s="190">
        <v>0</v>
      </c>
      <c r="E538" s="190"/>
      <c r="F538" s="156">
        <v>164774</v>
      </c>
    </row>
    <row r="539" spans="1:6" ht="15.75" customHeight="1" x14ac:dyDescent="0.2">
      <c r="A539" s="188" t="s">
        <v>450</v>
      </c>
      <c r="B539" s="189"/>
      <c r="C539" s="156">
        <v>500612</v>
      </c>
      <c r="D539" s="190">
        <v>0</v>
      </c>
      <c r="E539" s="190"/>
      <c r="F539" s="156">
        <v>500612</v>
      </c>
    </row>
    <row r="540" spans="1:6" ht="15.75" customHeight="1" x14ac:dyDescent="0.2">
      <c r="A540" s="188" t="s">
        <v>548</v>
      </c>
      <c r="B540" s="189"/>
      <c r="C540" s="156">
        <v>5710</v>
      </c>
      <c r="D540" s="190">
        <v>0</v>
      </c>
      <c r="E540" s="190"/>
      <c r="F540" s="156">
        <v>5710</v>
      </c>
    </row>
    <row r="541" spans="1:6" ht="15.75" customHeight="1" x14ac:dyDescent="0.2">
      <c r="A541" s="188" t="s">
        <v>451</v>
      </c>
      <c r="B541" s="189"/>
      <c r="C541" s="156">
        <v>350502</v>
      </c>
      <c r="D541" s="190">
        <v>0</v>
      </c>
      <c r="E541" s="190"/>
      <c r="F541" s="156">
        <v>350502</v>
      </c>
    </row>
    <row r="542" spans="1:6" ht="31.5" customHeight="1" x14ac:dyDescent="0.2">
      <c r="A542" s="188" t="s">
        <v>452</v>
      </c>
      <c r="B542" s="189"/>
      <c r="C542" s="156">
        <v>123600</v>
      </c>
      <c r="D542" s="190">
        <v>0</v>
      </c>
      <c r="E542" s="190"/>
      <c r="F542" s="156">
        <v>123600</v>
      </c>
    </row>
    <row r="543" spans="1:6" ht="15.75" customHeight="1" x14ac:dyDescent="0.2">
      <c r="A543" s="188" t="s">
        <v>550</v>
      </c>
      <c r="B543" s="189"/>
      <c r="C543" s="156">
        <v>20800</v>
      </c>
      <c r="D543" s="190">
        <v>0</v>
      </c>
      <c r="E543" s="190"/>
      <c r="F543" s="156">
        <v>20800</v>
      </c>
    </row>
    <row r="544" spans="1:6" ht="15.75" customHeight="1" x14ac:dyDescent="0.2">
      <c r="A544" s="188" t="s">
        <v>453</v>
      </c>
      <c r="B544" s="189"/>
      <c r="C544" s="156">
        <v>371494</v>
      </c>
      <c r="D544" s="190">
        <v>0</v>
      </c>
      <c r="E544" s="190"/>
      <c r="F544" s="156">
        <v>371494</v>
      </c>
    </row>
    <row r="545" spans="1:6" ht="15.75" customHeight="1" x14ac:dyDescent="0.2">
      <c r="A545" s="188" t="s">
        <v>553</v>
      </c>
      <c r="B545" s="189"/>
      <c r="C545" s="156">
        <v>34986</v>
      </c>
      <c r="D545" s="190">
        <v>0</v>
      </c>
      <c r="E545" s="190"/>
      <c r="F545" s="156">
        <v>34986</v>
      </c>
    </row>
    <row r="546" spans="1:6" ht="15.75" customHeight="1" x14ac:dyDescent="0.2">
      <c r="A546" s="188" t="s">
        <v>454</v>
      </c>
      <c r="B546" s="189"/>
      <c r="C546" s="156">
        <v>336508</v>
      </c>
      <c r="D546" s="190">
        <v>0</v>
      </c>
      <c r="E546" s="190"/>
      <c r="F546" s="156">
        <v>336508</v>
      </c>
    </row>
    <row r="547" spans="1:6" ht="14.25" customHeight="1" x14ac:dyDescent="0.25">
      <c r="A547" s="131"/>
      <c r="B547" s="131"/>
      <c r="C547" s="132"/>
      <c r="D547" s="132"/>
      <c r="E547" s="132"/>
      <c r="F547" s="132"/>
    </row>
    <row r="548" spans="1:6" ht="15.75" customHeight="1" x14ac:dyDescent="0.2">
      <c r="A548" s="183" t="s">
        <v>610</v>
      </c>
      <c r="B548" s="189"/>
      <c r="C548" s="189"/>
      <c r="D548" s="189"/>
      <c r="E548" s="189"/>
      <c r="F548" s="189"/>
    </row>
    <row r="549" spans="1:6" ht="15.75" customHeight="1" x14ac:dyDescent="0.2">
      <c r="A549" s="183" t="s">
        <v>446</v>
      </c>
      <c r="B549" s="184"/>
      <c r="C549" s="157">
        <v>644325</v>
      </c>
      <c r="D549" s="185">
        <v>0</v>
      </c>
      <c r="E549" s="185"/>
      <c r="F549" s="157">
        <v>644325</v>
      </c>
    </row>
    <row r="550" spans="1:6" ht="15.75" customHeight="1" x14ac:dyDescent="0.2">
      <c r="A550" s="188" t="s">
        <v>447</v>
      </c>
      <c r="B550" s="189"/>
      <c r="C550" s="156">
        <v>89254</v>
      </c>
      <c r="D550" s="190">
        <v>0</v>
      </c>
      <c r="E550" s="190"/>
      <c r="F550" s="156">
        <v>89254</v>
      </c>
    </row>
    <row r="551" spans="1:6" ht="15.75" customHeight="1" x14ac:dyDescent="0.2">
      <c r="A551" s="188" t="s">
        <v>448</v>
      </c>
      <c r="B551" s="189"/>
      <c r="C551" s="156">
        <v>85536</v>
      </c>
      <c r="D551" s="190">
        <v>0</v>
      </c>
      <c r="E551" s="190"/>
      <c r="F551" s="156">
        <v>85536</v>
      </c>
    </row>
    <row r="552" spans="1:6" ht="15.75" customHeight="1" x14ac:dyDescent="0.2">
      <c r="A552" s="188" t="s">
        <v>449</v>
      </c>
      <c r="B552" s="189"/>
      <c r="C552" s="156">
        <v>3718</v>
      </c>
      <c r="D552" s="190">
        <v>0</v>
      </c>
      <c r="E552" s="190"/>
      <c r="F552" s="156">
        <v>3718</v>
      </c>
    </row>
    <row r="553" spans="1:6" ht="15.75" customHeight="1" x14ac:dyDescent="0.2">
      <c r="A553" s="188" t="s">
        <v>450</v>
      </c>
      <c r="B553" s="189"/>
      <c r="C553" s="156">
        <v>543071</v>
      </c>
      <c r="D553" s="190">
        <v>0</v>
      </c>
      <c r="E553" s="190"/>
      <c r="F553" s="156">
        <v>543071</v>
      </c>
    </row>
    <row r="554" spans="1:6" ht="15.75" customHeight="1" x14ac:dyDescent="0.2">
      <c r="A554" s="188" t="s">
        <v>451</v>
      </c>
      <c r="B554" s="189"/>
      <c r="C554" s="156">
        <v>427330</v>
      </c>
      <c r="D554" s="190">
        <v>0</v>
      </c>
      <c r="E554" s="190"/>
      <c r="F554" s="156">
        <v>427330</v>
      </c>
    </row>
    <row r="555" spans="1:6" ht="31.5" customHeight="1" x14ac:dyDescent="0.2">
      <c r="A555" s="188" t="s">
        <v>452</v>
      </c>
      <c r="B555" s="189"/>
      <c r="C555" s="156">
        <v>68741</v>
      </c>
      <c r="D555" s="190">
        <v>0</v>
      </c>
      <c r="E555" s="190"/>
      <c r="F555" s="156">
        <v>68741</v>
      </c>
    </row>
    <row r="556" spans="1:6" ht="15.75" customHeight="1" x14ac:dyDescent="0.2">
      <c r="A556" s="188" t="s">
        <v>550</v>
      </c>
      <c r="B556" s="189"/>
      <c r="C556" s="156">
        <v>47000</v>
      </c>
      <c r="D556" s="190">
        <v>0</v>
      </c>
      <c r="E556" s="190"/>
      <c r="F556" s="156">
        <v>47000</v>
      </c>
    </row>
    <row r="557" spans="1:6" ht="15.75" customHeight="1" x14ac:dyDescent="0.2">
      <c r="A557" s="188" t="s">
        <v>453</v>
      </c>
      <c r="B557" s="189"/>
      <c r="C557" s="156">
        <v>12000</v>
      </c>
      <c r="D557" s="190">
        <v>0</v>
      </c>
      <c r="E557" s="190"/>
      <c r="F557" s="156">
        <v>12000</v>
      </c>
    </row>
    <row r="558" spans="1:6" ht="15.75" customHeight="1" x14ac:dyDescent="0.2">
      <c r="A558" s="188" t="s">
        <v>553</v>
      </c>
      <c r="B558" s="189"/>
      <c r="C558" s="156">
        <v>6000</v>
      </c>
      <c r="D558" s="190">
        <v>0</v>
      </c>
      <c r="E558" s="190"/>
      <c r="F558" s="156">
        <v>6000</v>
      </c>
    </row>
    <row r="559" spans="1:6" ht="15.75" customHeight="1" x14ac:dyDescent="0.2">
      <c r="A559" s="188" t="s">
        <v>454</v>
      </c>
      <c r="B559" s="189"/>
      <c r="C559" s="156">
        <v>6000</v>
      </c>
      <c r="D559" s="190">
        <v>0</v>
      </c>
      <c r="E559" s="190"/>
      <c r="F559" s="156">
        <v>6000</v>
      </c>
    </row>
    <row r="560" spans="1:6" ht="11.25" customHeight="1" x14ac:dyDescent="0.25">
      <c r="A560" s="131"/>
      <c r="B560" s="131"/>
      <c r="C560" s="132"/>
      <c r="D560" s="132"/>
      <c r="E560" s="132"/>
      <c r="F560" s="132"/>
    </row>
    <row r="561" spans="1:6" ht="15.75" customHeight="1" x14ac:dyDescent="0.2">
      <c r="A561" s="183" t="s">
        <v>611</v>
      </c>
      <c r="B561" s="189"/>
      <c r="C561" s="189"/>
      <c r="D561" s="189"/>
      <c r="E561" s="189"/>
      <c r="F561" s="189"/>
    </row>
    <row r="562" spans="1:6" ht="15.75" customHeight="1" x14ac:dyDescent="0.2">
      <c r="A562" s="183" t="s">
        <v>446</v>
      </c>
      <c r="B562" s="184"/>
      <c r="C562" s="157">
        <v>102615</v>
      </c>
      <c r="D562" s="185">
        <v>0</v>
      </c>
      <c r="E562" s="185"/>
      <c r="F562" s="157">
        <v>102615</v>
      </c>
    </row>
    <row r="563" spans="1:6" ht="15.75" customHeight="1" x14ac:dyDescent="0.2">
      <c r="A563" s="188" t="s">
        <v>447</v>
      </c>
      <c r="B563" s="189"/>
      <c r="C563" s="156">
        <v>99060</v>
      </c>
      <c r="D563" s="190">
        <v>0</v>
      </c>
      <c r="E563" s="190"/>
      <c r="F563" s="156">
        <v>99060</v>
      </c>
    </row>
    <row r="564" spans="1:6" ht="15.75" customHeight="1" x14ac:dyDescent="0.2">
      <c r="A564" s="188" t="s">
        <v>448</v>
      </c>
      <c r="B564" s="189"/>
      <c r="C564" s="156">
        <v>78438</v>
      </c>
      <c r="D564" s="190">
        <v>0</v>
      </c>
      <c r="E564" s="190"/>
      <c r="F564" s="156">
        <v>78438</v>
      </c>
    </row>
    <row r="565" spans="1:6" ht="15.75" customHeight="1" x14ac:dyDescent="0.2">
      <c r="A565" s="188" t="s">
        <v>449</v>
      </c>
      <c r="B565" s="189"/>
      <c r="C565" s="156">
        <v>20622</v>
      </c>
      <c r="D565" s="190">
        <v>0</v>
      </c>
      <c r="E565" s="190"/>
      <c r="F565" s="156">
        <v>20622</v>
      </c>
    </row>
    <row r="566" spans="1:6" ht="15.75" customHeight="1" x14ac:dyDescent="0.2">
      <c r="A566" s="188" t="s">
        <v>450</v>
      </c>
      <c r="B566" s="189"/>
      <c r="C566" s="156">
        <v>3555</v>
      </c>
      <c r="D566" s="190">
        <v>0</v>
      </c>
      <c r="E566" s="190"/>
      <c r="F566" s="156">
        <v>3555</v>
      </c>
    </row>
    <row r="567" spans="1:6" ht="15.75" customHeight="1" x14ac:dyDescent="0.2">
      <c r="A567" s="188" t="s">
        <v>451</v>
      </c>
      <c r="B567" s="189"/>
      <c r="C567" s="156">
        <v>3555</v>
      </c>
      <c r="D567" s="190">
        <v>0</v>
      </c>
      <c r="E567" s="190"/>
      <c r="F567" s="156">
        <v>3555</v>
      </c>
    </row>
    <row r="568" spans="1:6" ht="7.5" customHeight="1" x14ac:dyDescent="0.25">
      <c r="A568" s="131"/>
      <c r="B568" s="131"/>
      <c r="C568" s="132"/>
      <c r="D568" s="132"/>
      <c r="E568" s="132"/>
      <c r="F568" s="132"/>
    </row>
    <row r="569" spans="1:6" ht="15.75" customHeight="1" x14ac:dyDescent="0.2">
      <c r="A569" s="183" t="s">
        <v>612</v>
      </c>
      <c r="B569" s="189"/>
      <c r="C569" s="189"/>
      <c r="D569" s="189"/>
      <c r="E569" s="189"/>
      <c r="F569" s="189"/>
    </row>
    <row r="570" spans="1:6" ht="15.75" customHeight="1" x14ac:dyDescent="0.2">
      <c r="A570" s="183" t="s">
        <v>446</v>
      </c>
      <c r="B570" s="184"/>
      <c r="C570" s="157">
        <v>86081</v>
      </c>
      <c r="D570" s="185">
        <v>0</v>
      </c>
      <c r="E570" s="185"/>
      <c r="F570" s="157">
        <v>86081</v>
      </c>
    </row>
    <row r="571" spans="1:6" ht="15.75" customHeight="1" x14ac:dyDescent="0.2">
      <c r="A571" s="188" t="s">
        <v>447</v>
      </c>
      <c r="B571" s="189"/>
      <c r="C571" s="156">
        <v>71726</v>
      </c>
      <c r="D571" s="190">
        <v>0</v>
      </c>
      <c r="E571" s="190"/>
      <c r="F571" s="156">
        <v>71726</v>
      </c>
    </row>
    <row r="572" spans="1:6" ht="15.75" customHeight="1" x14ac:dyDescent="0.2">
      <c r="A572" s="188" t="s">
        <v>448</v>
      </c>
      <c r="B572" s="189"/>
      <c r="C572" s="156">
        <v>56029</v>
      </c>
      <c r="D572" s="190">
        <v>0</v>
      </c>
      <c r="E572" s="190"/>
      <c r="F572" s="156">
        <v>56029</v>
      </c>
    </row>
    <row r="573" spans="1:6" ht="15.75" customHeight="1" x14ac:dyDescent="0.2">
      <c r="A573" s="188" t="s">
        <v>449</v>
      </c>
      <c r="B573" s="189"/>
      <c r="C573" s="156">
        <v>15697</v>
      </c>
      <c r="D573" s="190">
        <v>0</v>
      </c>
      <c r="E573" s="190"/>
      <c r="F573" s="156">
        <v>15697</v>
      </c>
    </row>
    <row r="574" spans="1:6" ht="15.75" customHeight="1" x14ac:dyDescent="0.2">
      <c r="A574" s="188" t="s">
        <v>450</v>
      </c>
      <c r="B574" s="189"/>
      <c r="C574" s="156">
        <v>14355</v>
      </c>
      <c r="D574" s="190">
        <v>0</v>
      </c>
      <c r="E574" s="190"/>
      <c r="F574" s="156">
        <v>14355</v>
      </c>
    </row>
    <row r="575" spans="1:6" ht="15.75" customHeight="1" x14ac:dyDescent="0.2">
      <c r="A575" s="188" t="s">
        <v>451</v>
      </c>
      <c r="B575" s="189"/>
      <c r="C575" s="156">
        <v>11550</v>
      </c>
      <c r="D575" s="190">
        <v>0</v>
      </c>
      <c r="E575" s="190"/>
      <c r="F575" s="156">
        <v>11550</v>
      </c>
    </row>
    <row r="576" spans="1:6" ht="31.5" customHeight="1" x14ac:dyDescent="0.2">
      <c r="A576" s="188" t="s">
        <v>452</v>
      </c>
      <c r="B576" s="189"/>
      <c r="C576" s="156">
        <v>2805</v>
      </c>
      <c r="D576" s="190">
        <v>0</v>
      </c>
      <c r="E576" s="190"/>
      <c r="F576" s="156">
        <v>2805</v>
      </c>
    </row>
    <row r="577" spans="1:6" ht="7.5" customHeight="1" x14ac:dyDescent="0.25">
      <c r="A577" s="131"/>
      <c r="B577" s="131"/>
      <c r="C577" s="132"/>
      <c r="D577" s="132"/>
      <c r="E577" s="132"/>
      <c r="F577" s="132"/>
    </row>
    <row r="578" spans="1:6" ht="15.75" customHeight="1" x14ac:dyDescent="0.2">
      <c r="A578" s="183" t="s">
        <v>613</v>
      </c>
      <c r="B578" s="189"/>
      <c r="C578" s="189"/>
      <c r="D578" s="189"/>
      <c r="E578" s="189"/>
      <c r="F578" s="189"/>
    </row>
    <row r="579" spans="1:6" ht="15.75" customHeight="1" x14ac:dyDescent="0.2">
      <c r="A579" s="183" t="s">
        <v>446</v>
      </c>
      <c r="B579" s="184"/>
      <c r="C579" s="157">
        <v>15956</v>
      </c>
      <c r="D579" s="185">
        <v>0</v>
      </c>
      <c r="E579" s="185"/>
      <c r="F579" s="157">
        <v>15956</v>
      </c>
    </row>
    <row r="580" spans="1:6" ht="15.75" customHeight="1" x14ac:dyDescent="0.2">
      <c r="A580" s="188" t="s">
        <v>447</v>
      </c>
      <c r="B580" s="189"/>
      <c r="C580" s="156">
        <v>14245</v>
      </c>
      <c r="D580" s="190">
        <v>0</v>
      </c>
      <c r="E580" s="190"/>
      <c r="F580" s="156">
        <v>14245</v>
      </c>
    </row>
    <row r="581" spans="1:6" ht="15.75" customHeight="1" x14ac:dyDescent="0.2">
      <c r="A581" s="188" t="s">
        <v>448</v>
      </c>
      <c r="B581" s="189"/>
      <c r="C581" s="156">
        <v>11341</v>
      </c>
      <c r="D581" s="190">
        <v>0</v>
      </c>
      <c r="E581" s="190"/>
      <c r="F581" s="156">
        <v>11341</v>
      </c>
    </row>
    <row r="582" spans="1:6" ht="15.75" customHeight="1" x14ac:dyDescent="0.2">
      <c r="A582" s="188" t="s">
        <v>449</v>
      </c>
      <c r="B582" s="189"/>
      <c r="C582" s="156">
        <v>2904</v>
      </c>
      <c r="D582" s="190">
        <v>0</v>
      </c>
      <c r="E582" s="190"/>
      <c r="F582" s="156">
        <v>2904</v>
      </c>
    </row>
    <row r="583" spans="1:6" ht="15.75" customHeight="1" x14ac:dyDescent="0.2">
      <c r="A583" s="188" t="s">
        <v>450</v>
      </c>
      <c r="B583" s="189"/>
      <c r="C583" s="156">
        <v>1711</v>
      </c>
      <c r="D583" s="190">
        <v>0</v>
      </c>
      <c r="E583" s="190"/>
      <c r="F583" s="156">
        <v>1711</v>
      </c>
    </row>
    <row r="584" spans="1:6" ht="15.75" customHeight="1" x14ac:dyDescent="0.2">
      <c r="A584" s="188" t="s">
        <v>451</v>
      </c>
      <c r="B584" s="189"/>
      <c r="C584" s="156">
        <v>516</v>
      </c>
      <c r="D584" s="190">
        <v>0</v>
      </c>
      <c r="E584" s="190"/>
      <c r="F584" s="156">
        <v>516</v>
      </c>
    </row>
    <row r="585" spans="1:6" ht="31.5" customHeight="1" x14ac:dyDescent="0.2">
      <c r="A585" s="188" t="s">
        <v>452</v>
      </c>
      <c r="B585" s="189"/>
      <c r="C585" s="156">
        <v>1195</v>
      </c>
      <c r="D585" s="190">
        <v>0</v>
      </c>
      <c r="E585" s="190"/>
      <c r="F585" s="156">
        <v>1195</v>
      </c>
    </row>
    <row r="586" spans="1:6" ht="11.25" customHeight="1" x14ac:dyDescent="0.25">
      <c r="A586" s="131"/>
      <c r="B586" s="131"/>
      <c r="C586" s="132"/>
      <c r="D586" s="132"/>
      <c r="E586" s="132"/>
      <c r="F586" s="132"/>
    </row>
    <row r="587" spans="1:6" ht="15.75" customHeight="1" x14ac:dyDescent="0.2">
      <c r="A587" s="183" t="s">
        <v>614</v>
      </c>
      <c r="B587" s="189"/>
      <c r="C587" s="189"/>
      <c r="D587" s="189"/>
      <c r="E587" s="189"/>
      <c r="F587" s="189"/>
    </row>
    <row r="588" spans="1:6" ht="15.75" customHeight="1" x14ac:dyDescent="0.2">
      <c r="A588" s="183" t="s">
        <v>446</v>
      </c>
      <c r="B588" s="184"/>
      <c r="C588" s="157">
        <v>401854</v>
      </c>
      <c r="D588" s="185">
        <v>0</v>
      </c>
      <c r="E588" s="185"/>
      <c r="F588" s="157">
        <v>401854</v>
      </c>
    </row>
    <row r="589" spans="1:6" ht="15.75" customHeight="1" x14ac:dyDescent="0.2">
      <c r="A589" s="188" t="s">
        <v>447</v>
      </c>
      <c r="B589" s="189"/>
      <c r="C589" s="156">
        <v>318172</v>
      </c>
      <c r="D589" s="190">
        <v>0</v>
      </c>
      <c r="E589" s="190"/>
      <c r="F589" s="156">
        <v>318172</v>
      </c>
    </row>
    <row r="590" spans="1:6" ht="15.75" customHeight="1" x14ac:dyDescent="0.2">
      <c r="A590" s="188" t="s">
        <v>448</v>
      </c>
      <c r="B590" s="189"/>
      <c r="C590" s="156">
        <v>248192</v>
      </c>
      <c r="D590" s="190">
        <v>0</v>
      </c>
      <c r="E590" s="190"/>
      <c r="F590" s="156">
        <v>248192</v>
      </c>
    </row>
    <row r="591" spans="1:6" ht="15.75" customHeight="1" x14ac:dyDescent="0.2">
      <c r="A591" s="188" t="s">
        <v>449</v>
      </c>
      <c r="B591" s="189"/>
      <c r="C591" s="156">
        <v>69980</v>
      </c>
      <c r="D591" s="190">
        <v>0</v>
      </c>
      <c r="E591" s="190"/>
      <c r="F591" s="156">
        <v>69980</v>
      </c>
    </row>
    <row r="592" spans="1:6" ht="15.75" customHeight="1" x14ac:dyDescent="0.2">
      <c r="A592" s="188" t="s">
        <v>450</v>
      </c>
      <c r="B592" s="189"/>
      <c r="C592" s="156">
        <v>67976</v>
      </c>
      <c r="D592" s="190">
        <v>0</v>
      </c>
      <c r="E592" s="190"/>
      <c r="F592" s="156">
        <v>67976</v>
      </c>
    </row>
    <row r="593" spans="1:6" ht="15.75" customHeight="1" x14ac:dyDescent="0.2">
      <c r="A593" s="188" t="s">
        <v>451</v>
      </c>
      <c r="B593" s="189"/>
      <c r="C593" s="156">
        <v>38534</v>
      </c>
      <c r="D593" s="190">
        <v>0</v>
      </c>
      <c r="E593" s="190"/>
      <c r="F593" s="156">
        <v>38534</v>
      </c>
    </row>
    <row r="594" spans="1:6" ht="31.5" customHeight="1" x14ac:dyDescent="0.2">
      <c r="A594" s="188" t="s">
        <v>452</v>
      </c>
      <c r="B594" s="189"/>
      <c r="C594" s="156">
        <v>29442</v>
      </c>
      <c r="D594" s="190">
        <v>0</v>
      </c>
      <c r="E594" s="190"/>
      <c r="F594" s="156">
        <v>29442</v>
      </c>
    </row>
    <row r="595" spans="1:6" ht="15.75" customHeight="1" x14ac:dyDescent="0.2">
      <c r="A595" s="188" t="s">
        <v>458</v>
      </c>
      <c r="B595" s="189"/>
      <c r="C595" s="156">
        <v>350</v>
      </c>
      <c r="D595" s="190">
        <v>0</v>
      </c>
      <c r="E595" s="190"/>
      <c r="F595" s="156">
        <v>350</v>
      </c>
    </row>
    <row r="596" spans="1:6" ht="31.5" customHeight="1" x14ac:dyDescent="0.2">
      <c r="A596" s="188" t="s">
        <v>459</v>
      </c>
      <c r="B596" s="189"/>
      <c r="C596" s="156">
        <v>350</v>
      </c>
      <c r="D596" s="190">
        <v>0</v>
      </c>
      <c r="E596" s="190"/>
      <c r="F596" s="156">
        <v>350</v>
      </c>
    </row>
    <row r="597" spans="1:6" ht="15.75" customHeight="1" x14ac:dyDescent="0.2">
      <c r="A597" s="188" t="s">
        <v>453</v>
      </c>
      <c r="B597" s="189"/>
      <c r="C597" s="156">
        <v>1000</v>
      </c>
      <c r="D597" s="190">
        <v>0</v>
      </c>
      <c r="E597" s="190"/>
      <c r="F597" s="156">
        <v>1000</v>
      </c>
    </row>
    <row r="598" spans="1:6" ht="15.75" customHeight="1" x14ac:dyDescent="0.2">
      <c r="A598" s="188" t="s">
        <v>553</v>
      </c>
      <c r="B598" s="189"/>
      <c r="C598" s="156">
        <v>670</v>
      </c>
      <c r="D598" s="190">
        <v>0</v>
      </c>
      <c r="E598" s="190"/>
      <c r="F598" s="156">
        <v>670</v>
      </c>
    </row>
    <row r="599" spans="1:6" ht="15.75" customHeight="1" x14ac:dyDescent="0.2">
      <c r="A599" s="188" t="s">
        <v>454</v>
      </c>
      <c r="B599" s="189"/>
      <c r="C599" s="156">
        <v>330</v>
      </c>
      <c r="D599" s="190">
        <v>0</v>
      </c>
      <c r="E599" s="190"/>
      <c r="F599" s="156">
        <v>330</v>
      </c>
    </row>
    <row r="600" spans="1:6" ht="31.5" customHeight="1" x14ac:dyDescent="0.2">
      <c r="A600" s="188" t="s">
        <v>554</v>
      </c>
      <c r="B600" s="189"/>
      <c r="C600" s="156">
        <v>14356</v>
      </c>
      <c r="D600" s="190">
        <v>0</v>
      </c>
      <c r="E600" s="190"/>
      <c r="F600" s="156">
        <v>14356</v>
      </c>
    </row>
    <row r="601" spans="1:6" ht="15.75" customHeight="1" x14ac:dyDescent="0.2">
      <c r="A601" s="188" t="s">
        <v>555</v>
      </c>
      <c r="B601" s="189"/>
      <c r="C601" s="156">
        <v>14356</v>
      </c>
      <c r="D601" s="190">
        <v>0</v>
      </c>
      <c r="E601" s="190"/>
      <c r="F601" s="156">
        <v>14356</v>
      </c>
    </row>
    <row r="602" spans="1:6" ht="12.75" customHeight="1" x14ac:dyDescent="0.25">
      <c r="A602" s="131"/>
      <c r="B602" s="131"/>
      <c r="C602" s="132"/>
      <c r="D602" s="132"/>
      <c r="E602" s="132"/>
      <c r="F602" s="132"/>
    </row>
    <row r="603" spans="1:6" ht="15.75" customHeight="1" x14ac:dyDescent="0.2">
      <c r="A603" s="183" t="s">
        <v>615</v>
      </c>
      <c r="B603" s="189"/>
      <c r="C603" s="189"/>
      <c r="D603" s="189"/>
      <c r="E603" s="189"/>
      <c r="F603" s="189"/>
    </row>
    <row r="604" spans="1:6" ht="15.75" customHeight="1" x14ac:dyDescent="0.2">
      <c r="A604" s="183" t="s">
        <v>446</v>
      </c>
      <c r="B604" s="184"/>
      <c r="C604" s="157">
        <v>574193</v>
      </c>
      <c r="D604" s="185">
        <v>0</v>
      </c>
      <c r="E604" s="185"/>
      <c r="F604" s="157">
        <v>574193</v>
      </c>
    </row>
    <row r="605" spans="1:6" ht="15.75" customHeight="1" x14ac:dyDescent="0.2">
      <c r="A605" s="188" t="s">
        <v>447</v>
      </c>
      <c r="B605" s="189"/>
      <c r="C605" s="156">
        <v>99794</v>
      </c>
      <c r="D605" s="190">
        <v>0</v>
      </c>
      <c r="E605" s="190"/>
      <c r="F605" s="156">
        <v>99794</v>
      </c>
    </row>
    <row r="606" spans="1:6" ht="15.75" customHeight="1" x14ac:dyDescent="0.2">
      <c r="A606" s="188" t="s">
        <v>448</v>
      </c>
      <c r="B606" s="189"/>
      <c r="C606" s="156">
        <v>87007</v>
      </c>
      <c r="D606" s="190">
        <v>0</v>
      </c>
      <c r="E606" s="190"/>
      <c r="F606" s="156">
        <v>87007</v>
      </c>
    </row>
    <row r="607" spans="1:6" ht="15.75" customHeight="1" x14ac:dyDescent="0.2">
      <c r="A607" s="188" t="s">
        <v>449</v>
      </c>
      <c r="B607" s="189"/>
      <c r="C607" s="156">
        <v>12787</v>
      </c>
      <c r="D607" s="190">
        <v>0</v>
      </c>
      <c r="E607" s="190"/>
      <c r="F607" s="156">
        <v>12787</v>
      </c>
    </row>
    <row r="608" spans="1:6" ht="15.75" customHeight="1" x14ac:dyDescent="0.2">
      <c r="A608" s="188" t="s">
        <v>450</v>
      </c>
      <c r="B608" s="189"/>
      <c r="C608" s="156">
        <v>409279</v>
      </c>
      <c r="D608" s="190">
        <v>0</v>
      </c>
      <c r="E608" s="190"/>
      <c r="F608" s="156">
        <v>409279</v>
      </c>
    </row>
    <row r="609" spans="1:6" ht="15.75" customHeight="1" x14ac:dyDescent="0.2">
      <c r="A609" s="188" t="s">
        <v>451</v>
      </c>
      <c r="B609" s="189"/>
      <c r="C609" s="156">
        <v>299600</v>
      </c>
      <c r="D609" s="190">
        <v>0</v>
      </c>
      <c r="E609" s="190"/>
      <c r="F609" s="156">
        <v>299600</v>
      </c>
    </row>
    <row r="610" spans="1:6" ht="31.5" customHeight="1" x14ac:dyDescent="0.2">
      <c r="A610" s="188" t="s">
        <v>452</v>
      </c>
      <c r="B610" s="189"/>
      <c r="C610" s="156">
        <v>109679</v>
      </c>
      <c r="D610" s="190">
        <v>0</v>
      </c>
      <c r="E610" s="190"/>
      <c r="F610" s="156">
        <v>109679</v>
      </c>
    </row>
    <row r="611" spans="1:6" ht="15.75" customHeight="1" x14ac:dyDescent="0.2">
      <c r="A611" s="188" t="s">
        <v>458</v>
      </c>
      <c r="B611" s="189"/>
      <c r="C611" s="156">
        <v>6500</v>
      </c>
      <c r="D611" s="190">
        <v>0</v>
      </c>
      <c r="E611" s="190"/>
      <c r="F611" s="156">
        <v>6500</v>
      </c>
    </row>
    <row r="612" spans="1:6" ht="31.5" customHeight="1" x14ac:dyDescent="0.2">
      <c r="A612" s="188" t="s">
        <v>459</v>
      </c>
      <c r="B612" s="189"/>
      <c r="C612" s="156">
        <v>6500</v>
      </c>
      <c r="D612" s="190">
        <v>0</v>
      </c>
      <c r="E612" s="190"/>
      <c r="F612" s="156">
        <v>6500</v>
      </c>
    </row>
    <row r="613" spans="1:6" ht="15.75" customHeight="1" x14ac:dyDescent="0.2">
      <c r="A613" s="188" t="s">
        <v>453</v>
      </c>
      <c r="B613" s="189"/>
      <c r="C613" s="156">
        <v>58620</v>
      </c>
      <c r="D613" s="190">
        <v>0</v>
      </c>
      <c r="E613" s="190"/>
      <c r="F613" s="156">
        <v>58620</v>
      </c>
    </row>
    <row r="614" spans="1:6" ht="15.75" customHeight="1" x14ac:dyDescent="0.2">
      <c r="A614" s="188" t="s">
        <v>553</v>
      </c>
      <c r="B614" s="189"/>
      <c r="C614" s="156">
        <v>51120</v>
      </c>
      <c r="D614" s="190">
        <v>0</v>
      </c>
      <c r="E614" s="190"/>
      <c r="F614" s="156">
        <v>51120</v>
      </c>
    </row>
    <row r="615" spans="1:6" ht="15.75" customHeight="1" x14ac:dyDescent="0.2">
      <c r="A615" s="188" t="s">
        <v>454</v>
      </c>
      <c r="B615" s="189"/>
      <c r="C615" s="156">
        <v>7500</v>
      </c>
      <c r="D615" s="190">
        <v>0</v>
      </c>
      <c r="E615" s="190"/>
      <c r="F615" s="156">
        <v>7500</v>
      </c>
    </row>
    <row r="616" spans="1:6" ht="14.25" customHeight="1" x14ac:dyDescent="0.25">
      <c r="A616" s="131"/>
      <c r="B616" s="131"/>
      <c r="C616" s="132"/>
      <c r="D616" s="132"/>
      <c r="E616" s="132"/>
      <c r="F616" s="132"/>
    </row>
    <row r="617" spans="1:6" ht="15.75" customHeight="1" x14ac:dyDescent="0.2">
      <c r="A617" s="183" t="s">
        <v>616</v>
      </c>
      <c r="B617" s="189"/>
      <c r="C617" s="189"/>
      <c r="D617" s="189"/>
      <c r="E617" s="189"/>
      <c r="F617" s="189"/>
    </row>
    <row r="618" spans="1:6" ht="15.75" customHeight="1" x14ac:dyDescent="0.2">
      <c r="A618" s="183" t="s">
        <v>446</v>
      </c>
      <c r="B618" s="184"/>
      <c r="C618" s="157">
        <v>380072</v>
      </c>
      <c r="D618" s="185">
        <v>0</v>
      </c>
      <c r="E618" s="185"/>
      <c r="F618" s="157">
        <v>380072</v>
      </c>
    </row>
    <row r="619" spans="1:6" ht="15.75" customHeight="1" x14ac:dyDescent="0.2">
      <c r="A619" s="188" t="s">
        <v>447</v>
      </c>
      <c r="B619" s="189"/>
      <c r="C619" s="156">
        <v>176202</v>
      </c>
      <c r="D619" s="190">
        <v>0</v>
      </c>
      <c r="E619" s="190"/>
      <c r="F619" s="156">
        <v>176202</v>
      </c>
    </row>
    <row r="620" spans="1:6" ht="15.75" customHeight="1" x14ac:dyDescent="0.2">
      <c r="A620" s="188" t="s">
        <v>448</v>
      </c>
      <c r="B620" s="189"/>
      <c r="C620" s="156">
        <v>136497</v>
      </c>
      <c r="D620" s="190">
        <v>0</v>
      </c>
      <c r="E620" s="190"/>
      <c r="F620" s="156">
        <v>136497</v>
      </c>
    </row>
    <row r="621" spans="1:6" ht="15.75" customHeight="1" x14ac:dyDescent="0.2">
      <c r="A621" s="188" t="s">
        <v>449</v>
      </c>
      <c r="B621" s="189"/>
      <c r="C621" s="156">
        <v>39705</v>
      </c>
      <c r="D621" s="190">
        <v>0</v>
      </c>
      <c r="E621" s="190"/>
      <c r="F621" s="156">
        <v>39705</v>
      </c>
    </row>
    <row r="622" spans="1:6" ht="15.75" customHeight="1" x14ac:dyDescent="0.2">
      <c r="A622" s="188" t="s">
        <v>450</v>
      </c>
      <c r="B622" s="189"/>
      <c r="C622" s="156">
        <v>201370</v>
      </c>
      <c r="D622" s="190">
        <v>0</v>
      </c>
      <c r="E622" s="190"/>
      <c r="F622" s="156">
        <v>201370</v>
      </c>
    </row>
    <row r="623" spans="1:6" ht="15.75" customHeight="1" x14ac:dyDescent="0.2">
      <c r="A623" s="188" t="s">
        <v>548</v>
      </c>
      <c r="B623" s="189"/>
      <c r="C623" s="156">
        <v>1796</v>
      </c>
      <c r="D623" s="190">
        <v>0</v>
      </c>
      <c r="E623" s="190"/>
      <c r="F623" s="156">
        <v>1796</v>
      </c>
    </row>
    <row r="624" spans="1:6" ht="15.75" customHeight="1" x14ac:dyDescent="0.2">
      <c r="A624" s="188" t="s">
        <v>451</v>
      </c>
      <c r="B624" s="189"/>
      <c r="C624" s="156">
        <v>107777</v>
      </c>
      <c r="D624" s="190">
        <v>0</v>
      </c>
      <c r="E624" s="190"/>
      <c r="F624" s="156">
        <v>107777</v>
      </c>
    </row>
    <row r="625" spans="1:6" ht="31.5" customHeight="1" x14ac:dyDescent="0.2">
      <c r="A625" s="188" t="s">
        <v>452</v>
      </c>
      <c r="B625" s="189"/>
      <c r="C625" s="156">
        <v>91597</v>
      </c>
      <c r="D625" s="190">
        <v>0</v>
      </c>
      <c r="E625" s="190"/>
      <c r="F625" s="156">
        <v>91597</v>
      </c>
    </row>
    <row r="626" spans="1:6" ht="15.75" customHeight="1" x14ac:dyDescent="0.2">
      <c r="A626" s="188" t="s">
        <v>550</v>
      </c>
      <c r="B626" s="189"/>
      <c r="C626" s="156">
        <v>200</v>
      </c>
      <c r="D626" s="190">
        <v>0</v>
      </c>
      <c r="E626" s="190"/>
      <c r="F626" s="156">
        <v>200</v>
      </c>
    </row>
    <row r="627" spans="1:6" ht="15.75" customHeight="1" x14ac:dyDescent="0.2">
      <c r="A627" s="188" t="s">
        <v>453</v>
      </c>
      <c r="B627" s="189"/>
      <c r="C627" s="156">
        <v>2500</v>
      </c>
      <c r="D627" s="190">
        <v>0</v>
      </c>
      <c r="E627" s="190"/>
      <c r="F627" s="156">
        <v>2500</v>
      </c>
    </row>
    <row r="628" spans="1:6" ht="15.75" customHeight="1" x14ac:dyDescent="0.2">
      <c r="A628" s="188" t="s">
        <v>454</v>
      </c>
      <c r="B628" s="189"/>
      <c r="C628" s="156">
        <v>2500</v>
      </c>
      <c r="D628" s="190">
        <v>0</v>
      </c>
      <c r="E628" s="190"/>
      <c r="F628" s="156">
        <v>2500</v>
      </c>
    </row>
    <row r="629" spans="1:6" ht="14.25" customHeight="1" x14ac:dyDescent="0.25">
      <c r="A629" s="131"/>
      <c r="B629" s="131"/>
      <c r="C629" s="132"/>
      <c r="D629" s="132"/>
      <c r="E629" s="132"/>
      <c r="F629" s="132"/>
    </row>
    <row r="630" spans="1:6" ht="15.75" customHeight="1" x14ac:dyDescent="0.2">
      <c r="A630" s="183" t="s">
        <v>617</v>
      </c>
      <c r="B630" s="189"/>
      <c r="C630" s="189"/>
      <c r="D630" s="189"/>
      <c r="E630" s="189"/>
      <c r="F630" s="189"/>
    </row>
    <row r="631" spans="1:6" ht="15.75" customHeight="1" x14ac:dyDescent="0.2">
      <c r="A631" s="183" t="s">
        <v>446</v>
      </c>
      <c r="B631" s="184"/>
      <c r="C631" s="157">
        <v>42686</v>
      </c>
      <c r="D631" s="185">
        <v>0</v>
      </c>
      <c r="E631" s="185"/>
      <c r="F631" s="157">
        <v>42686</v>
      </c>
    </row>
    <row r="632" spans="1:6" ht="15.75" customHeight="1" x14ac:dyDescent="0.2">
      <c r="A632" s="188" t="s">
        <v>458</v>
      </c>
      <c r="B632" s="189"/>
      <c r="C632" s="156">
        <v>42686</v>
      </c>
      <c r="D632" s="190">
        <v>0</v>
      </c>
      <c r="E632" s="190"/>
      <c r="F632" s="156">
        <v>42686</v>
      </c>
    </row>
    <row r="633" spans="1:6" ht="31.5" customHeight="1" x14ac:dyDescent="0.2">
      <c r="A633" s="188" t="s">
        <v>459</v>
      </c>
      <c r="B633" s="189"/>
      <c r="C633" s="156">
        <v>42686</v>
      </c>
      <c r="D633" s="190">
        <v>0</v>
      </c>
      <c r="E633" s="190"/>
      <c r="F633" s="156">
        <v>42686</v>
      </c>
    </row>
    <row r="634" spans="1:6" ht="14.25" customHeight="1" x14ac:dyDescent="0.25">
      <c r="A634" s="131"/>
      <c r="B634" s="131"/>
      <c r="C634" s="132"/>
      <c r="D634" s="132"/>
      <c r="E634" s="132"/>
      <c r="F634" s="132"/>
    </row>
    <row r="635" spans="1:6" ht="15.75" customHeight="1" x14ac:dyDescent="0.2">
      <c r="A635" s="183" t="s">
        <v>618</v>
      </c>
      <c r="B635" s="189"/>
      <c r="C635" s="189"/>
      <c r="D635" s="189"/>
      <c r="E635" s="189"/>
      <c r="F635" s="189"/>
    </row>
    <row r="636" spans="1:6" ht="15.75" customHeight="1" x14ac:dyDescent="0.2">
      <c r="A636" s="183" t="s">
        <v>446</v>
      </c>
      <c r="B636" s="184"/>
      <c r="C636" s="157">
        <v>20000</v>
      </c>
      <c r="D636" s="185">
        <v>0</v>
      </c>
      <c r="E636" s="185"/>
      <c r="F636" s="157">
        <v>20000</v>
      </c>
    </row>
    <row r="637" spans="1:6" ht="15.75" customHeight="1" x14ac:dyDescent="0.2">
      <c r="A637" s="188" t="s">
        <v>447</v>
      </c>
      <c r="B637" s="189"/>
      <c r="C637" s="156">
        <v>5210</v>
      </c>
      <c r="D637" s="190">
        <v>0</v>
      </c>
      <c r="E637" s="190"/>
      <c r="F637" s="156">
        <v>5210</v>
      </c>
    </row>
    <row r="638" spans="1:6" ht="15.75" customHeight="1" x14ac:dyDescent="0.2">
      <c r="A638" s="188" t="s">
        <v>448</v>
      </c>
      <c r="B638" s="189"/>
      <c r="C638" s="156">
        <v>5000</v>
      </c>
      <c r="D638" s="190">
        <v>0</v>
      </c>
      <c r="E638" s="190"/>
      <c r="F638" s="156">
        <v>5000</v>
      </c>
    </row>
    <row r="639" spans="1:6" ht="15.75" customHeight="1" x14ac:dyDescent="0.2">
      <c r="A639" s="188" t="s">
        <v>449</v>
      </c>
      <c r="B639" s="189"/>
      <c r="C639" s="156">
        <v>210</v>
      </c>
      <c r="D639" s="190">
        <v>0</v>
      </c>
      <c r="E639" s="190"/>
      <c r="F639" s="156">
        <v>210</v>
      </c>
    </row>
    <row r="640" spans="1:6" ht="15.75" customHeight="1" x14ac:dyDescent="0.2">
      <c r="A640" s="188" t="s">
        <v>450</v>
      </c>
      <c r="B640" s="189"/>
      <c r="C640" s="156">
        <v>7690</v>
      </c>
      <c r="D640" s="190">
        <v>0</v>
      </c>
      <c r="E640" s="190"/>
      <c r="F640" s="156">
        <v>7690</v>
      </c>
    </row>
    <row r="641" spans="1:6" ht="15.75" customHeight="1" x14ac:dyDescent="0.2">
      <c r="A641" s="188" t="s">
        <v>451</v>
      </c>
      <c r="B641" s="189"/>
      <c r="C641" s="156">
        <v>5307</v>
      </c>
      <c r="D641" s="190">
        <v>0</v>
      </c>
      <c r="E641" s="190"/>
      <c r="F641" s="156">
        <v>5307</v>
      </c>
    </row>
    <row r="642" spans="1:6" ht="31.5" customHeight="1" x14ac:dyDescent="0.2">
      <c r="A642" s="188" t="s">
        <v>452</v>
      </c>
      <c r="B642" s="189"/>
      <c r="C642" s="156">
        <v>2383</v>
      </c>
      <c r="D642" s="190">
        <v>0</v>
      </c>
      <c r="E642" s="190"/>
      <c r="F642" s="156">
        <v>2383</v>
      </c>
    </row>
    <row r="643" spans="1:6" ht="15.75" customHeight="1" x14ac:dyDescent="0.2">
      <c r="A643" s="188" t="s">
        <v>458</v>
      </c>
      <c r="B643" s="189"/>
      <c r="C643" s="156">
        <v>7100</v>
      </c>
      <c r="D643" s="190">
        <v>0</v>
      </c>
      <c r="E643" s="190"/>
      <c r="F643" s="156">
        <v>7100</v>
      </c>
    </row>
    <row r="644" spans="1:6" ht="31.5" customHeight="1" x14ac:dyDescent="0.2">
      <c r="A644" s="188" t="s">
        <v>459</v>
      </c>
      <c r="B644" s="189"/>
      <c r="C644" s="156">
        <v>7100</v>
      </c>
      <c r="D644" s="190">
        <v>0</v>
      </c>
      <c r="E644" s="190"/>
      <c r="F644" s="156">
        <v>7100</v>
      </c>
    </row>
    <row r="645" spans="1:6" ht="14.25" customHeight="1" x14ac:dyDescent="0.25">
      <c r="A645" s="131"/>
      <c r="B645" s="131"/>
      <c r="C645" s="132"/>
      <c r="D645" s="132"/>
      <c r="E645" s="132"/>
      <c r="F645" s="132"/>
    </row>
    <row r="646" spans="1:6" ht="15.75" customHeight="1" x14ac:dyDescent="0.2">
      <c r="A646" s="183" t="s">
        <v>619</v>
      </c>
      <c r="B646" s="184"/>
      <c r="C646" s="184"/>
      <c r="D646" s="184"/>
      <c r="E646" s="184"/>
      <c r="F646" s="184"/>
    </row>
    <row r="647" spans="1:6" ht="15.75" customHeight="1" x14ac:dyDescent="0.2">
      <c r="A647" s="183" t="s">
        <v>446</v>
      </c>
      <c r="B647" s="184"/>
      <c r="C647" s="157">
        <v>4300</v>
      </c>
      <c r="D647" s="185">
        <v>0</v>
      </c>
      <c r="E647" s="185"/>
      <c r="F647" s="157">
        <v>4300</v>
      </c>
    </row>
    <row r="648" spans="1:6" ht="15.75" customHeight="1" x14ac:dyDescent="0.2">
      <c r="A648" s="188" t="s">
        <v>458</v>
      </c>
      <c r="B648" s="189"/>
      <c r="C648" s="156">
        <v>4300</v>
      </c>
      <c r="D648" s="190">
        <v>0</v>
      </c>
      <c r="E648" s="190"/>
      <c r="F648" s="156">
        <v>4300</v>
      </c>
    </row>
    <row r="649" spans="1:6" ht="31.5" customHeight="1" x14ac:dyDescent="0.2">
      <c r="A649" s="188" t="s">
        <v>459</v>
      </c>
      <c r="B649" s="189"/>
      <c r="C649" s="156">
        <v>4300</v>
      </c>
      <c r="D649" s="190">
        <v>0</v>
      </c>
      <c r="E649" s="190"/>
      <c r="F649" s="156">
        <v>4300</v>
      </c>
    </row>
    <row r="650" spans="1:6" ht="14.25" customHeight="1" x14ac:dyDescent="0.25">
      <c r="A650" s="131"/>
      <c r="B650" s="131"/>
      <c r="C650" s="132"/>
      <c r="D650" s="132"/>
      <c r="E650" s="132"/>
      <c r="F650" s="132"/>
    </row>
    <row r="651" spans="1:6" ht="15.75" customHeight="1" x14ac:dyDescent="0.2">
      <c r="A651" s="183" t="s">
        <v>620</v>
      </c>
      <c r="B651" s="189"/>
      <c r="C651" s="189"/>
      <c r="D651" s="189"/>
      <c r="E651" s="189"/>
      <c r="F651" s="189"/>
    </row>
    <row r="652" spans="1:6" ht="15.75" customHeight="1" x14ac:dyDescent="0.2">
      <c r="A652" s="183" t="s">
        <v>446</v>
      </c>
      <c r="B652" s="184"/>
      <c r="C652" s="157">
        <v>331579</v>
      </c>
      <c r="D652" s="185">
        <v>1200</v>
      </c>
      <c r="E652" s="191"/>
      <c r="F652" s="157">
        <v>332779</v>
      </c>
    </row>
    <row r="653" spans="1:6" ht="15.75" customHeight="1" x14ac:dyDescent="0.2">
      <c r="A653" s="188" t="s">
        <v>458</v>
      </c>
      <c r="B653" s="189"/>
      <c r="C653" s="156">
        <v>331379</v>
      </c>
      <c r="D653" s="190">
        <v>1000</v>
      </c>
      <c r="E653" s="187"/>
      <c r="F653" s="156">
        <v>332379</v>
      </c>
    </row>
    <row r="654" spans="1:6" ht="31.5" customHeight="1" x14ac:dyDescent="0.2">
      <c r="A654" s="188" t="s">
        <v>459</v>
      </c>
      <c r="B654" s="189"/>
      <c r="C654" s="156">
        <v>311379</v>
      </c>
      <c r="D654" s="190">
        <v>1000</v>
      </c>
      <c r="E654" s="187"/>
      <c r="F654" s="156">
        <v>312379</v>
      </c>
    </row>
    <row r="655" spans="1:6" ht="31.5" customHeight="1" x14ac:dyDescent="0.2">
      <c r="A655" s="188" t="s">
        <v>460</v>
      </c>
      <c r="B655" s="189"/>
      <c r="C655" s="156">
        <v>20000</v>
      </c>
      <c r="D655" s="190">
        <v>0</v>
      </c>
      <c r="E655" s="190"/>
      <c r="F655" s="156">
        <v>20000</v>
      </c>
    </row>
    <row r="656" spans="1:6" ht="15.75" customHeight="1" x14ac:dyDescent="0.2">
      <c r="A656" s="188" t="s">
        <v>592</v>
      </c>
      <c r="B656" s="189"/>
      <c r="C656" s="156">
        <v>200</v>
      </c>
      <c r="D656" s="190">
        <v>200</v>
      </c>
      <c r="E656" s="187"/>
      <c r="F656" s="156">
        <v>400</v>
      </c>
    </row>
    <row r="657" spans="1:6" ht="31.5" customHeight="1" x14ac:dyDescent="0.2">
      <c r="A657" s="188" t="s">
        <v>601</v>
      </c>
      <c r="B657" s="189"/>
      <c r="C657" s="156">
        <v>200</v>
      </c>
      <c r="D657" s="190">
        <v>200</v>
      </c>
      <c r="E657" s="187"/>
      <c r="F657" s="156">
        <v>400</v>
      </c>
    </row>
    <row r="658" spans="1:6" ht="14.25" customHeight="1" x14ac:dyDescent="0.25">
      <c r="A658" s="131"/>
      <c r="B658" s="131"/>
      <c r="C658" s="132"/>
      <c r="D658" s="132"/>
      <c r="E658" s="132"/>
      <c r="F658" s="132"/>
    </row>
    <row r="659" spans="1:6" ht="15.75" customHeight="1" x14ac:dyDescent="0.2">
      <c r="A659" s="183" t="s">
        <v>467</v>
      </c>
      <c r="B659" s="189"/>
      <c r="C659" s="189"/>
      <c r="D659" s="189"/>
      <c r="E659" s="189"/>
      <c r="F659" s="189"/>
    </row>
    <row r="660" spans="1:6" ht="15.75" customHeight="1" x14ac:dyDescent="0.2">
      <c r="A660" s="183" t="s">
        <v>446</v>
      </c>
      <c r="B660" s="184"/>
      <c r="C660" s="157">
        <v>33627883</v>
      </c>
      <c r="D660" s="185">
        <v>61106</v>
      </c>
      <c r="E660" s="191"/>
      <c r="F660" s="157">
        <v>33688989</v>
      </c>
    </row>
    <row r="661" spans="1:6" ht="15.75" customHeight="1" x14ac:dyDescent="0.2">
      <c r="A661" s="188" t="s">
        <v>447</v>
      </c>
      <c r="B661" s="189"/>
      <c r="C661" s="156">
        <v>19547984</v>
      </c>
      <c r="D661" s="190">
        <v>33973</v>
      </c>
      <c r="E661" s="187"/>
      <c r="F661" s="156">
        <v>19581957</v>
      </c>
    </row>
    <row r="662" spans="1:6" ht="15.75" customHeight="1" x14ac:dyDescent="0.2">
      <c r="A662" s="188" t="s">
        <v>448</v>
      </c>
      <c r="B662" s="189"/>
      <c r="C662" s="156">
        <v>15470344</v>
      </c>
      <c r="D662" s="190">
        <v>26112</v>
      </c>
      <c r="E662" s="187"/>
      <c r="F662" s="156">
        <v>15496456</v>
      </c>
    </row>
    <row r="663" spans="1:6" ht="15.75" customHeight="1" x14ac:dyDescent="0.2">
      <c r="A663" s="188" t="s">
        <v>449</v>
      </c>
      <c r="B663" s="189"/>
      <c r="C663" s="156">
        <v>4077640</v>
      </c>
      <c r="D663" s="190">
        <v>7861</v>
      </c>
      <c r="E663" s="187"/>
      <c r="F663" s="156">
        <v>4085501</v>
      </c>
    </row>
    <row r="664" spans="1:6" ht="15.75" customHeight="1" x14ac:dyDescent="0.2">
      <c r="A664" s="188" t="s">
        <v>450</v>
      </c>
      <c r="B664" s="189"/>
      <c r="C664" s="156">
        <v>7480589</v>
      </c>
      <c r="D664" s="190">
        <v>55485</v>
      </c>
      <c r="E664" s="187"/>
      <c r="F664" s="156">
        <v>7536074</v>
      </c>
    </row>
    <row r="665" spans="1:6" ht="15.75" customHeight="1" x14ac:dyDescent="0.2">
      <c r="A665" s="188" t="s">
        <v>548</v>
      </c>
      <c r="B665" s="189"/>
      <c r="C665" s="156">
        <v>191669</v>
      </c>
      <c r="D665" s="190">
        <v>2674</v>
      </c>
      <c r="E665" s="187"/>
      <c r="F665" s="156">
        <v>194343</v>
      </c>
    </row>
    <row r="666" spans="1:6" ht="15.75" customHeight="1" x14ac:dyDescent="0.2">
      <c r="A666" s="188" t="s">
        <v>451</v>
      </c>
      <c r="B666" s="189"/>
      <c r="C666" s="156">
        <v>4641749</v>
      </c>
      <c r="D666" s="190">
        <v>36543</v>
      </c>
      <c r="E666" s="187"/>
      <c r="F666" s="156">
        <v>4678292</v>
      </c>
    </row>
    <row r="667" spans="1:6" ht="31.5" customHeight="1" x14ac:dyDescent="0.2">
      <c r="A667" s="188" t="s">
        <v>452</v>
      </c>
      <c r="B667" s="189"/>
      <c r="C667" s="156">
        <v>2578878</v>
      </c>
      <c r="D667" s="190">
        <v>16390</v>
      </c>
      <c r="E667" s="187"/>
      <c r="F667" s="156">
        <v>2595268</v>
      </c>
    </row>
    <row r="668" spans="1:6" ht="15.75" customHeight="1" x14ac:dyDescent="0.2">
      <c r="A668" s="188" t="s">
        <v>600</v>
      </c>
      <c r="B668" s="189"/>
      <c r="C668" s="156">
        <v>10073</v>
      </c>
      <c r="D668" s="190">
        <v>-122</v>
      </c>
      <c r="E668" s="187"/>
      <c r="F668" s="156">
        <v>9951</v>
      </c>
    </row>
    <row r="669" spans="1:6" ht="15.75" customHeight="1" x14ac:dyDescent="0.2">
      <c r="A669" s="188" t="s">
        <v>550</v>
      </c>
      <c r="B669" s="189"/>
      <c r="C669" s="156">
        <v>58220</v>
      </c>
      <c r="D669" s="190">
        <v>0</v>
      </c>
      <c r="E669" s="190"/>
      <c r="F669" s="156">
        <v>58220</v>
      </c>
    </row>
    <row r="670" spans="1:6" ht="15.75" customHeight="1" x14ac:dyDescent="0.2">
      <c r="A670" s="188" t="s">
        <v>458</v>
      </c>
      <c r="B670" s="189"/>
      <c r="C670" s="156">
        <v>1792200</v>
      </c>
      <c r="D670" s="190">
        <v>1000</v>
      </c>
      <c r="E670" s="187"/>
      <c r="F670" s="156">
        <v>1793200</v>
      </c>
    </row>
    <row r="671" spans="1:6" ht="31.5" customHeight="1" x14ac:dyDescent="0.2">
      <c r="A671" s="188" t="s">
        <v>459</v>
      </c>
      <c r="B671" s="189"/>
      <c r="C671" s="156">
        <v>1792200</v>
      </c>
      <c r="D671" s="190">
        <v>1000</v>
      </c>
      <c r="E671" s="187"/>
      <c r="F671" s="156">
        <v>1793200</v>
      </c>
    </row>
    <row r="672" spans="1:6" ht="15.75" customHeight="1" x14ac:dyDescent="0.2">
      <c r="A672" s="188" t="s">
        <v>453</v>
      </c>
      <c r="B672" s="189"/>
      <c r="C672" s="156">
        <v>4479782</v>
      </c>
      <c r="D672" s="190">
        <v>-16695</v>
      </c>
      <c r="E672" s="187"/>
      <c r="F672" s="156">
        <v>4463087</v>
      </c>
    </row>
    <row r="673" spans="1:6" ht="15.75" customHeight="1" x14ac:dyDescent="0.2">
      <c r="A673" s="188" t="s">
        <v>553</v>
      </c>
      <c r="B673" s="189"/>
      <c r="C673" s="156">
        <v>45688</v>
      </c>
      <c r="D673" s="190">
        <v>-10813</v>
      </c>
      <c r="E673" s="187"/>
      <c r="F673" s="156">
        <v>34875</v>
      </c>
    </row>
    <row r="674" spans="1:6" ht="15.75" customHeight="1" x14ac:dyDescent="0.2">
      <c r="A674" s="188" t="s">
        <v>454</v>
      </c>
      <c r="B674" s="189"/>
      <c r="C674" s="156">
        <v>4434094</v>
      </c>
      <c r="D674" s="190">
        <v>-5882</v>
      </c>
      <c r="E674" s="187"/>
      <c r="F674" s="156">
        <v>4428212</v>
      </c>
    </row>
    <row r="675" spans="1:6" ht="15.75" customHeight="1" x14ac:dyDescent="0.2">
      <c r="A675" s="188" t="s">
        <v>592</v>
      </c>
      <c r="B675" s="189"/>
      <c r="C675" s="156">
        <v>323320</v>
      </c>
      <c r="D675" s="190">
        <v>-12657</v>
      </c>
      <c r="E675" s="187"/>
      <c r="F675" s="156">
        <v>310663</v>
      </c>
    </row>
    <row r="676" spans="1:6" ht="15.75" customHeight="1" x14ac:dyDescent="0.2">
      <c r="A676" s="188" t="s">
        <v>593</v>
      </c>
      <c r="B676" s="189"/>
      <c r="C676" s="156">
        <v>323320</v>
      </c>
      <c r="D676" s="190">
        <v>-12657</v>
      </c>
      <c r="E676" s="187"/>
      <c r="F676" s="156">
        <v>310663</v>
      </c>
    </row>
    <row r="677" spans="1:6" ht="31.5" customHeight="1" x14ac:dyDescent="0.2">
      <c r="A677" s="188" t="s">
        <v>554</v>
      </c>
      <c r="B677" s="189"/>
      <c r="C677" s="156">
        <v>4008</v>
      </c>
      <c r="D677" s="190">
        <v>0</v>
      </c>
      <c r="E677" s="190"/>
      <c r="F677" s="156">
        <v>4008</v>
      </c>
    </row>
    <row r="678" spans="1:6" ht="15.75" customHeight="1" x14ac:dyDescent="0.2">
      <c r="A678" s="188" t="s">
        <v>556</v>
      </c>
      <c r="B678" s="189"/>
      <c r="C678" s="156">
        <v>4008</v>
      </c>
      <c r="D678" s="190">
        <v>0</v>
      </c>
      <c r="E678" s="190"/>
      <c r="F678" s="156">
        <v>4008</v>
      </c>
    </row>
    <row r="679" spans="1:6" ht="14.25" customHeight="1" x14ac:dyDescent="0.25">
      <c r="A679" s="131"/>
      <c r="B679" s="131"/>
      <c r="C679" s="132"/>
      <c r="D679" s="132"/>
      <c r="E679" s="132"/>
      <c r="F679" s="132"/>
    </row>
    <row r="680" spans="1:6" ht="15.75" customHeight="1" x14ac:dyDescent="0.2">
      <c r="A680" s="183" t="s">
        <v>621</v>
      </c>
      <c r="B680" s="189"/>
      <c r="C680" s="189"/>
      <c r="D680" s="189"/>
      <c r="E680" s="189"/>
      <c r="F680" s="189"/>
    </row>
    <row r="681" spans="1:6" ht="15.75" customHeight="1" x14ac:dyDescent="0.2">
      <c r="A681" s="183" t="s">
        <v>446</v>
      </c>
      <c r="B681" s="184"/>
      <c r="C681" s="157">
        <v>27697042</v>
      </c>
      <c r="D681" s="185">
        <v>60106</v>
      </c>
      <c r="E681" s="191"/>
      <c r="F681" s="157">
        <v>27757148</v>
      </c>
    </row>
    <row r="682" spans="1:6" ht="15.75" customHeight="1" x14ac:dyDescent="0.2">
      <c r="A682" s="188" t="s">
        <v>447</v>
      </c>
      <c r="B682" s="189"/>
      <c r="C682" s="156">
        <v>17854048</v>
      </c>
      <c r="D682" s="190">
        <v>33973</v>
      </c>
      <c r="E682" s="187"/>
      <c r="F682" s="156">
        <v>17888021</v>
      </c>
    </row>
    <row r="683" spans="1:6" ht="15.75" customHeight="1" x14ac:dyDescent="0.2">
      <c r="A683" s="188" t="s">
        <v>448</v>
      </c>
      <c r="B683" s="189"/>
      <c r="C683" s="156">
        <v>14128336</v>
      </c>
      <c r="D683" s="190">
        <v>26112</v>
      </c>
      <c r="E683" s="187"/>
      <c r="F683" s="156">
        <v>14154448</v>
      </c>
    </row>
    <row r="684" spans="1:6" ht="15.75" customHeight="1" x14ac:dyDescent="0.2">
      <c r="A684" s="188" t="s">
        <v>449</v>
      </c>
      <c r="B684" s="189"/>
      <c r="C684" s="156">
        <v>3725712</v>
      </c>
      <c r="D684" s="190">
        <v>7861</v>
      </c>
      <c r="E684" s="187"/>
      <c r="F684" s="156">
        <v>3733573</v>
      </c>
    </row>
    <row r="685" spans="1:6" ht="15.75" customHeight="1" x14ac:dyDescent="0.2">
      <c r="A685" s="188" t="s">
        <v>450</v>
      </c>
      <c r="B685" s="189"/>
      <c r="C685" s="156">
        <v>5996179</v>
      </c>
      <c r="D685" s="190">
        <v>55485</v>
      </c>
      <c r="E685" s="187"/>
      <c r="F685" s="156">
        <v>6051664</v>
      </c>
    </row>
    <row r="686" spans="1:6" ht="15.75" customHeight="1" x14ac:dyDescent="0.2">
      <c r="A686" s="188" t="s">
        <v>548</v>
      </c>
      <c r="B686" s="189"/>
      <c r="C686" s="156">
        <v>128365</v>
      </c>
      <c r="D686" s="190">
        <v>2674</v>
      </c>
      <c r="E686" s="187"/>
      <c r="F686" s="156">
        <v>131039</v>
      </c>
    </row>
    <row r="687" spans="1:6" ht="15.75" customHeight="1" x14ac:dyDescent="0.2">
      <c r="A687" s="188" t="s">
        <v>451</v>
      </c>
      <c r="B687" s="189"/>
      <c r="C687" s="156">
        <v>3393991</v>
      </c>
      <c r="D687" s="190">
        <v>36543</v>
      </c>
      <c r="E687" s="187"/>
      <c r="F687" s="156">
        <v>3430534</v>
      </c>
    </row>
    <row r="688" spans="1:6" ht="31.5" customHeight="1" x14ac:dyDescent="0.2">
      <c r="A688" s="188" t="s">
        <v>452</v>
      </c>
      <c r="B688" s="189"/>
      <c r="C688" s="156">
        <v>2414998</v>
      </c>
      <c r="D688" s="190">
        <v>16390</v>
      </c>
      <c r="E688" s="187"/>
      <c r="F688" s="156">
        <v>2431388</v>
      </c>
    </row>
    <row r="689" spans="1:6" ht="15.75" customHeight="1" x14ac:dyDescent="0.2">
      <c r="A689" s="188" t="s">
        <v>600</v>
      </c>
      <c r="B689" s="189"/>
      <c r="C689" s="156">
        <v>10073</v>
      </c>
      <c r="D689" s="190">
        <v>-122</v>
      </c>
      <c r="E689" s="187"/>
      <c r="F689" s="156">
        <v>9951</v>
      </c>
    </row>
    <row r="690" spans="1:6" ht="15.75" customHeight="1" x14ac:dyDescent="0.2">
      <c r="A690" s="188" t="s">
        <v>550</v>
      </c>
      <c r="B690" s="189"/>
      <c r="C690" s="156">
        <v>48752</v>
      </c>
      <c r="D690" s="190">
        <v>0</v>
      </c>
      <c r="E690" s="190"/>
      <c r="F690" s="156">
        <v>48752</v>
      </c>
    </row>
    <row r="691" spans="1:6" ht="15.75" customHeight="1" x14ac:dyDescent="0.2">
      <c r="A691" s="188" t="s">
        <v>458</v>
      </c>
      <c r="B691" s="189"/>
      <c r="C691" s="156">
        <v>1785900</v>
      </c>
      <c r="D691" s="190">
        <v>0</v>
      </c>
      <c r="E691" s="190"/>
      <c r="F691" s="156">
        <v>1785900</v>
      </c>
    </row>
    <row r="692" spans="1:6" ht="31.5" customHeight="1" x14ac:dyDescent="0.2">
      <c r="A692" s="188" t="s">
        <v>459</v>
      </c>
      <c r="B692" s="189"/>
      <c r="C692" s="156">
        <v>1785900</v>
      </c>
      <c r="D692" s="190">
        <v>0</v>
      </c>
      <c r="E692" s="190"/>
      <c r="F692" s="156">
        <v>1785900</v>
      </c>
    </row>
    <row r="693" spans="1:6" ht="15.75" customHeight="1" x14ac:dyDescent="0.2">
      <c r="A693" s="188" t="s">
        <v>453</v>
      </c>
      <c r="B693" s="189"/>
      <c r="C693" s="156">
        <v>1766534</v>
      </c>
      <c r="D693" s="190">
        <v>-16695</v>
      </c>
      <c r="E693" s="187"/>
      <c r="F693" s="156">
        <v>1749839</v>
      </c>
    </row>
    <row r="694" spans="1:6" ht="15.75" customHeight="1" x14ac:dyDescent="0.2">
      <c r="A694" s="188" t="s">
        <v>553</v>
      </c>
      <c r="B694" s="189"/>
      <c r="C694" s="156">
        <v>42116</v>
      </c>
      <c r="D694" s="190">
        <v>-10813</v>
      </c>
      <c r="E694" s="187"/>
      <c r="F694" s="156">
        <v>31303</v>
      </c>
    </row>
    <row r="695" spans="1:6" ht="15.75" customHeight="1" x14ac:dyDescent="0.2">
      <c r="A695" s="188" t="s">
        <v>454</v>
      </c>
      <c r="B695" s="189"/>
      <c r="C695" s="156">
        <v>1724418</v>
      </c>
      <c r="D695" s="190">
        <v>-5882</v>
      </c>
      <c r="E695" s="187"/>
      <c r="F695" s="156">
        <v>1718536</v>
      </c>
    </row>
    <row r="696" spans="1:6" ht="15.75" customHeight="1" x14ac:dyDescent="0.2">
      <c r="A696" s="188" t="s">
        <v>592</v>
      </c>
      <c r="B696" s="189"/>
      <c r="C696" s="156">
        <v>294381</v>
      </c>
      <c r="D696" s="190">
        <v>-12657</v>
      </c>
      <c r="E696" s="187"/>
      <c r="F696" s="156">
        <v>281724</v>
      </c>
    </row>
    <row r="697" spans="1:6" ht="15.75" customHeight="1" x14ac:dyDescent="0.2">
      <c r="A697" s="188" t="s">
        <v>593</v>
      </c>
      <c r="B697" s="189"/>
      <c r="C697" s="156">
        <v>294381</v>
      </c>
      <c r="D697" s="190">
        <v>-12657</v>
      </c>
      <c r="E697" s="187"/>
      <c r="F697" s="156">
        <v>281724</v>
      </c>
    </row>
    <row r="698" spans="1:6" ht="14.25" customHeight="1" x14ac:dyDescent="0.25">
      <c r="A698" s="131"/>
      <c r="B698" s="131"/>
      <c r="C698" s="132"/>
      <c r="D698" s="132"/>
      <c r="E698" s="132"/>
      <c r="F698" s="132"/>
    </row>
    <row r="699" spans="1:6" ht="15.75" customHeight="1" x14ac:dyDescent="0.2">
      <c r="A699" s="183" t="s">
        <v>468</v>
      </c>
      <c r="B699" s="189"/>
      <c r="C699" s="189"/>
      <c r="D699" s="189"/>
      <c r="E699" s="189"/>
      <c r="F699" s="189"/>
    </row>
    <row r="700" spans="1:6" ht="15.75" customHeight="1" x14ac:dyDescent="0.2">
      <c r="A700" s="183" t="s">
        <v>446</v>
      </c>
      <c r="B700" s="184"/>
      <c r="C700" s="157">
        <v>7254287</v>
      </c>
      <c r="D700" s="185">
        <v>20296</v>
      </c>
      <c r="E700" s="191"/>
      <c r="F700" s="157">
        <v>7274583</v>
      </c>
    </row>
    <row r="701" spans="1:6" ht="15.75" customHeight="1" x14ac:dyDescent="0.2">
      <c r="A701" s="188" t="s">
        <v>447</v>
      </c>
      <c r="B701" s="189"/>
      <c r="C701" s="156">
        <v>4234138</v>
      </c>
      <c r="D701" s="190">
        <v>-200</v>
      </c>
      <c r="E701" s="187"/>
      <c r="F701" s="156">
        <v>4233938</v>
      </c>
    </row>
    <row r="702" spans="1:6" ht="15.75" customHeight="1" x14ac:dyDescent="0.2">
      <c r="A702" s="188" t="s">
        <v>448</v>
      </c>
      <c r="B702" s="189"/>
      <c r="C702" s="156">
        <v>3332778</v>
      </c>
      <c r="D702" s="190">
        <v>0</v>
      </c>
      <c r="E702" s="190"/>
      <c r="F702" s="156">
        <v>3332778</v>
      </c>
    </row>
    <row r="703" spans="1:6" ht="15.75" customHeight="1" x14ac:dyDescent="0.2">
      <c r="A703" s="188" t="s">
        <v>449</v>
      </c>
      <c r="B703" s="189"/>
      <c r="C703" s="156">
        <v>901360</v>
      </c>
      <c r="D703" s="190">
        <v>-200</v>
      </c>
      <c r="E703" s="187"/>
      <c r="F703" s="156">
        <v>901160</v>
      </c>
    </row>
    <row r="704" spans="1:6" ht="15.75" customHeight="1" x14ac:dyDescent="0.2">
      <c r="A704" s="188" t="s">
        <v>450</v>
      </c>
      <c r="B704" s="189"/>
      <c r="C704" s="156">
        <v>1229895</v>
      </c>
      <c r="D704" s="190">
        <v>23365</v>
      </c>
      <c r="E704" s="187"/>
      <c r="F704" s="156">
        <v>1253260</v>
      </c>
    </row>
    <row r="705" spans="1:6" ht="15.75" customHeight="1" x14ac:dyDescent="0.2">
      <c r="A705" s="188" t="s">
        <v>548</v>
      </c>
      <c r="B705" s="189"/>
      <c r="C705" s="156">
        <v>971</v>
      </c>
      <c r="D705" s="190">
        <v>-99</v>
      </c>
      <c r="E705" s="187"/>
      <c r="F705" s="156">
        <v>872</v>
      </c>
    </row>
    <row r="706" spans="1:6" ht="15.75" customHeight="1" x14ac:dyDescent="0.2">
      <c r="A706" s="188" t="s">
        <v>451</v>
      </c>
      <c r="B706" s="189"/>
      <c r="C706" s="156">
        <v>883325</v>
      </c>
      <c r="D706" s="190">
        <v>19038</v>
      </c>
      <c r="E706" s="187"/>
      <c r="F706" s="156">
        <v>902363</v>
      </c>
    </row>
    <row r="707" spans="1:6" ht="31.5" customHeight="1" x14ac:dyDescent="0.2">
      <c r="A707" s="188" t="s">
        <v>452</v>
      </c>
      <c r="B707" s="189"/>
      <c r="C707" s="156">
        <v>324739</v>
      </c>
      <c r="D707" s="190">
        <v>4550</v>
      </c>
      <c r="E707" s="187"/>
      <c r="F707" s="156">
        <v>329289</v>
      </c>
    </row>
    <row r="708" spans="1:6" ht="15.75" customHeight="1" x14ac:dyDescent="0.2">
      <c r="A708" s="188" t="s">
        <v>600</v>
      </c>
      <c r="B708" s="189"/>
      <c r="C708" s="156">
        <v>2877</v>
      </c>
      <c r="D708" s="190">
        <v>-124</v>
      </c>
      <c r="E708" s="187"/>
      <c r="F708" s="156">
        <v>2753</v>
      </c>
    </row>
    <row r="709" spans="1:6" ht="15.75" customHeight="1" x14ac:dyDescent="0.2">
      <c r="A709" s="188" t="s">
        <v>550</v>
      </c>
      <c r="B709" s="189"/>
      <c r="C709" s="156">
        <v>17983</v>
      </c>
      <c r="D709" s="190">
        <v>0</v>
      </c>
      <c r="E709" s="190"/>
      <c r="F709" s="156">
        <v>17983</v>
      </c>
    </row>
    <row r="710" spans="1:6" ht="15.75" customHeight="1" x14ac:dyDescent="0.2">
      <c r="A710" s="188" t="s">
        <v>458</v>
      </c>
      <c r="B710" s="189"/>
      <c r="C710" s="156">
        <v>1561680</v>
      </c>
      <c r="D710" s="190">
        <v>0</v>
      </c>
      <c r="E710" s="190"/>
      <c r="F710" s="156">
        <v>1561680</v>
      </c>
    </row>
    <row r="711" spans="1:6" ht="31.5" customHeight="1" x14ac:dyDescent="0.2">
      <c r="A711" s="188" t="s">
        <v>459</v>
      </c>
      <c r="B711" s="189"/>
      <c r="C711" s="156">
        <v>1561680</v>
      </c>
      <c r="D711" s="190">
        <v>0</v>
      </c>
      <c r="E711" s="190"/>
      <c r="F711" s="156">
        <v>1561680</v>
      </c>
    </row>
    <row r="712" spans="1:6" ht="15.75" customHeight="1" x14ac:dyDescent="0.2">
      <c r="A712" s="188" t="s">
        <v>453</v>
      </c>
      <c r="B712" s="189"/>
      <c r="C712" s="156">
        <v>228574</v>
      </c>
      <c r="D712" s="190">
        <v>-2869</v>
      </c>
      <c r="E712" s="187"/>
      <c r="F712" s="156">
        <v>225705</v>
      </c>
    </row>
    <row r="713" spans="1:6" ht="15.75" customHeight="1" x14ac:dyDescent="0.2">
      <c r="A713" s="188" t="s">
        <v>553</v>
      </c>
      <c r="B713" s="189"/>
      <c r="C713" s="156">
        <v>3263</v>
      </c>
      <c r="D713" s="190">
        <v>0</v>
      </c>
      <c r="E713" s="190"/>
      <c r="F713" s="156">
        <v>3263</v>
      </c>
    </row>
    <row r="714" spans="1:6" ht="15.75" customHeight="1" x14ac:dyDescent="0.2">
      <c r="A714" s="188" t="s">
        <v>454</v>
      </c>
      <c r="B714" s="189"/>
      <c r="C714" s="156">
        <v>225311</v>
      </c>
      <c r="D714" s="190">
        <v>-2869</v>
      </c>
      <c r="E714" s="187"/>
      <c r="F714" s="156">
        <v>222442</v>
      </c>
    </row>
    <row r="715" spans="1:6" ht="14.25" customHeight="1" x14ac:dyDescent="0.25">
      <c r="A715" s="131"/>
      <c r="B715" s="131"/>
      <c r="C715" s="132"/>
      <c r="D715" s="132"/>
      <c r="E715" s="132"/>
      <c r="F715" s="132"/>
    </row>
    <row r="716" spans="1:6" ht="15.75" customHeight="1" x14ac:dyDescent="0.2">
      <c r="A716" s="183" t="s">
        <v>622</v>
      </c>
      <c r="B716" s="189"/>
      <c r="C716" s="189"/>
      <c r="D716" s="189"/>
      <c r="E716" s="189"/>
      <c r="F716" s="189"/>
    </row>
    <row r="717" spans="1:6" ht="15.75" customHeight="1" x14ac:dyDescent="0.2">
      <c r="A717" s="183" t="s">
        <v>446</v>
      </c>
      <c r="B717" s="184"/>
      <c r="C717" s="157">
        <v>520249</v>
      </c>
      <c r="D717" s="185">
        <v>0</v>
      </c>
      <c r="E717" s="185"/>
      <c r="F717" s="157">
        <v>520249</v>
      </c>
    </row>
    <row r="718" spans="1:6" ht="15.75" customHeight="1" x14ac:dyDescent="0.2">
      <c r="A718" s="188" t="s">
        <v>453</v>
      </c>
      <c r="B718" s="189"/>
      <c r="C718" s="156">
        <v>520249</v>
      </c>
      <c r="D718" s="190">
        <v>0</v>
      </c>
      <c r="E718" s="190"/>
      <c r="F718" s="156">
        <v>520249</v>
      </c>
    </row>
    <row r="719" spans="1:6" ht="15.75" customHeight="1" x14ac:dyDescent="0.2">
      <c r="A719" s="188" t="s">
        <v>454</v>
      </c>
      <c r="B719" s="189"/>
      <c r="C719" s="156">
        <v>520249</v>
      </c>
      <c r="D719" s="190">
        <v>0</v>
      </c>
      <c r="E719" s="190"/>
      <c r="F719" s="156">
        <v>520249</v>
      </c>
    </row>
    <row r="720" spans="1:6" ht="14.25" customHeight="1" x14ac:dyDescent="0.25">
      <c r="A720" s="131"/>
      <c r="B720" s="131"/>
      <c r="C720" s="132"/>
      <c r="D720" s="132"/>
      <c r="E720" s="132"/>
      <c r="F720" s="132"/>
    </row>
    <row r="721" spans="1:6" ht="15.75" customHeight="1" x14ac:dyDescent="0.2">
      <c r="A721" s="183" t="s">
        <v>469</v>
      </c>
      <c r="B721" s="189"/>
      <c r="C721" s="189"/>
      <c r="D721" s="189"/>
      <c r="E721" s="189"/>
      <c r="F721" s="189"/>
    </row>
    <row r="722" spans="1:6" ht="15.75" customHeight="1" x14ac:dyDescent="0.2">
      <c r="A722" s="183" t="s">
        <v>446</v>
      </c>
      <c r="B722" s="184"/>
      <c r="C722" s="157">
        <v>13179149</v>
      </c>
      <c r="D722" s="185">
        <v>-5944</v>
      </c>
      <c r="E722" s="191"/>
      <c r="F722" s="157">
        <v>13173205</v>
      </c>
    </row>
    <row r="723" spans="1:6" ht="15.75" customHeight="1" x14ac:dyDescent="0.2">
      <c r="A723" s="188" t="s">
        <v>447</v>
      </c>
      <c r="B723" s="189"/>
      <c r="C723" s="156">
        <v>9534925</v>
      </c>
      <c r="D723" s="190">
        <v>0</v>
      </c>
      <c r="E723" s="190"/>
      <c r="F723" s="156">
        <v>9534925</v>
      </c>
    </row>
    <row r="724" spans="1:6" ht="15.75" customHeight="1" x14ac:dyDescent="0.2">
      <c r="A724" s="188" t="s">
        <v>448</v>
      </c>
      <c r="B724" s="189"/>
      <c r="C724" s="156">
        <v>7566321</v>
      </c>
      <c r="D724" s="190">
        <v>0</v>
      </c>
      <c r="E724" s="190"/>
      <c r="F724" s="156">
        <v>7566321</v>
      </c>
    </row>
    <row r="725" spans="1:6" ht="15.75" customHeight="1" x14ac:dyDescent="0.2">
      <c r="A725" s="188" t="s">
        <v>449</v>
      </c>
      <c r="B725" s="189"/>
      <c r="C725" s="156">
        <v>1968604</v>
      </c>
      <c r="D725" s="190">
        <v>0</v>
      </c>
      <c r="E725" s="190"/>
      <c r="F725" s="156">
        <v>1968604</v>
      </c>
    </row>
    <row r="726" spans="1:6" ht="15.75" customHeight="1" x14ac:dyDescent="0.2">
      <c r="A726" s="188" t="s">
        <v>450</v>
      </c>
      <c r="B726" s="189"/>
      <c r="C726" s="156">
        <v>2935173</v>
      </c>
      <c r="D726" s="190">
        <v>8852</v>
      </c>
      <c r="E726" s="187"/>
      <c r="F726" s="156">
        <v>2944025</v>
      </c>
    </row>
    <row r="727" spans="1:6" ht="15.75" customHeight="1" x14ac:dyDescent="0.2">
      <c r="A727" s="188" t="s">
        <v>548</v>
      </c>
      <c r="B727" s="189"/>
      <c r="C727" s="156">
        <v>17140</v>
      </c>
      <c r="D727" s="190">
        <v>741</v>
      </c>
      <c r="E727" s="187"/>
      <c r="F727" s="156">
        <v>17881</v>
      </c>
    </row>
    <row r="728" spans="1:6" ht="15.75" customHeight="1" x14ac:dyDescent="0.2">
      <c r="A728" s="188" t="s">
        <v>451</v>
      </c>
      <c r="B728" s="189"/>
      <c r="C728" s="156">
        <v>1481129</v>
      </c>
      <c r="D728" s="190">
        <v>-3548</v>
      </c>
      <c r="E728" s="187"/>
      <c r="F728" s="156">
        <v>1477581</v>
      </c>
    </row>
    <row r="729" spans="1:6" ht="31.5" customHeight="1" x14ac:dyDescent="0.2">
      <c r="A729" s="188" t="s">
        <v>452</v>
      </c>
      <c r="B729" s="189"/>
      <c r="C729" s="156">
        <v>1409061</v>
      </c>
      <c r="D729" s="190">
        <v>11659</v>
      </c>
      <c r="E729" s="187"/>
      <c r="F729" s="156">
        <v>1420720</v>
      </c>
    </row>
    <row r="730" spans="1:6" ht="15.75" customHeight="1" x14ac:dyDescent="0.2">
      <c r="A730" s="188" t="s">
        <v>600</v>
      </c>
      <c r="B730" s="189"/>
      <c r="C730" s="156">
        <v>4836</v>
      </c>
      <c r="D730" s="190">
        <v>0</v>
      </c>
      <c r="E730" s="190"/>
      <c r="F730" s="156">
        <v>4836</v>
      </c>
    </row>
    <row r="731" spans="1:6" ht="15.75" customHeight="1" x14ac:dyDescent="0.2">
      <c r="A731" s="188" t="s">
        <v>550</v>
      </c>
      <c r="B731" s="189"/>
      <c r="C731" s="156">
        <v>23007</v>
      </c>
      <c r="D731" s="190">
        <v>0</v>
      </c>
      <c r="E731" s="190"/>
      <c r="F731" s="156">
        <v>23007</v>
      </c>
    </row>
    <row r="732" spans="1:6" ht="15.75" customHeight="1" x14ac:dyDescent="0.2">
      <c r="A732" s="188" t="s">
        <v>458</v>
      </c>
      <c r="B732" s="189"/>
      <c r="C732" s="156">
        <v>224220</v>
      </c>
      <c r="D732" s="190">
        <v>0</v>
      </c>
      <c r="E732" s="190"/>
      <c r="F732" s="156">
        <v>224220</v>
      </c>
    </row>
    <row r="733" spans="1:6" ht="31.5" customHeight="1" x14ac:dyDescent="0.2">
      <c r="A733" s="188" t="s">
        <v>459</v>
      </c>
      <c r="B733" s="189"/>
      <c r="C733" s="156">
        <v>224220</v>
      </c>
      <c r="D733" s="190">
        <v>0</v>
      </c>
      <c r="E733" s="190"/>
      <c r="F733" s="156">
        <v>224220</v>
      </c>
    </row>
    <row r="734" spans="1:6" ht="15.75" customHeight="1" x14ac:dyDescent="0.2">
      <c r="A734" s="188" t="s">
        <v>453</v>
      </c>
      <c r="B734" s="189"/>
      <c r="C734" s="156">
        <v>484831</v>
      </c>
      <c r="D734" s="190">
        <v>-14796</v>
      </c>
      <c r="E734" s="187"/>
      <c r="F734" s="156">
        <v>470035</v>
      </c>
    </row>
    <row r="735" spans="1:6" ht="15.75" customHeight="1" x14ac:dyDescent="0.2">
      <c r="A735" s="188" t="s">
        <v>553</v>
      </c>
      <c r="B735" s="189"/>
      <c r="C735" s="156">
        <v>12513</v>
      </c>
      <c r="D735" s="190">
        <v>-10813</v>
      </c>
      <c r="E735" s="187"/>
      <c r="F735" s="156">
        <v>1700</v>
      </c>
    </row>
    <row r="736" spans="1:6" ht="15.75" customHeight="1" x14ac:dyDescent="0.2">
      <c r="A736" s="188" t="s">
        <v>454</v>
      </c>
      <c r="B736" s="189"/>
      <c r="C736" s="156">
        <v>472318</v>
      </c>
      <c r="D736" s="190">
        <v>-3983</v>
      </c>
      <c r="E736" s="187"/>
      <c r="F736" s="156">
        <v>468335</v>
      </c>
    </row>
    <row r="737" spans="1:6" ht="14.25" customHeight="1" x14ac:dyDescent="0.25">
      <c r="A737" s="131"/>
      <c r="B737" s="131"/>
      <c r="C737" s="132"/>
      <c r="D737" s="132"/>
      <c r="E737" s="132"/>
      <c r="F737" s="132"/>
    </row>
    <row r="738" spans="1:6" ht="15.75" customHeight="1" x14ac:dyDescent="0.2">
      <c r="A738" s="183" t="s">
        <v>470</v>
      </c>
      <c r="B738" s="189"/>
      <c r="C738" s="189"/>
      <c r="D738" s="189"/>
      <c r="E738" s="189"/>
      <c r="F738" s="189"/>
    </row>
    <row r="739" spans="1:6" ht="15.75" customHeight="1" x14ac:dyDescent="0.2">
      <c r="A739" s="183" t="s">
        <v>446</v>
      </c>
      <c r="B739" s="184"/>
      <c r="C739" s="157">
        <v>2495954</v>
      </c>
      <c r="D739" s="185">
        <v>0</v>
      </c>
      <c r="E739" s="185"/>
      <c r="F739" s="157">
        <v>2495954</v>
      </c>
    </row>
    <row r="740" spans="1:6" ht="15.75" customHeight="1" x14ac:dyDescent="0.2">
      <c r="A740" s="188" t="s">
        <v>447</v>
      </c>
      <c r="B740" s="189"/>
      <c r="C740" s="156">
        <v>1578024</v>
      </c>
      <c r="D740" s="190">
        <v>0</v>
      </c>
      <c r="E740" s="190"/>
      <c r="F740" s="156">
        <v>1578024</v>
      </c>
    </row>
    <row r="741" spans="1:6" ht="15.75" customHeight="1" x14ac:dyDescent="0.2">
      <c r="A741" s="188" t="s">
        <v>448</v>
      </c>
      <c r="B741" s="189"/>
      <c r="C741" s="156">
        <v>1251162</v>
      </c>
      <c r="D741" s="190">
        <v>0</v>
      </c>
      <c r="E741" s="190"/>
      <c r="F741" s="156">
        <v>1251162</v>
      </c>
    </row>
    <row r="742" spans="1:6" ht="15.75" customHeight="1" x14ac:dyDescent="0.2">
      <c r="A742" s="188" t="s">
        <v>449</v>
      </c>
      <c r="B742" s="189"/>
      <c r="C742" s="156">
        <v>326862</v>
      </c>
      <c r="D742" s="190">
        <v>0</v>
      </c>
      <c r="E742" s="190"/>
      <c r="F742" s="156">
        <v>326862</v>
      </c>
    </row>
    <row r="743" spans="1:6" ht="15.75" customHeight="1" x14ac:dyDescent="0.2">
      <c r="A743" s="188" t="s">
        <v>450</v>
      </c>
      <c r="B743" s="189"/>
      <c r="C743" s="156">
        <v>511756</v>
      </c>
      <c r="D743" s="190">
        <v>0</v>
      </c>
      <c r="E743" s="190"/>
      <c r="F743" s="156">
        <v>511756</v>
      </c>
    </row>
    <row r="744" spans="1:6" ht="15.75" customHeight="1" x14ac:dyDescent="0.2">
      <c r="A744" s="188" t="s">
        <v>548</v>
      </c>
      <c r="B744" s="189"/>
      <c r="C744" s="156">
        <v>1137</v>
      </c>
      <c r="D744" s="190">
        <v>0</v>
      </c>
      <c r="E744" s="190"/>
      <c r="F744" s="156">
        <v>1137</v>
      </c>
    </row>
    <row r="745" spans="1:6" ht="15.75" customHeight="1" x14ac:dyDescent="0.2">
      <c r="A745" s="188" t="s">
        <v>451</v>
      </c>
      <c r="B745" s="189"/>
      <c r="C745" s="156">
        <v>233340</v>
      </c>
      <c r="D745" s="190">
        <v>0</v>
      </c>
      <c r="E745" s="190"/>
      <c r="F745" s="156">
        <v>233340</v>
      </c>
    </row>
    <row r="746" spans="1:6" ht="31.5" customHeight="1" x14ac:dyDescent="0.2">
      <c r="A746" s="188" t="s">
        <v>452</v>
      </c>
      <c r="B746" s="189"/>
      <c r="C746" s="156">
        <v>273933</v>
      </c>
      <c r="D746" s="190">
        <v>0</v>
      </c>
      <c r="E746" s="190"/>
      <c r="F746" s="156">
        <v>273933</v>
      </c>
    </row>
    <row r="747" spans="1:6" ht="15.75" customHeight="1" x14ac:dyDescent="0.2">
      <c r="A747" s="188" t="s">
        <v>600</v>
      </c>
      <c r="B747" s="189"/>
      <c r="C747" s="156">
        <v>1300</v>
      </c>
      <c r="D747" s="190">
        <v>0</v>
      </c>
      <c r="E747" s="190"/>
      <c r="F747" s="156">
        <v>1300</v>
      </c>
    </row>
    <row r="748" spans="1:6" ht="15.75" customHeight="1" x14ac:dyDescent="0.2">
      <c r="A748" s="188" t="s">
        <v>550</v>
      </c>
      <c r="B748" s="189"/>
      <c r="C748" s="156">
        <v>2046</v>
      </c>
      <c r="D748" s="190">
        <v>0</v>
      </c>
      <c r="E748" s="190"/>
      <c r="F748" s="156">
        <v>2046</v>
      </c>
    </row>
    <row r="749" spans="1:6" ht="15.75" customHeight="1" x14ac:dyDescent="0.2">
      <c r="A749" s="188" t="s">
        <v>453</v>
      </c>
      <c r="B749" s="189"/>
      <c r="C749" s="156">
        <v>406174</v>
      </c>
      <c r="D749" s="190">
        <v>0</v>
      </c>
      <c r="E749" s="190"/>
      <c r="F749" s="156">
        <v>406174</v>
      </c>
    </row>
    <row r="750" spans="1:6" ht="15.75" customHeight="1" x14ac:dyDescent="0.2">
      <c r="A750" s="188" t="s">
        <v>553</v>
      </c>
      <c r="B750" s="189"/>
      <c r="C750" s="156">
        <v>0</v>
      </c>
      <c r="D750" s="190">
        <v>0</v>
      </c>
      <c r="E750" s="190"/>
      <c r="F750" s="156">
        <v>0</v>
      </c>
    </row>
    <row r="751" spans="1:6" ht="15.75" customHeight="1" x14ac:dyDescent="0.2">
      <c r="A751" s="188" t="s">
        <v>454</v>
      </c>
      <c r="B751" s="189"/>
      <c r="C751" s="156">
        <v>406174</v>
      </c>
      <c r="D751" s="190">
        <v>0</v>
      </c>
      <c r="E751" s="190"/>
      <c r="F751" s="156">
        <v>406174</v>
      </c>
    </row>
    <row r="752" spans="1:6" ht="14.25" customHeight="1" x14ac:dyDescent="0.25">
      <c r="A752" s="131"/>
      <c r="B752" s="131"/>
      <c r="C752" s="132"/>
      <c r="D752" s="132"/>
      <c r="E752" s="132"/>
      <c r="F752" s="132"/>
    </row>
    <row r="753" spans="1:6" ht="15.75" customHeight="1" x14ac:dyDescent="0.2">
      <c r="A753" s="183" t="s">
        <v>623</v>
      </c>
      <c r="B753" s="189"/>
      <c r="C753" s="189"/>
      <c r="D753" s="189"/>
      <c r="E753" s="189"/>
      <c r="F753" s="189"/>
    </row>
    <row r="754" spans="1:6" ht="15.75" customHeight="1" x14ac:dyDescent="0.2">
      <c r="A754" s="183" t="s">
        <v>446</v>
      </c>
      <c r="B754" s="184"/>
      <c r="C754" s="157">
        <v>174063</v>
      </c>
      <c r="D754" s="185">
        <v>0</v>
      </c>
      <c r="E754" s="185"/>
      <c r="F754" s="157">
        <v>174063</v>
      </c>
    </row>
    <row r="755" spans="1:6" ht="15.75" customHeight="1" x14ac:dyDescent="0.2">
      <c r="A755" s="188" t="s">
        <v>447</v>
      </c>
      <c r="B755" s="189"/>
      <c r="C755" s="156">
        <v>7454</v>
      </c>
      <c r="D755" s="190">
        <v>0</v>
      </c>
      <c r="E755" s="190"/>
      <c r="F755" s="156">
        <v>7454</v>
      </c>
    </row>
    <row r="756" spans="1:6" ht="15.75" customHeight="1" x14ac:dyDescent="0.2">
      <c r="A756" s="188" t="s">
        <v>448</v>
      </c>
      <c r="B756" s="189"/>
      <c r="C756" s="156">
        <v>6028</v>
      </c>
      <c r="D756" s="190">
        <v>0</v>
      </c>
      <c r="E756" s="190"/>
      <c r="F756" s="156">
        <v>6028</v>
      </c>
    </row>
    <row r="757" spans="1:6" ht="15.75" customHeight="1" x14ac:dyDescent="0.2">
      <c r="A757" s="188" t="s">
        <v>449</v>
      </c>
      <c r="B757" s="189"/>
      <c r="C757" s="156">
        <v>1426</v>
      </c>
      <c r="D757" s="190">
        <v>0</v>
      </c>
      <c r="E757" s="190"/>
      <c r="F757" s="156">
        <v>1426</v>
      </c>
    </row>
    <row r="758" spans="1:6" ht="15.75" customHeight="1" x14ac:dyDescent="0.2">
      <c r="A758" s="188" t="s">
        <v>450</v>
      </c>
      <c r="B758" s="189"/>
      <c r="C758" s="156">
        <v>164759</v>
      </c>
      <c r="D758" s="190">
        <v>0</v>
      </c>
      <c r="E758" s="190"/>
      <c r="F758" s="156">
        <v>164759</v>
      </c>
    </row>
    <row r="759" spans="1:6" ht="15.75" customHeight="1" x14ac:dyDescent="0.2">
      <c r="A759" s="188" t="s">
        <v>548</v>
      </c>
      <c r="B759" s="189"/>
      <c r="C759" s="156">
        <v>69246</v>
      </c>
      <c r="D759" s="190">
        <v>0</v>
      </c>
      <c r="E759" s="190"/>
      <c r="F759" s="156">
        <v>69246</v>
      </c>
    </row>
    <row r="760" spans="1:6" ht="15.75" customHeight="1" x14ac:dyDescent="0.2">
      <c r="A760" s="188" t="s">
        <v>451</v>
      </c>
      <c r="B760" s="189"/>
      <c r="C760" s="156">
        <v>83275</v>
      </c>
      <c r="D760" s="190">
        <v>0</v>
      </c>
      <c r="E760" s="190"/>
      <c r="F760" s="156">
        <v>83275</v>
      </c>
    </row>
    <row r="761" spans="1:6" ht="31.5" customHeight="1" x14ac:dyDescent="0.2">
      <c r="A761" s="188" t="s">
        <v>452</v>
      </c>
      <c r="B761" s="189"/>
      <c r="C761" s="156">
        <v>12238</v>
      </c>
      <c r="D761" s="190">
        <v>0</v>
      </c>
      <c r="E761" s="190"/>
      <c r="F761" s="156">
        <v>12238</v>
      </c>
    </row>
    <row r="762" spans="1:6" ht="15.75" customHeight="1" x14ac:dyDescent="0.2">
      <c r="A762" s="188" t="s">
        <v>453</v>
      </c>
      <c r="B762" s="189"/>
      <c r="C762" s="156">
        <v>1850</v>
      </c>
      <c r="D762" s="190">
        <v>0</v>
      </c>
      <c r="E762" s="190"/>
      <c r="F762" s="156">
        <v>1850</v>
      </c>
    </row>
    <row r="763" spans="1:6" ht="15.75" customHeight="1" x14ac:dyDescent="0.2">
      <c r="A763" s="188" t="s">
        <v>454</v>
      </c>
      <c r="B763" s="189"/>
      <c r="C763" s="156">
        <v>1850</v>
      </c>
      <c r="D763" s="190">
        <v>0</v>
      </c>
      <c r="E763" s="190"/>
      <c r="F763" s="156">
        <v>1850</v>
      </c>
    </row>
    <row r="764" spans="1:6" ht="14.25" customHeight="1" x14ac:dyDescent="0.25">
      <c r="A764" s="131"/>
      <c r="B764" s="131"/>
      <c r="C764" s="132"/>
      <c r="D764" s="132"/>
      <c r="E764" s="132"/>
      <c r="F764" s="132"/>
    </row>
    <row r="765" spans="1:6" ht="15.75" customHeight="1" x14ac:dyDescent="0.2">
      <c r="A765" s="183" t="s">
        <v>624</v>
      </c>
      <c r="B765" s="189"/>
      <c r="C765" s="189"/>
      <c r="D765" s="189"/>
      <c r="E765" s="189"/>
      <c r="F765" s="189"/>
    </row>
    <row r="766" spans="1:6" ht="15.75" customHeight="1" x14ac:dyDescent="0.2">
      <c r="A766" s="183" t="s">
        <v>446</v>
      </c>
      <c r="B766" s="184"/>
      <c r="C766" s="157">
        <v>1072625</v>
      </c>
      <c r="D766" s="185">
        <v>-12852</v>
      </c>
      <c r="E766" s="191"/>
      <c r="F766" s="157">
        <v>1059773</v>
      </c>
    </row>
    <row r="767" spans="1:6" ht="15.75" customHeight="1" x14ac:dyDescent="0.2">
      <c r="A767" s="188" t="s">
        <v>447</v>
      </c>
      <c r="B767" s="189"/>
      <c r="C767" s="156">
        <v>706479</v>
      </c>
      <c r="D767" s="190">
        <v>0</v>
      </c>
      <c r="E767" s="190"/>
      <c r="F767" s="156">
        <v>706479</v>
      </c>
    </row>
    <row r="768" spans="1:6" ht="15.75" customHeight="1" x14ac:dyDescent="0.2">
      <c r="A768" s="188" t="s">
        <v>448</v>
      </c>
      <c r="B768" s="189"/>
      <c r="C768" s="156">
        <v>561325</v>
      </c>
      <c r="D768" s="190">
        <v>0</v>
      </c>
      <c r="E768" s="190"/>
      <c r="F768" s="156">
        <v>561325</v>
      </c>
    </row>
    <row r="769" spans="1:6" ht="15.75" customHeight="1" x14ac:dyDescent="0.2">
      <c r="A769" s="188" t="s">
        <v>449</v>
      </c>
      <c r="B769" s="189"/>
      <c r="C769" s="156">
        <v>145154</v>
      </c>
      <c r="D769" s="190">
        <v>0</v>
      </c>
      <c r="E769" s="190"/>
      <c r="F769" s="156">
        <v>145154</v>
      </c>
    </row>
    <row r="770" spans="1:6" ht="15.75" customHeight="1" x14ac:dyDescent="0.2">
      <c r="A770" s="188" t="s">
        <v>450</v>
      </c>
      <c r="B770" s="189"/>
      <c r="C770" s="156">
        <v>240163</v>
      </c>
      <c r="D770" s="190">
        <v>160</v>
      </c>
      <c r="E770" s="187"/>
      <c r="F770" s="156">
        <v>240323</v>
      </c>
    </row>
    <row r="771" spans="1:6" ht="15.75" customHeight="1" x14ac:dyDescent="0.2">
      <c r="A771" s="188" t="s">
        <v>548</v>
      </c>
      <c r="B771" s="189"/>
      <c r="C771" s="156">
        <v>12883</v>
      </c>
      <c r="D771" s="190">
        <v>382</v>
      </c>
      <c r="E771" s="187"/>
      <c r="F771" s="156">
        <v>13265</v>
      </c>
    </row>
    <row r="772" spans="1:6" ht="15.75" customHeight="1" x14ac:dyDescent="0.2">
      <c r="A772" s="188" t="s">
        <v>451</v>
      </c>
      <c r="B772" s="189"/>
      <c r="C772" s="156">
        <v>136464</v>
      </c>
      <c r="D772" s="190">
        <v>211</v>
      </c>
      <c r="E772" s="187"/>
      <c r="F772" s="156">
        <v>136675</v>
      </c>
    </row>
    <row r="773" spans="1:6" ht="31.5" customHeight="1" x14ac:dyDescent="0.2">
      <c r="A773" s="188" t="s">
        <v>452</v>
      </c>
      <c r="B773" s="189"/>
      <c r="C773" s="156">
        <v>87859</v>
      </c>
      <c r="D773" s="190">
        <v>-435</v>
      </c>
      <c r="E773" s="187"/>
      <c r="F773" s="156">
        <v>87424</v>
      </c>
    </row>
    <row r="774" spans="1:6" ht="15.75" customHeight="1" x14ac:dyDescent="0.2">
      <c r="A774" s="188" t="s">
        <v>600</v>
      </c>
      <c r="B774" s="189"/>
      <c r="C774" s="156">
        <v>500</v>
      </c>
      <c r="D774" s="190">
        <v>2</v>
      </c>
      <c r="E774" s="187"/>
      <c r="F774" s="156">
        <v>502</v>
      </c>
    </row>
    <row r="775" spans="1:6" ht="15.75" customHeight="1" x14ac:dyDescent="0.2">
      <c r="A775" s="188" t="s">
        <v>550</v>
      </c>
      <c r="B775" s="189"/>
      <c r="C775" s="156">
        <v>2457</v>
      </c>
      <c r="D775" s="190">
        <v>0</v>
      </c>
      <c r="E775" s="190"/>
      <c r="F775" s="156">
        <v>2457</v>
      </c>
    </row>
    <row r="776" spans="1:6" ht="15.75" customHeight="1" x14ac:dyDescent="0.2">
      <c r="A776" s="188" t="s">
        <v>453</v>
      </c>
      <c r="B776" s="189"/>
      <c r="C776" s="156">
        <v>39930</v>
      </c>
      <c r="D776" s="190">
        <v>-355</v>
      </c>
      <c r="E776" s="187"/>
      <c r="F776" s="156">
        <v>39575</v>
      </c>
    </row>
    <row r="777" spans="1:6" ht="15.75" customHeight="1" x14ac:dyDescent="0.2">
      <c r="A777" s="188" t="s">
        <v>553</v>
      </c>
      <c r="B777" s="189"/>
      <c r="C777" s="156">
        <v>2000</v>
      </c>
      <c r="D777" s="190">
        <v>0</v>
      </c>
      <c r="E777" s="190"/>
      <c r="F777" s="156">
        <v>2000</v>
      </c>
    </row>
    <row r="778" spans="1:6" ht="15.75" customHeight="1" x14ac:dyDescent="0.2">
      <c r="A778" s="188" t="s">
        <v>454</v>
      </c>
      <c r="B778" s="189"/>
      <c r="C778" s="156">
        <v>37930</v>
      </c>
      <c r="D778" s="190">
        <v>-355</v>
      </c>
      <c r="E778" s="187"/>
      <c r="F778" s="156">
        <v>37575</v>
      </c>
    </row>
    <row r="779" spans="1:6" ht="15.75" customHeight="1" x14ac:dyDescent="0.2">
      <c r="A779" s="188" t="s">
        <v>592</v>
      </c>
      <c r="B779" s="189"/>
      <c r="C779" s="156">
        <v>86053</v>
      </c>
      <c r="D779" s="190">
        <v>-12657</v>
      </c>
      <c r="E779" s="187"/>
      <c r="F779" s="156">
        <v>73396</v>
      </c>
    </row>
    <row r="780" spans="1:6" ht="15.75" customHeight="1" x14ac:dyDescent="0.2">
      <c r="A780" s="188" t="s">
        <v>593</v>
      </c>
      <c r="B780" s="189"/>
      <c r="C780" s="156">
        <v>86053</v>
      </c>
      <c r="D780" s="190">
        <v>-12657</v>
      </c>
      <c r="E780" s="187"/>
      <c r="F780" s="156">
        <v>73396</v>
      </c>
    </row>
    <row r="781" spans="1:6" ht="14.25" customHeight="1" x14ac:dyDescent="0.25">
      <c r="A781" s="131"/>
      <c r="B781" s="131"/>
      <c r="C781" s="132"/>
      <c r="D781" s="132"/>
      <c r="E781" s="132"/>
      <c r="F781" s="132"/>
    </row>
    <row r="782" spans="1:6" ht="15.75" customHeight="1" x14ac:dyDescent="0.2">
      <c r="A782" s="183" t="s">
        <v>625</v>
      </c>
      <c r="B782" s="189"/>
      <c r="C782" s="189"/>
      <c r="D782" s="189"/>
      <c r="E782" s="189"/>
      <c r="F782" s="189"/>
    </row>
    <row r="783" spans="1:6" ht="15.75" customHeight="1" x14ac:dyDescent="0.2">
      <c r="A783" s="183" t="s">
        <v>446</v>
      </c>
      <c r="B783" s="184"/>
      <c r="C783" s="157">
        <v>864037</v>
      </c>
      <c r="D783" s="185">
        <v>0</v>
      </c>
      <c r="E783" s="185"/>
      <c r="F783" s="157">
        <v>864037</v>
      </c>
    </row>
    <row r="784" spans="1:6" ht="15.75" customHeight="1" x14ac:dyDescent="0.2">
      <c r="A784" s="188" t="s">
        <v>447</v>
      </c>
      <c r="B784" s="189"/>
      <c r="C784" s="156">
        <v>271805</v>
      </c>
      <c r="D784" s="190">
        <v>0</v>
      </c>
      <c r="E784" s="190"/>
      <c r="F784" s="156">
        <v>271805</v>
      </c>
    </row>
    <row r="785" spans="1:6" ht="15.75" customHeight="1" x14ac:dyDescent="0.2">
      <c r="A785" s="188" t="s">
        <v>448</v>
      </c>
      <c r="B785" s="189"/>
      <c r="C785" s="156">
        <v>220404</v>
      </c>
      <c r="D785" s="190">
        <v>0</v>
      </c>
      <c r="E785" s="190"/>
      <c r="F785" s="156">
        <v>220404</v>
      </c>
    </row>
    <row r="786" spans="1:6" ht="15.75" customHeight="1" x14ac:dyDescent="0.2">
      <c r="A786" s="188" t="s">
        <v>449</v>
      </c>
      <c r="B786" s="189"/>
      <c r="C786" s="156">
        <v>51401</v>
      </c>
      <c r="D786" s="190">
        <v>0</v>
      </c>
      <c r="E786" s="190"/>
      <c r="F786" s="156">
        <v>51401</v>
      </c>
    </row>
    <row r="787" spans="1:6" ht="15.75" customHeight="1" x14ac:dyDescent="0.2">
      <c r="A787" s="188" t="s">
        <v>450</v>
      </c>
      <c r="B787" s="189"/>
      <c r="C787" s="156">
        <v>383904</v>
      </c>
      <c r="D787" s="190">
        <v>0</v>
      </c>
      <c r="E787" s="190"/>
      <c r="F787" s="156">
        <v>383904</v>
      </c>
    </row>
    <row r="788" spans="1:6" ht="15.75" customHeight="1" x14ac:dyDescent="0.2">
      <c r="A788" s="188" t="s">
        <v>548</v>
      </c>
      <c r="B788" s="189"/>
      <c r="C788" s="156">
        <v>15112</v>
      </c>
      <c r="D788" s="190">
        <v>0</v>
      </c>
      <c r="E788" s="190"/>
      <c r="F788" s="156">
        <v>15112</v>
      </c>
    </row>
    <row r="789" spans="1:6" ht="15.75" customHeight="1" x14ac:dyDescent="0.2">
      <c r="A789" s="188" t="s">
        <v>451</v>
      </c>
      <c r="B789" s="189"/>
      <c r="C789" s="156">
        <v>192988</v>
      </c>
      <c r="D789" s="190">
        <v>0</v>
      </c>
      <c r="E789" s="190"/>
      <c r="F789" s="156">
        <v>192988</v>
      </c>
    </row>
    <row r="790" spans="1:6" ht="31.5" customHeight="1" x14ac:dyDescent="0.2">
      <c r="A790" s="188" t="s">
        <v>452</v>
      </c>
      <c r="B790" s="189"/>
      <c r="C790" s="156">
        <v>175804</v>
      </c>
      <c r="D790" s="190">
        <v>0</v>
      </c>
      <c r="E790" s="190"/>
      <c r="F790" s="156">
        <v>175804</v>
      </c>
    </row>
    <row r="791" spans="1:6" ht="15.75" customHeight="1" x14ac:dyDescent="0.2">
      <c r="A791" s="188" t="s">
        <v>592</v>
      </c>
      <c r="B791" s="189"/>
      <c r="C791" s="156">
        <v>208328</v>
      </c>
      <c r="D791" s="190">
        <v>0</v>
      </c>
      <c r="E791" s="190"/>
      <c r="F791" s="156">
        <v>208328</v>
      </c>
    </row>
    <row r="792" spans="1:6" ht="15.75" customHeight="1" x14ac:dyDescent="0.2">
      <c r="A792" s="188" t="s">
        <v>593</v>
      </c>
      <c r="B792" s="189"/>
      <c r="C792" s="156">
        <v>208328</v>
      </c>
      <c r="D792" s="190">
        <v>0</v>
      </c>
      <c r="E792" s="190"/>
      <c r="F792" s="156">
        <v>208328</v>
      </c>
    </row>
    <row r="793" spans="1:6" ht="14.25" customHeight="1" x14ac:dyDescent="0.25">
      <c r="A793" s="131"/>
      <c r="B793" s="131"/>
      <c r="C793" s="132"/>
      <c r="D793" s="132"/>
      <c r="E793" s="132"/>
      <c r="F793" s="132"/>
    </row>
    <row r="794" spans="1:6" ht="15.75" customHeight="1" x14ac:dyDescent="0.2">
      <c r="A794" s="183" t="s">
        <v>626</v>
      </c>
      <c r="B794" s="189"/>
      <c r="C794" s="189"/>
      <c r="D794" s="189"/>
      <c r="E794" s="189"/>
      <c r="F794" s="189"/>
    </row>
    <row r="795" spans="1:6" ht="15.75" customHeight="1" x14ac:dyDescent="0.2">
      <c r="A795" s="183" t="s">
        <v>446</v>
      </c>
      <c r="B795" s="184"/>
      <c r="C795" s="157">
        <v>929418</v>
      </c>
      <c r="D795" s="185">
        <v>0</v>
      </c>
      <c r="E795" s="185"/>
      <c r="F795" s="157">
        <v>929418</v>
      </c>
    </row>
    <row r="796" spans="1:6" ht="15.75" customHeight="1" x14ac:dyDescent="0.2">
      <c r="A796" s="188" t="s">
        <v>447</v>
      </c>
      <c r="B796" s="189"/>
      <c r="C796" s="156">
        <v>672694</v>
      </c>
      <c r="D796" s="190">
        <v>0</v>
      </c>
      <c r="E796" s="190"/>
      <c r="F796" s="156">
        <v>672694</v>
      </c>
    </row>
    <row r="797" spans="1:6" ht="15.75" customHeight="1" x14ac:dyDescent="0.2">
      <c r="A797" s="188" t="s">
        <v>448</v>
      </c>
      <c r="B797" s="189"/>
      <c r="C797" s="156">
        <v>531915</v>
      </c>
      <c r="D797" s="190">
        <v>0</v>
      </c>
      <c r="E797" s="190"/>
      <c r="F797" s="156">
        <v>531915</v>
      </c>
    </row>
    <row r="798" spans="1:6" ht="15.75" customHeight="1" x14ac:dyDescent="0.2">
      <c r="A798" s="188" t="s">
        <v>449</v>
      </c>
      <c r="B798" s="189"/>
      <c r="C798" s="156">
        <v>140779</v>
      </c>
      <c r="D798" s="190">
        <v>0</v>
      </c>
      <c r="E798" s="190"/>
      <c r="F798" s="156">
        <v>140779</v>
      </c>
    </row>
    <row r="799" spans="1:6" ht="15.75" customHeight="1" x14ac:dyDescent="0.2">
      <c r="A799" s="188" t="s">
        <v>450</v>
      </c>
      <c r="B799" s="189"/>
      <c r="C799" s="156">
        <v>211889</v>
      </c>
      <c r="D799" s="190">
        <v>0</v>
      </c>
      <c r="E799" s="190"/>
      <c r="F799" s="156">
        <v>211889</v>
      </c>
    </row>
    <row r="800" spans="1:6" ht="15.75" customHeight="1" x14ac:dyDescent="0.2">
      <c r="A800" s="188" t="s">
        <v>548</v>
      </c>
      <c r="B800" s="189"/>
      <c r="C800" s="156">
        <v>1400</v>
      </c>
      <c r="D800" s="190">
        <v>0</v>
      </c>
      <c r="E800" s="190"/>
      <c r="F800" s="156">
        <v>1400</v>
      </c>
    </row>
    <row r="801" spans="1:6" ht="15.75" customHeight="1" x14ac:dyDescent="0.2">
      <c r="A801" s="188" t="s">
        <v>451</v>
      </c>
      <c r="B801" s="189"/>
      <c r="C801" s="156">
        <v>142794</v>
      </c>
      <c r="D801" s="190">
        <v>0</v>
      </c>
      <c r="E801" s="190"/>
      <c r="F801" s="156">
        <v>142794</v>
      </c>
    </row>
    <row r="802" spans="1:6" ht="31.5" customHeight="1" x14ac:dyDescent="0.2">
      <c r="A802" s="188" t="s">
        <v>452</v>
      </c>
      <c r="B802" s="189"/>
      <c r="C802" s="156">
        <v>64419</v>
      </c>
      <c r="D802" s="190">
        <v>0</v>
      </c>
      <c r="E802" s="190"/>
      <c r="F802" s="156">
        <v>64419</v>
      </c>
    </row>
    <row r="803" spans="1:6" ht="15.75" customHeight="1" x14ac:dyDescent="0.2">
      <c r="A803" s="188" t="s">
        <v>600</v>
      </c>
      <c r="B803" s="189"/>
      <c r="C803" s="156">
        <v>260</v>
      </c>
      <c r="D803" s="190">
        <v>0</v>
      </c>
      <c r="E803" s="190"/>
      <c r="F803" s="156">
        <v>260</v>
      </c>
    </row>
    <row r="804" spans="1:6" ht="15.75" customHeight="1" x14ac:dyDescent="0.2">
      <c r="A804" s="188" t="s">
        <v>550</v>
      </c>
      <c r="B804" s="189"/>
      <c r="C804" s="156">
        <v>3016</v>
      </c>
      <c r="D804" s="190">
        <v>0</v>
      </c>
      <c r="E804" s="190"/>
      <c r="F804" s="156">
        <v>3016</v>
      </c>
    </row>
    <row r="805" spans="1:6" ht="15.75" customHeight="1" x14ac:dyDescent="0.2">
      <c r="A805" s="188" t="s">
        <v>453</v>
      </c>
      <c r="B805" s="189"/>
      <c r="C805" s="156">
        <v>44835</v>
      </c>
      <c r="D805" s="190">
        <v>0</v>
      </c>
      <c r="E805" s="190"/>
      <c r="F805" s="156">
        <v>44835</v>
      </c>
    </row>
    <row r="806" spans="1:6" ht="15.75" customHeight="1" x14ac:dyDescent="0.2">
      <c r="A806" s="188" t="s">
        <v>553</v>
      </c>
      <c r="B806" s="189"/>
      <c r="C806" s="156">
        <v>200</v>
      </c>
      <c r="D806" s="190">
        <v>0</v>
      </c>
      <c r="E806" s="190"/>
      <c r="F806" s="156">
        <v>200</v>
      </c>
    </row>
    <row r="807" spans="1:6" ht="15.75" customHeight="1" x14ac:dyDescent="0.2">
      <c r="A807" s="188" t="s">
        <v>454</v>
      </c>
      <c r="B807" s="189"/>
      <c r="C807" s="156">
        <v>44635</v>
      </c>
      <c r="D807" s="190">
        <v>0</v>
      </c>
      <c r="E807" s="190"/>
      <c r="F807" s="156">
        <v>44635</v>
      </c>
    </row>
    <row r="808" spans="1:6" ht="14.25" customHeight="1" x14ac:dyDescent="0.25">
      <c r="A808" s="131"/>
      <c r="B808" s="131"/>
      <c r="C808" s="132"/>
      <c r="D808" s="132"/>
      <c r="E808" s="132"/>
      <c r="F808" s="132"/>
    </row>
    <row r="809" spans="1:6" ht="15.75" customHeight="1" x14ac:dyDescent="0.2">
      <c r="A809" s="183" t="s">
        <v>627</v>
      </c>
      <c r="B809" s="189"/>
      <c r="C809" s="189"/>
      <c r="D809" s="189"/>
      <c r="E809" s="189"/>
      <c r="F809" s="189"/>
    </row>
    <row r="810" spans="1:6" ht="15.75" customHeight="1" x14ac:dyDescent="0.2">
      <c r="A810" s="183" t="s">
        <v>446</v>
      </c>
      <c r="B810" s="184"/>
      <c r="C810" s="157">
        <v>248505</v>
      </c>
      <c r="D810" s="185">
        <v>0</v>
      </c>
      <c r="E810" s="185"/>
      <c r="F810" s="157">
        <v>248505</v>
      </c>
    </row>
    <row r="811" spans="1:6" ht="15.75" customHeight="1" x14ac:dyDescent="0.2">
      <c r="A811" s="188" t="s">
        <v>447</v>
      </c>
      <c r="B811" s="189"/>
      <c r="C811" s="156">
        <v>175605</v>
      </c>
      <c r="D811" s="190">
        <v>0</v>
      </c>
      <c r="E811" s="190"/>
      <c r="F811" s="156">
        <v>175605</v>
      </c>
    </row>
    <row r="812" spans="1:6" ht="15.75" customHeight="1" x14ac:dyDescent="0.2">
      <c r="A812" s="188" t="s">
        <v>448</v>
      </c>
      <c r="B812" s="189"/>
      <c r="C812" s="156">
        <v>138892</v>
      </c>
      <c r="D812" s="190">
        <v>0</v>
      </c>
      <c r="E812" s="190"/>
      <c r="F812" s="156">
        <v>138892</v>
      </c>
    </row>
    <row r="813" spans="1:6" ht="15.75" customHeight="1" x14ac:dyDescent="0.2">
      <c r="A813" s="188" t="s">
        <v>449</v>
      </c>
      <c r="B813" s="189"/>
      <c r="C813" s="156">
        <v>36713</v>
      </c>
      <c r="D813" s="190">
        <v>0</v>
      </c>
      <c r="E813" s="190"/>
      <c r="F813" s="156">
        <v>36713</v>
      </c>
    </row>
    <row r="814" spans="1:6" ht="15.75" customHeight="1" x14ac:dyDescent="0.2">
      <c r="A814" s="188" t="s">
        <v>450</v>
      </c>
      <c r="B814" s="189"/>
      <c r="C814" s="156">
        <v>67141</v>
      </c>
      <c r="D814" s="190">
        <v>0</v>
      </c>
      <c r="E814" s="190"/>
      <c r="F814" s="156">
        <v>67141</v>
      </c>
    </row>
    <row r="815" spans="1:6" ht="15.75" customHeight="1" x14ac:dyDescent="0.2">
      <c r="A815" s="188" t="s">
        <v>548</v>
      </c>
      <c r="B815" s="189"/>
      <c r="C815" s="156">
        <v>4821</v>
      </c>
      <c r="D815" s="190">
        <v>424</v>
      </c>
      <c r="E815" s="187"/>
      <c r="F815" s="156">
        <v>5245</v>
      </c>
    </row>
    <row r="816" spans="1:6" ht="15.75" customHeight="1" x14ac:dyDescent="0.2">
      <c r="A816" s="188" t="s">
        <v>451</v>
      </c>
      <c r="B816" s="189"/>
      <c r="C816" s="156">
        <v>49546</v>
      </c>
      <c r="D816" s="190">
        <v>-712</v>
      </c>
      <c r="E816" s="187"/>
      <c r="F816" s="156">
        <v>48834</v>
      </c>
    </row>
    <row r="817" spans="1:6" ht="31.5" customHeight="1" x14ac:dyDescent="0.2">
      <c r="A817" s="188" t="s">
        <v>452</v>
      </c>
      <c r="B817" s="189"/>
      <c r="C817" s="156">
        <v>12474</v>
      </c>
      <c r="D817" s="190">
        <v>288</v>
      </c>
      <c r="E817" s="187"/>
      <c r="F817" s="156">
        <v>12762</v>
      </c>
    </row>
    <row r="818" spans="1:6" ht="15.75" customHeight="1" x14ac:dyDescent="0.2">
      <c r="A818" s="188" t="s">
        <v>600</v>
      </c>
      <c r="B818" s="189"/>
      <c r="C818" s="156">
        <v>200</v>
      </c>
      <c r="D818" s="190">
        <v>0</v>
      </c>
      <c r="E818" s="190"/>
      <c r="F818" s="156">
        <v>200</v>
      </c>
    </row>
    <row r="819" spans="1:6" ht="15.75" customHeight="1" x14ac:dyDescent="0.2">
      <c r="A819" s="188" t="s">
        <v>550</v>
      </c>
      <c r="B819" s="189"/>
      <c r="C819" s="156">
        <v>100</v>
      </c>
      <c r="D819" s="190">
        <v>0</v>
      </c>
      <c r="E819" s="190"/>
      <c r="F819" s="156">
        <v>100</v>
      </c>
    </row>
    <row r="820" spans="1:6" ht="15.75" customHeight="1" x14ac:dyDescent="0.2">
      <c r="A820" s="188" t="s">
        <v>453</v>
      </c>
      <c r="B820" s="189"/>
      <c r="C820" s="156">
        <v>5759</v>
      </c>
      <c r="D820" s="190">
        <v>0</v>
      </c>
      <c r="E820" s="190"/>
      <c r="F820" s="156">
        <v>5759</v>
      </c>
    </row>
    <row r="821" spans="1:6" ht="15.75" customHeight="1" x14ac:dyDescent="0.2">
      <c r="A821" s="188" t="s">
        <v>553</v>
      </c>
      <c r="B821" s="189"/>
      <c r="C821" s="156">
        <v>0</v>
      </c>
      <c r="D821" s="190">
        <v>0</v>
      </c>
      <c r="E821" s="190"/>
      <c r="F821" s="156">
        <v>0</v>
      </c>
    </row>
    <row r="822" spans="1:6" ht="15.75" customHeight="1" x14ac:dyDescent="0.2">
      <c r="A822" s="188" t="s">
        <v>454</v>
      </c>
      <c r="B822" s="189"/>
      <c r="C822" s="156">
        <v>5759</v>
      </c>
      <c r="D822" s="190">
        <v>0</v>
      </c>
      <c r="E822" s="190"/>
      <c r="F822" s="156">
        <v>5759</v>
      </c>
    </row>
    <row r="823" spans="1:6" ht="14.25" customHeight="1" x14ac:dyDescent="0.25">
      <c r="A823" s="131"/>
      <c r="B823" s="131"/>
      <c r="C823" s="132"/>
      <c r="D823" s="132"/>
      <c r="E823" s="132"/>
      <c r="F823" s="132"/>
    </row>
    <row r="824" spans="1:6" ht="15.75" customHeight="1" x14ac:dyDescent="0.2">
      <c r="A824" s="183" t="s">
        <v>628</v>
      </c>
      <c r="B824" s="189"/>
      <c r="C824" s="189"/>
      <c r="D824" s="189"/>
      <c r="E824" s="189"/>
      <c r="F824" s="189"/>
    </row>
    <row r="825" spans="1:6" ht="15.75" customHeight="1" x14ac:dyDescent="0.2">
      <c r="A825" s="183" t="s">
        <v>446</v>
      </c>
      <c r="B825" s="184"/>
      <c r="C825" s="157">
        <v>728505</v>
      </c>
      <c r="D825" s="185">
        <v>0</v>
      </c>
      <c r="E825" s="185"/>
      <c r="F825" s="157">
        <v>728505</v>
      </c>
    </row>
    <row r="826" spans="1:6" ht="15.75" customHeight="1" x14ac:dyDescent="0.2">
      <c r="A826" s="188" t="s">
        <v>447</v>
      </c>
      <c r="B826" s="189"/>
      <c r="C826" s="156">
        <v>540103</v>
      </c>
      <c r="D826" s="190">
        <v>0</v>
      </c>
      <c r="E826" s="190"/>
      <c r="F826" s="156">
        <v>540103</v>
      </c>
    </row>
    <row r="827" spans="1:6" ht="15.75" customHeight="1" x14ac:dyDescent="0.2">
      <c r="A827" s="188" t="s">
        <v>448</v>
      </c>
      <c r="B827" s="189"/>
      <c r="C827" s="156">
        <v>414252</v>
      </c>
      <c r="D827" s="190">
        <v>0</v>
      </c>
      <c r="E827" s="190"/>
      <c r="F827" s="156">
        <v>414252</v>
      </c>
    </row>
    <row r="828" spans="1:6" ht="15.75" customHeight="1" x14ac:dyDescent="0.2">
      <c r="A828" s="188" t="s">
        <v>449</v>
      </c>
      <c r="B828" s="189"/>
      <c r="C828" s="156">
        <v>125851</v>
      </c>
      <c r="D828" s="190">
        <v>0</v>
      </c>
      <c r="E828" s="190"/>
      <c r="F828" s="156">
        <v>125851</v>
      </c>
    </row>
    <row r="829" spans="1:6" ht="15.75" customHeight="1" x14ac:dyDescent="0.2">
      <c r="A829" s="188" t="s">
        <v>450</v>
      </c>
      <c r="B829" s="189"/>
      <c r="C829" s="156">
        <v>154937</v>
      </c>
      <c r="D829" s="190">
        <v>1375</v>
      </c>
      <c r="E829" s="187"/>
      <c r="F829" s="156">
        <v>156312</v>
      </c>
    </row>
    <row r="830" spans="1:6" ht="15.75" customHeight="1" x14ac:dyDescent="0.2">
      <c r="A830" s="188" t="s">
        <v>548</v>
      </c>
      <c r="B830" s="189"/>
      <c r="C830" s="156">
        <v>5410</v>
      </c>
      <c r="D830" s="190">
        <v>0</v>
      </c>
      <c r="E830" s="190"/>
      <c r="F830" s="156">
        <v>5410</v>
      </c>
    </row>
    <row r="831" spans="1:6" ht="15.75" customHeight="1" x14ac:dyDescent="0.2">
      <c r="A831" s="188" t="s">
        <v>451</v>
      </c>
      <c r="B831" s="189"/>
      <c r="C831" s="156">
        <v>101702</v>
      </c>
      <c r="D831" s="190">
        <v>1875</v>
      </c>
      <c r="E831" s="187"/>
      <c r="F831" s="156">
        <v>103577</v>
      </c>
    </row>
    <row r="832" spans="1:6" ht="31.5" customHeight="1" x14ac:dyDescent="0.2">
      <c r="A832" s="188" t="s">
        <v>452</v>
      </c>
      <c r="B832" s="189"/>
      <c r="C832" s="156">
        <v>47725</v>
      </c>
      <c r="D832" s="190">
        <v>-500</v>
      </c>
      <c r="E832" s="187"/>
      <c r="F832" s="156">
        <v>47225</v>
      </c>
    </row>
    <row r="833" spans="1:6" ht="15.75" customHeight="1" x14ac:dyDescent="0.2">
      <c r="A833" s="188" t="s">
        <v>600</v>
      </c>
      <c r="B833" s="189"/>
      <c r="C833" s="156">
        <v>100</v>
      </c>
      <c r="D833" s="190">
        <v>0</v>
      </c>
      <c r="E833" s="190"/>
      <c r="F833" s="156">
        <v>100</v>
      </c>
    </row>
    <row r="834" spans="1:6" ht="15.75" customHeight="1" x14ac:dyDescent="0.2">
      <c r="A834" s="188" t="s">
        <v>453</v>
      </c>
      <c r="B834" s="189"/>
      <c r="C834" s="156">
        <v>33465</v>
      </c>
      <c r="D834" s="190">
        <v>-1375</v>
      </c>
      <c r="E834" s="187"/>
      <c r="F834" s="156">
        <v>32090</v>
      </c>
    </row>
    <row r="835" spans="1:6" ht="15.75" customHeight="1" x14ac:dyDescent="0.2">
      <c r="A835" s="188" t="s">
        <v>553</v>
      </c>
      <c r="B835" s="189"/>
      <c r="C835" s="156">
        <v>24140</v>
      </c>
      <c r="D835" s="190">
        <v>0</v>
      </c>
      <c r="E835" s="190"/>
      <c r="F835" s="156">
        <v>24140</v>
      </c>
    </row>
    <row r="836" spans="1:6" ht="15.75" customHeight="1" x14ac:dyDescent="0.2">
      <c r="A836" s="188" t="s">
        <v>454</v>
      </c>
      <c r="B836" s="189"/>
      <c r="C836" s="156">
        <v>9325</v>
      </c>
      <c r="D836" s="190">
        <v>-1375</v>
      </c>
      <c r="E836" s="187"/>
      <c r="F836" s="156">
        <v>7950</v>
      </c>
    </row>
    <row r="837" spans="1:6" ht="14.25" customHeight="1" x14ac:dyDescent="0.25">
      <c r="A837" s="131"/>
      <c r="B837" s="131"/>
      <c r="C837" s="132"/>
      <c r="D837" s="132"/>
      <c r="E837" s="132"/>
      <c r="F837" s="132"/>
    </row>
    <row r="838" spans="1:6" ht="15.75" customHeight="1" x14ac:dyDescent="0.2">
      <c r="A838" s="183" t="s">
        <v>629</v>
      </c>
      <c r="B838" s="189"/>
      <c r="C838" s="189"/>
      <c r="D838" s="189"/>
      <c r="E838" s="189"/>
      <c r="F838" s="189"/>
    </row>
    <row r="839" spans="1:6" ht="15.75" customHeight="1" x14ac:dyDescent="0.2">
      <c r="A839" s="183" t="s">
        <v>446</v>
      </c>
      <c r="B839" s="184"/>
      <c r="C839" s="157">
        <v>176502</v>
      </c>
      <c r="D839" s="185">
        <v>58606</v>
      </c>
      <c r="E839" s="191"/>
      <c r="F839" s="157">
        <v>235108</v>
      </c>
    </row>
    <row r="840" spans="1:6" ht="15.75" customHeight="1" x14ac:dyDescent="0.2">
      <c r="A840" s="188" t="s">
        <v>447</v>
      </c>
      <c r="B840" s="189"/>
      <c r="C840" s="156">
        <v>83665</v>
      </c>
      <c r="D840" s="190">
        <v>34173</v>
      </c>
      <c r="E840" s="187"/>
      <c r="F840" s="156">
        <v>117838</v>
      </c>
    </row>
    <row r="841" spans="1:6" ht="15.75" customHeight="1" x14ac:dyDescent="0.2">
      <c r="A841" s="188" t="s">
        <v>448</v>
      </c>
      <c r="B841" s="189"/>
      <c r="C841" s="156">
        <v>67612</v>
      </c>
      <c r="D841" s="190">
        <v>26112</v>
      </c>
      <c r="E841" s="187"/>
      <c r="F841" s="156">
        <v>93724</v>
      </c>
    </row>
    <row r="842" spans="1:6" ht="15.75" customHeight="1" x14ac:dyDescent="0.2">
      <c r="A842" s="188" t="s">
        <v>449</v>
      </c>
      <c r="B842" s="189"/>
      <c r="C842" s="156">
        <v>16053</v>
      </c>
      <c r="D842" s="190">
        <v>8061</v>
      </c>
      <c r="E842" s="187"/>
      <c r="F842" s="156">
        <v>24114</v>
      </c>
    </row>
    <row r="843" spans="1:6" ht="15.75" customHeight="1" x14ac:dyDescent="0.2">
      <c r="A843" s="188" t="s">
        <v>450</v>
      </c>
      <c r="B843" s="189"/>
      <c r="C843" s="156">
        <v>92837</v>
      </c>
      <c r="D843" s="190">
        <v>21733</v>
      </c>
      <c r="E843" s="187"/>
      <c r="F843" s="156">
        <v>114570</v>
      </c>
    </row>
    <row r="844" spans="1:6" ht="15.75" customHeight="1" x14ac:dyDescent="0.2">
      <c r="A844" s="188" t="s">
        <v>548</v>
      </c>
      <c r="B844" s="189"/>
      <c r="C844" s="156">
        <v>5</v>
      </c>
      <c r="D844" s="190">
        <v>1226</v>
      </c>
      <c r="E844" s="187"/>
      <c r="F844" s="156">
        <v>1231</v>
      </c>
    </row>
    <row r="845" spans="1:6" ht="15.75" customHeight="1" x14ac:dyDescent="0.2">
      <c r="A845" s="188" t="s">
        <v>451</v>
      </c>
      <c r="B845" s="189"/>
      <c r="C845" s="156">
        <v>88000</v>
      </c>
      <c r="D845" s="190">
        <v>19679</v>
      </c>
      <c r="E845" s="187"/>
      <c r="F845" s="156">
        <v>107679</v>
      </c>
    </row>
    <row r="846" spans="1:6" ht="31.5" customHeight="1" x14ac:dyDescent="0.2">
      <c r="A846" s="188" t="s">
        <v>452</v>
      </c>
      <c r="B846" s="189"/>
      <c r="C846" s="156">
        <v>4832</v>
      </c>
      <c r="D846" s="190">
        <v>828</v>
      </c>
      <c r="E846" s="187"/>
      <c r="F846" s="156">
        <v>5660</v>
      </c>
    </row>
    <row r="847" spans="1:6" ht="15.75" customHeight="1" x14ac:dyDescent="0.2">
      <c r="A847" s="188" t="s">
        <v>453</v>
      </c>
      <c r="B847" s="189"/>
      <c r="C847" s="156">
        <v>0</v>
      </c>
      <c r="D847" s="190">
        <v>2700</v>
      </c>
      <c r="E847" s="187"/>
      <c r="F847" s="156">
        <v>2700</v>
      </c>
    </row>
    <row r="848" spans="1:6" ht="15.75" customHeight="1" x14ac:dyDescent="0.2">
      <c r="A848" s="188" t="s">
        <v>454</v>
      </c>
      <c r="B848" s="189"/>
      <c r="C848" s="156">
        <v>0</v>
      </c>
      <c r="D848" s="190">
        <v>2700</v>
      </c>
      <c r="E848" s="187"/>
      <c r="F848" s="156">
        <v>2700</v>
      </c>
    </row>
    <row r="849" spans="1:6" ht="14.25" customHeight="1" x14ac:dyDescent="0.25">
      <c r="A849" s="131"/>
      <c r="B849" s="131"/>
      <c r="C849" s="132"/>
      <c r="D849" s="132"/>
      <c r="E849" s="132"/>
      <c r="F849" s="132"/>
    </row>
    <row r="850" spans="1:6" ht="15.75" customHeight="1" x14ac:dyDescent="0.2">
      <c r="A850" s="183" t="s">
        <v>630</v>
      </c>
      <c r="B850" s="189"/>
      <c r="C850" s="189"/>
      <c r="D850" s="189"/>
      <c r="E850" s="189"/>
      <c r="F850" s="189"/>
    </row>
    <row r="851" spans="1:6" ht="15.75" customHeight="1" x14ac:dyDescent="0.2">
      <c r="A851" s="183" t="s">
        <v>446</v>
      </c>
      <c r="B851" s="184"/>
      <c r="C851" s="157">
        <v>53748</v>
      </c>
      <c r="D851" s="185">
        <v>0</v>
      </c>
      <c r="E851" s="185"/>
      <c r="F851" s="157">
        <v>53748</v>
      </c>
    </row>
    <row r="852" spans="1:6" ht="15.75" customHeight="1" x14ac:dyDescent="0.2">
      <c r="A852" s="188" t="s">
        <v>447</v>
      </c>
      <c r="B852" s="189"/>
      <c r="C852" s="156">
        <v>49156</v>
      </c>
      <c r="D852" s="190">
        <v>0</v>
      </c>
      <c r="E852" s="190"/>
      <c r="F852" s="156">
        <v>49156</v>
      </c>
    </row>
    <row r="853" spans="1:6" ht="15.75" customHeight="1" x14ac:dyDescent="0.2">
      <c r="A853" s="188" t="s">
        <v>448</v>
      </c>
      <c r="B853" s="189"/>
      <c r="C853" s="156">
        <v>37647</v>
      </c>
      <c r="D853" s="190">
        <v>0</v>
      </c>
      <c r="E853" s="190"/>
      <c r="F853" s="156">
        <v>37647</v>
      </c>
    </row>
    <row r="854" spans="1:6" ht="15.75" customHeight="1" x14ac:dyDescent="0.2">
      <c r="A854" s="188" t="s">
        <v>449</v>
      </c>
      <c r="B854" s="189"/>
      <c r="C854" s="156">
        <v>11509</v>
      </c>
      <c r="D854" s="190">
        <v>0</v>
      </c>
      <c r="E854" s="190"/>
      <c r="F854" s="156">
        <v>11509</v>
      </c>
    </row>
    <row r="855" spans="1:6" ht="15.75" customHeight="1" x14ac:dyDescent="0.2">
      <c r="A855" s="188" t="s">
        <v>450</v>
      </c>
      <c r="B855" s="189"/>
      <c r="C855" s="156">
        <v>3725</v>
      </c>
      <c r="D855" s="190">
        <v>0</v>
      </c>
      <c r="E855" s="190"/>
      <c r="F855" s="156">
        <v>3725</v>
      </c>
    </row>
    <row r="856" spans="1:6" ht="15.75" customHeight="1" x14ac:dyDescent="0.2">
      <c r="A856" s="188" t="s">
        <v>548</v>
      </c>
      <c r="B856" s="189"/>
      <c r="C856" s="156">
        <v>240</v>
      </c>
      <c r="D856" s="190">
        <v>0</v>
      </c>
      <c r="E856" s="190"/>
      <c r="F856" s="156">
        <v>240</v>
      </c>
    </row>
    <row r="857" spans="1:6" ht="15.75" customHeight="1" x14ac:dyDescent="0.2">
      <c r="A857" s="188" t="s">
        <v>451</v>
      </c>
      <c r="B857" s="189"/>
      <c r="C857" s="156">
        <v>1428</v>
      </c>
      <c r="D857" s="190">
        <v>0</v>
      </c>
      <c r="E857" s="190"/>
      <c r="F857" s="156">
        <v>1428</v>
      </c>
    </row>
    <row r="858" spans="1:6" ht="31.5" customHeight="1" x14ac:dyDescent="0.2">
      <c r="A858" s="188" t="s">
        <v>452</v>
      </c>
      <c r="B858" s="189"/>
      <c r="C858" s="156">
        <v>1914</v>
      </c>
      <c r="D858" s="190">
        <v>0</v>
      </c>
      <c r="E858" s="190"/>
      <c r="F858" s="156">
        <v>1914</v>
      </c>
    </row>
    <row r="859" spans="1:6" ht="15.75" customHeight="1" x14ac:dyDescent="0.2">
      <c r="A859" s="188" t="s">
        <v>550</v>
      </c>
      <c r="B859" s="189"/>
      <c r="C859" s="156">
        <v>143</v>
      </c>
      <c r="D859" s="190">
        <v>0</v>
      </c>
      <c r="E859" s="190"/>
      <c r="F859" s="156">
        <v>143</v>
      </c>
    </row>
    <row r="860" spans="1:6" ht="15.75" customHeight="1" x14ac:dyDescent="0.2">
      <c r="A860" s="188" t="s">
        <v>453</v>
      </c>
      <c r="B860" s="189"/>
      <c r="C860" s="156">
        <v>867</v>
      </c>
      <c r="D860" s="190">
        <v>0</v>
      </c>
      <c r="E860" s="190"/>
      <c r="F860" s="156">
        <v>867</v>
      </c>
    </row>
    <row r="861" spans="1:6" ht="15.75" customHeight="1" x14ac:dyDescent="0.2">
      <c r="A861" s="188" t="s">
        <v>454</v>
      </c>
      <c r="B861" s="189"/>
      <c r="C861" s="156">
        <v>867</v>
      </c>
      <c r="D861" s="190">
        <v>0</v>
      </c>
      <c r="E861" s="190"/>
      <c r="F861" s="156">
        <v>867</v>
      </c>
    </row>
    <row r="862" spans="1:6" ht="14.25" customHeight="1" x14ac:dyDescent="0.25">
      <c r="A862" s="131"/>
      <c r="B862" s="131"/>
      <c r="C862" s="132"/>
      <c r="D862" s="132"/>
      <c r="E862" s="132"/>
      <c r="F862" s="132"/>
    </row>
    <row r="863" spans="1:6" ht="15.75" customHeight="1" x14ac:dyDescent="0.2">
      <c r="A863" s="183" t="s">
        <v>631</v>
      </c>
      <c r="B863" s="189"/>
      <c r="C863" s="189"/>
      <c r="D863" s="189"/>
      <c r="E863" s="189"/>
      <c r="F863" s="189"/>
    </row>
    <row r="864" spans="1:6" ht="15.75" customHeight="1" x14ac:dyDescent="0.2">
      <c r="A864" s="183" t="s">
        <v>446</v>
      </c>
      <c r="B864" s="184"/>
      <c r="C864" s="157">
        <v>2629421</v>
      </c>
      <c r="D864" s="185">
        <v>0</v>
      </c>
      <c r="E864" s="185"/>
      <c r="F864" s="157">
        <v>2629421</v>
      </c>
    </row>
    <row r="865" spans="1:6" ht="15.75" customHeight="1" x14ac:dyDescent="0.2">
      <c r="A865" s="188" t="s">
        <v>453</v>
      </c>
      <c r="B865" s="189"/>
      <c r="C865" s="156">
        <v>2629421</v>
      </c>
      <c r="D865" s="190">
        <v>0</v>
      </c>
      <c r="E865" s="190"/>
      <c r="F865" s="156">
        <v>2629421</v>
      </c>
    </row>
    <row r="866" spans="1:6" ht="15.75" customHeight="1" x14ac:dyDescent="0.2">
      <c r="A866" s="188" t="s">
        <v>454</v>
      </c>
      <c r="B866" s="189"/>
      <c r="C866" s="156">
        <v>2629421</v>
      </c>
      <c r="D866" s="190">
        <v>0</v>
      </c>
      <c r="E866" s="190"/>
      <c r="F866" s="156">
        <v>2629421</v>
      </c>
    </row>
    <row r="867" spans="1:6" ht="14.25" customHeight="1" x14ac:dyDescent="0.25">
      <c r="A867" s="131"/>
      <c r="B867" s="131"/>
      <c r="C867" s="132"/>
      <c r="D867" s="132"/>
      <c r="E867" s="132"/>
      <c r="F867" s="132"/>
    </row>
    <row r="868" spans="1:6" ht="15.75" hidden="1" customHeight="1" x14ac:dyDescent="0.2">
      <c r="A868" s="183" t="s">
        <v>632</v>
      </c>
      <c r="B868" s="189"/>
      <c r="C868" s="189"/>
      <c r="D868" s="189"/>
      <c r="E868" s="189"/>
      <c r="F868" s="189"/>
    </row>
    <row r="869" spans="1:6" ht="15.75" hidden="1" customHeight="1" x14ac:dyDescent="0.2">
      <c r="A869" s="183" t="s">
        <v>446</v>
      </c>
      <c r="B869" s="184"/>
      <c r="C869" s="157">
        <v>2108276</v>
      </c>
      <c r="D869" s="185">
        <v>0</v>
      </c>
      <c r="E869" s="185"/>
      <c r="F869" s="157">
        <v>2108276</v>
      </c>
    </row>
    <row r="870" spans="1:6" ht="15.75" hidden="1" customHeight="1" x14ac:dyDescent="0.2">
      <c r="A870" s="188" t="s">
        <v>447</v>
      </c>
      <c r="B870" s="189"/>
      <c r="C870" s="156">
        <v>1036882</v>
      </c>
      <c r="D870" s="190">
        <v>0</v>
      </c>
      <c r="E870" s="190"/>
      <c r="F870" s="156">
        <v>1036882</v>
      </c>
    </row>
    <row r="871" spans="1:6" ht="15.75" hidden="1" customHeight="1" x14ac:dyDescent="0.2">
      <c r="A871" s="188" t="s">
        <v>448</v>
      </c>
      <c r="B871" s="189"/>
      <c r="C871" s="156">
        <v>829255</v>
      </c>
      <c r="D871" s="190">
        <v>0</v>
      </c>
      <c r="E871" s="190"/>
      <c r="F871" s="156">
        <v>829255</v>
      </c>
    </row>
    <row r="872" spans="1:6" ht="15.75" hidden="1" customHeight="1" x14ac:dyDescent="0.2">
      <c r="A872" s="188" t="s">
        <v>449</v>
      </c>
      <c r="B872" s="189"/>
      <c r="C872" s="156">
        <v>207627</v>
      </c>
      <c r="D872" s="190">
        <v>0</v>
      </c>
      <c r="E872" s="190"/>
      <c r="F872" s="156">
        <v>207627</v>
      </c>
    </row>
    <row r="873" spans="1:6" ht="15.75" hidden="1" customHeight="1" x14ac:dyDescent="0.2">
      <c r="A873" s="188" t="s">
        <v>450</v>
      </c>
      <c r="B873" s="189"/>
      <c r="C873" s="156">
        <v>1071394</v>
      </c>
      <c r="D873" s="190">
        <v>0</v>
      </c>
      <c r="E873" s="190"/>
      <c r="F873" s="156">
        <v>1071394</v>
      </c>
    </row>
    <row r="874" spans="1:6" ht="15.75" hidden="1" customHeight="1" x14ac:dyDescent="0.2">
      <c r="A874" s="188" t="s">
        <v>548</v>
      </c>
      <c r="B874" s="189"/>
      <c r="C874" s="156">
        <v>55787</v>
      </c>
      <c r="D874" s="190">
        <v>0</v>
      </c>
      <c r="E874" s="190"/>
      <c r="F874" s="156">
        <v>55787</v>
      </c>
    </row>
    <row r="875" spans="1:6" ht="15.75" hidden="1" customHeight="1" x14ac:dyDescent="0.2">
      <c r="A875" s="188" t="s">
        <v>451</v>
      </c>
      <c r="B875" s="189"/>
      <c r="C875" s="156">
        <v>937776</v>
      </c>
      <c r="D875" s="190">
        <v>0</v>
      </c>
      <c r="E875" s="190"/>
      <c r="F875" s="156">
        <v>937776</v>
      </c>
    </row>
    <row r="876" spans="1:6" ht="31.5" hidden="1" customHeight="1" x14ac:dyDescent="0.2">
      <c r="A876" s="188" t="s">
        <v>452</v>
      </c>
      <c r="B876" s="189"/>
      <c r="C876" s="156">
        <v>76240</v>
      </c>
      <c r="D876" s="190">
        <v>0</v>
      </c>
      <c r="E876" s="190"/>
      <c r="F876" s="156">
        <v>76240</v>
      </c>
    </row>
    <row r="877" spans="1:6" ht="15.75" hidden="1" customHeight="1" x14ac:dyDescent="0.2">
      <c r="A877" s="188" t="s">
        <v>550</v>
      </c>
      <c r="B877" s="189"/>
      <c r="C877" s="156">
        <v>1591</v>
      </c>
      <c r="D877" s="190">
        <v>0</v>
      </c>
      <c r="E877" s="190"/>
      <c r="F877" s="156">
        <v>1591</v>
      </c>
    </row>
    <row r="878" spans="1:6" ht="14.25" hidden="1" customHeight="1" x14ac:dyDescent="0.25">
      <c r="A878" s="131"/>
      <c r="B878" s="131"/>
      <c r="C878" s="132"/>
      <c r="D878" s="132"/>
      <c r="E878" s="132"/>
      <c r="F878" s="132"/>
    </row>
    <row r="879" spans="1:6" ht="15.75" customHeight="1" x14ac:dyDescent="0.2">
      <c r="A879" s="183" t="s">
        <v>633</v>
      </c>
      <c r="B879" s="189"/>
      <c r="C879" s="189"/>
      <c r="D879" s="189"/>
      <c r="E879" s="189"/>
      <c r="F879" s="189"/>
    </row>
    <row r="880" spans="1:6" ht="15.75" customHeight="1" x14ac:dyDescent="0.2">
      <c r="A880" s="183" t="s">
        <v>446</v>
      </c>
      <c r="B880" s="184"/>
      <c r="C880" s="157">
        <v>908126</v>
      </c>
      <c r="D880" s="185">
        <v>0</v>
      </c>
      <c r="E880" s="185"/>
      <c r="F880" s="157">
        <v>908126</v>
      </c>
    </row>
    <row r="881" spans="1:6" ht="15.75" customHeight="1" x14ac:dyDescent="0.2">
      <c r="A881" s="188" t="s">
        <v>447</v>
      </c>
      <c r="B881" s="189"/>
      <c r="C881" s="156">
        <v>572255</v>
      </c>
      <c r="D881" s="190">
        <v>0</v>
      </c>
      <c r="E881" s="190"/>
      <c r="F881" s="156">
        <v>572255</v>
      </c>
    </row>
    <row r="882" spans="1:6" ht="15.75" customHeight="1" x14ac:dyDescent="0.2">
      <c r="A882" s="188" t="s">
        <v>448</v>
      </c>
      <c r="B882" s="189"/>
      <c r="C882" s="156">
        <v>456928</v>
      </c>
      <c r="D882" s="190">
        <v>0</v>
      </c>
      <c r="E882" s="190"/>
      <c r="F882" s="156">
        <v>456928</v>
      </c>
    </row>
    <row r="883" spans="1:6" ht="15.75" customHeight="1" x14ac:dyDescent="0.2">
      <c r="A883" s="188" t="s">
        <v>449</v>
      </c>
      <c r="B883" s="189"/>
      <c r="C883" s="156">
        <v>115327</v>
      </c>
      <c r="D883" s="190">
        <v>0</v>
      </c>
      <c r="E883" s="190"/>
      <c r="F883" s="156">
        <v>115327</v>
      </c>
    </row>
    <row r="884" spans="1:6" ht="15.75" customHeight="1" x14ac:dyDescent="0.2">
      <c r="A884" s="188" t="s">
        <v>450</v>
      </c>
      <c r="B884" s="189"/>
      <c r="C884" s="156">
        <v>335871</v>
      </c>
      <c r="D884" s="190">
        <v>0</v>
      </c>
      <c r="E884" s="190"/>
      <c r="F884" s="156">
        <v>335871</v>
      </c>
    </row>
    <row r="885" spans="1:6" ht="15.75" customHeight="1" x14ac:dyDescent="0.2">
      <c r="A885" s="188" t="s">
        <v>548</v>
      </c>
      <c r="B885" s="189"/>
      <c r="C885" s="156">
        <v>42300</v>
      </c>
      <c r="D885" s="190">
        <v>0</v>
      </c>
      <c r="E885" s="190"/>
      <c r="F885" s="156">
        <v>42300</v>
      </c>
    </row>
    <row r="886" spans="1:6" ht="15.75" customHeight="1" x14ac:dyDescent="0.2">
      <c r="A886" s="188" t="s">
        <v>451</v>
      </c>
      <c r="B886" s="189"/>
      <c r="C886" s="156">
        <v>256190</v>
      </c>
      <c r="D886" s="190">
        <v>0</v>
      </c>
      <c r="E886" s="190"/>
      <c r="F886" s="156">
        <v>256190</v>
      </c>
    </row>
    <row r="887" spans="1:6" ht="31.5" customHeight="1" x14ac:dyDescent="0.2">
      <c r="A887" s="188" t="s">
        <v>452</v>
      </c>
      <c r="B887" s="189"/>
      <c r="C887" s="156">
        <v>36350</v>
      </c>
      <c r="D887" s="190">
        <v>0</v>
      </c>
      <c r="E887" s="190"/>
      <c r="F887" s="156">
        <v>36350</v>
      </c>
    </row>
    <row r="888" spans="1:6" ht="15.75" customHeight="1" x14ac:dyDescent="0.2">
      <c r="A888" s="188" t="s">
        <v>550</v>
      </c>
      <c r="B888" s="189"/>
      <c r="C888" s="156">
        <v>1031</v>
      </c>
      <c r="D888" s="190">
        <v>0</v>
      </c>
      <c r="E888" s="190"/>
      <c r="F888" s="156">
        <v>1031</v>
      </c>
    </row>
    <row r="889" spans="1:6" ht="14.25" customHeight="1" x14ac:dyDescent="0.25">
      <c r="A889" s="131"/>
      <c r="B889" s="131"/>
      <c r="C889" s="132"/>
      <c r="D889" s="132"/>
      <c r="E889" s="132"/>
      <c r="F889" s="132"/>
    </row>
    <row r="890" spans="1:6" ht="15.75" customHeight="1" x14ac:dyDescent="0.2">
      <c r="A890" s="183" t="s">
        <v>634</v>
      </c>
      <c r="B890" s="189"/>
      <c r="C890" s="189"/>
      <c r="D890" s="189"/>
      <c r="E890" s="189"/>
      <c r="F890" s="189"/>
    </row>
    <row r="891" spans="1:6" ht="15.75" customHeight="1" x14ac:dyDescent="0.2">
      <c r="A891" s="183" t="s">
        <v>446</v>
      </c>
      <c r="B891" s="184"/>
      <c r="C891" s="157">
        <v>379706</v>
      </c>
      <c r="D891" s="185">
        <v>0</v>
      </c>
      <c r="E891" s="185"/>
      <c r="F891" s="157">
        <v>379706</v>
      </c>
    </row>
    <row r="892" spans="1:6" ht="15.75" customHeight="1" x14ac:dyDescent="0.2">
      <c r="A892" s="188" t="s">
        <v>447</v>
      </c>
      <c r="B892" s="189"/>
      <c r="C892" s="156">
        <v>149285</v>
      </c>
      <c r="D892" s="190">
        <v>0</v>
      </c>
      <c r="E892" s="190"/>
      <c r="F892" s="156">
        <v>149285</v>
      </c>
    </row>
    <row r="893" spans="1:6" ht="15.75" customHeight="1" x14ac:dyDescent="0.2">
      <c r="A893" s="188" t="s">
        <v>448</v>
      </c>
      <c r="B893" s="189"/>
      <c r="C893" s="156">
        <v>119129</v>
      </c>
      <c r="D893" s="190">
        <v>0</v>
      </c>
      <c r="E893" s="190"/>
      <c r="F893" s="156">
        <v>119129</v>
      </c>
    </row>
    <row r="894" spans="1:6" ht="15.75" customHeight="1" x14ac:dyDescent="0.2">
      <c r="A894" s="188" t="s">
        <v>449</v>
      </c>
      <c r="B894" s="189"/>
      <c r="C894" s="156">
        <v>30156</v>
      </c>
      <c r="D894" s="190">
        <v>0</v>
      </c>
      <c r="E894" s="190"/>
      <c r="F894" s="156">
        <v>30156</v>
      </c>
    </row>
    <row r="895" spans="1:6" ht="15.75" customHeight="1" x14ac:dyDescent="0.2">
      <c r="A895" s="188" t="s">
        <v>450</v>
      </c>
      <c r="B895" s="189"/>
      <c r="C895" s="156">
        <v>230421</v>
      </c>
      <c r="D895" s="190">
        <v>0</v>
      </c>
      <c r="E895" s="190"/>
      <c r="F895" s="156">
        <v>230421</v>
      </c>
    </row>
    <row r="896" spans="1:6" ht="15.75" customHeight="1" x14ac:dyDescent="0.2">
      <c r="A896" s="188" t="s">
        <v>548</v>
      </c>
      <c r="B896" s="189"/>
      <c r="C896" s="156">
        <v>8300</v>
      </c>
      <c r="D896" s="190">
        <v>0</v>
      </c>
      <c r="E896" s="190"/>
      <c r="F896" s="156">
        <v>8300</v>
      </c>
    </row>
    <row r="897" spans="1:6" ht="15.75" customHeight="1" x14ac:dyDescent="0.2">
      <c r="A897" s="188" t="s">
        <v>451</v>
      </c>
      <c r="B897" s="189"/>
      <c r="C897" s="156">
        <v>209071</v>
      </c>
      <c r="D897" s="190">
        <v>0</v>
      </c>
      <c r="E897" s="190"/>
      <c r="F897" s="156">
        <v>209071</v>
      </c>
    </row>
    <row r="898" spans="1:6" ht="31.5" customHeight="1" x14ac:dyDescent="0.2">
      <c r="A898" s="188" t="s">
        <v>452</v>
      </c>
      <c r="B898" s="189"/>
      <c r="C898" s="156">
        <v>12590</v>
      </c>
      <c r="D898" s="190">
        <v>0</v>
      </c>
      <c r="E898" s="190"/>
      <c r="F898" s="156">
        <v>12590</v>
      </c>
    </row>
    <row r="899" spans="1:6" ht="15.75" customHeight="1" x14ac:dyDescent="0.2">
      <c r="A899" s="188" t="s">
        <v>550</v>
      </c>
      <c r="B899" s="189"/>
      <c r="C899" s="156">
        <v>460</v>
      </c>
      <c r="D899" s="190">
        <v>0</v>
      </c>
      <c r="E899" s="190"/>
      <c r="F899" s="156">
        <v>460</v>
      </c>
    </row>
    <row r="900" spans="1:6" ht="14.25" customHeight="1" x14ac:dyDescent="0.25">
      <c r="A900" s="131"/>
      <c r="B900" s="131"/>
      <c r="C900" s="132"/>
      <c r="D900" s="132"/>
      <c r="E900" s="132"/>
      <c r="F900" s="132"/>
    </row>
    <row r="901" spans="1:6" ht="15.75" customHeight="1" x14ac:dyDescent="0.2">
      <c r="A901" s="183" t="s">
        <v>635</v>
      </c>
      <c r="B901" s="189"/>
      <c r="C901" s="189"/>
      <c r="D901" s="189"/>
      <c r="E901" s="189"/>
      <c r="F901" s="189"/>
    </row>
    <row r="902" spans="1:6" ht="15.75" customHeight="1" x14ac:dyDescent="0.2">
      <c r="A902" s="183" t="s">
        <v>446</v>
      </c>
      <c r="B902" s="184"/>
      <c r="C902" s="157">
        <v>820444</v>
      </c>
      <c r="D902" s="185">
        <v>0</v>
      </c>
      <c r="E902" s="185"/>
      <c r="F902" s="157">
        <v>820444</v>
      </c>
    </row>
    <row r="903" spans="1:6" ht="15.75" customHeight="1" x14ac:dyDescent="0.2">
      <c r="A903" s="188" t="s">
        <v>447</v>
      </c>
      <c r="B903" s="189"/>
      <c r="C903" s="156">
        <v>315342</v>
      </c>
      <c r="D903" s="190">
        <v>0</v>
      </c>
      <c r="E903" s="190"/>
      <c r="F903" s="156">
        <v>315342</v>
      </c>
    </row>
    <row r="904" spans="1:6" ht="15.75" customHeight="1" x14ac:dyDescent="0.2">
      <c r="A904" s="188" t="s">
        <v>448</v>
      </c>
      <c r="B904" s="189"/>
      <c r="C904" s="156">
        <v>253198</v>
      </c>
      <c r="D904" s="190">
        <v>0</v>
      </c>
      <c r="E904" s="190"/>
      <c r="F904" s="156">
        <v>253198</v>
      </c>
    </row>
    <row r="905" spans="1:6" ht="15.75" customHeight="1" x14ac:dyDescent="0.2">
      <c r="A905" s="188" t="s">
        <v>449</v>
      </c>
      <c r="B905" s="189"/>
      <c r="C905" s="156">
        <v>62144</v>
      </c>
      <c r="D905" s="190">
        <v>0</v>
      </c>
      <c r="E905" s="190"/>
      <c r="F905" s="156">
        <v>62144</v>
      </c>
    </row>
    <row r="906" spans="1:6" ht="15.75" customHeight="1" x14ac:dyDescent="0.2">
      <c r="A906" s="188" t="s">
        <v>450</v>
      </c>
      <c r="B906" s="189"/>
      <c r="C906" s="156">
        <v>505102</v>
      </c>
      <c r="D906" s="190">
        <v>0</v>
      </c>
      <c r="E906" s="190"/>
      <c r="F906" s="156">
        <v>505102</v>
      </c>
    </row>
    <row r="907" spans="1:6" ht="15.75" customHeight="1" x14ac:dyDescent="0.2">
      <c r="A907" s="188" t="s">
        <v>548</v>
      </c>
      <c r="B907" s="189"/>
      <c r="C907" s="156">
        <v>5187</v>
      </c>
      <c r="D907" s="190">
        <v>0</v>
      </c>
      <c r="E907" s="190"/>
      <c r="F907" s="156">
        <v>5187</v>
      </c>
    </row>
    <row r="908" spans="1:6" ht="15.75" customHeight="1" x14ac:dyDescent="0.2">
      <c r="A908" s="188" t="s">
        <v>451</v>
      </c>
      <c r="B908" s="189"/>
      <c r="C908" s="156">
        <v>472515</v>
      </c>
      <c r="D908" s="190">
        <v>0</v>
      </c>
      <c r="E908" s="190"/>
      <c r="F908" s="156">
        <v>472515</v>
      </c>
    </row>
    <row r="909" spans="1:6" ht="31.5" customHeight="1" x14ac:dyDescent="0.2">
      <c r="A909" s="188" t="s">
        <v>452</v>
      </c>
      <c r="B909" s="189"/>
      <c r="C909" s="156">
        <v>27300</v>
      </c>
      <c r="D909" s="190">
        <v>0</v>
      </c>
      <c r="E909" s="190"/>
      <c r="F909" s="156">
        <v>27300</v>
      </c>
    </row>
    <row r="910" spans="1:6" ht="15.75" customHeight="1" x14ac:dyDescent="0.2">
      <c r="A910" s="188" t="s">
        <v>550</v>
      </c>
      <c r="B910" s="189"/>
      <c r="C910" s="156">
        <v>100</v>
      </c>
      <c r="D910" s="190">
        <v>0</v>
      </c>
      <c r="E910" s="190"/>
      <c r="F910" s="156">
        <v>100</v>
      </c>
    </row>
    <row r="911" spans="1:6" ht="14.25" customHeight="1" x14ac:dyDescent="0.25">
      <c r="A911" s="131"/>
      <c r="B911" s="131"/>
      <c r="C911" s="132"/>
      <c r="D911" s="132"/>
      <c r="E911" s="132"/>
      <c r="F911" s="132"/>
    </row>
    <row r="912" spans="1:6" ht="15.75" customHeight="1" x14ac:dyDescent="0.2">
      <c r="A912" s="183" t="s">
        <v>674</v>
      </c>
      <c r="B912" s="189"/>
      <c r="C912" s="189"/>
      <c r="D912" s="189"/>
      <c r="E912" s="189"/>
      <c r="F912" s="189"/>
    </row>
    <row r="913" spans="1:6" ht="15.75" customHeight="1" x14ac:dyDescent="0.2">
      <c r="A913" s="183" t="s">
        <v>446</v>
      </c>
      <c r="B913" s="184"/>
      <c r="C913" s="157">
        <v>3302</v>
      </c>
      <c r="D913" s="185">
        <v>0</v>
      </c>
      <c r="E913" s="185"/>
      <c r="F913" s="157">
        <v>3302</v>
      </c>
    </row>
    <row r="914" spans="1:6" ht="15.75" customHeight="1" x14ac:dyDescent="0.2">
      <c r="A914" s="188" t="s">
        <v>447</v>
      </c>
      <c r="B914" s="189"/>
      <c r="C914" s="156">
        <v>1614</v>
      </c>
      <c r="D914" s="190">
        <v>0</v>
      </c>
      <c r="E914" s="190"/>
      <c r="F914" s="156">
        <v>1614</v>
      </c>
    </row>
    <row r="915" spans="1:6" ht="15.75" customHeight="1" x14ac:dyDescent="0.2">
      <c r="A915" s="188" t="s">
        <v>448</v>
      </c>
      <c r="B915" s="189"/>
      <c r="C915" s="156">
        <v>1306</v>
      </c>
      <c r="D915" s="190">
        <v>0</v>
      </c>
      <c r="E915" s="190"/>
      <c r="F915" s="156">
        <v>1306</v>
      </c>
    </row>
    <row r="916" spans="1:6" ht="15.75" customHeight="1" x14ac:dyDescent="0.2">
      <c r="A916" s="188" t="s">
        <v>449</v>
      </c>
      <c r="B916" s="189"/>
      <c r="C916" s="156">
        <v>308</v>
      </c>
      <c r="D916" s="190">
        <v>0</v>
      </c>
      <c r="E916" s="190"/>
      <c r="F916" s="156">
        <v>308</v>
      </c>
    </row>
    <row r="917" spans="1:6" ht="15.75" customHeight="1" x14ac:dyDescent="0.2">
      <c r="A917" s="188" t="s">
        <v>450</v>
      </c>
      <c r="B917" s="189"/>
      <c r="C917" s="156">
        <v>1688</v>
      </c>
      <c r="D917" s="190">
        <v>0</v>
      </c>
      <c r="E917" s="190"/>
      <c r="F917" s="156">
        <v>1688</v>
      </c>
    </row>
    <row r="918" spans="1:6" ht="15.75" customHeight="1" x14ac:dyDescent="0.2">
      <c r="A918" s="188" t="s">
        <v>451</v>
      </c>
      <c r="B918" s="189"/>
      <c r="C918" s="156">
        <v>845</v>
      </c>
      <c r="D918" s="190">
        <v>0</v>
      </c>
      <c r="E918" s="190"/>
      <c r="F918" s="156">
        <v>845</v>
      </c>
    </row>
    <row r="919" spans="1:6" ht="31.5" customHeight="1" x14ac:dyDescent="0.2">
      <c r="A919" s="188" t="s">
        <v>452</v>
      </c>
      <c r="B919" s="189"/>
      <c r="C919" s="156">
        <v>843</v>
      </c>
      <c r="D919" s="190">
        <v>0</v>
      </c>
      <c r="E919" s="190"/>
      <c r="F919" s="156">
        <v>843</v>
      </c>
    </row>
    <row r="920" spans="1:6" ht="14.25" customHeight="1" x14ac:dyDescent="0.25">
      <c r="A920" s="131"/>
      <c r="B920" s="131"/>
      <c r="C920" s="132"/>
      <c r="D920" s="132"/>
      <c r="E920" s="132"/>
      <c r="F920" s="132"/>
    </row>
    <row r="921" spans="1:6" ht="15.75" customHeight="1" x14ac:dyDescent="0.2">
      <c r="A921" s="183" t="s">
        <v>636</v>
      </c>
      <c r="B921" s="189"/>
      <c r="C921" s="189"/>
      <c r="D921" s="189"/>
      <c r="E921" s="189"/>
      <c r="F921" s="189"/>
    </row>
    <row r="922" spans="1:6" ht="15.75" customHeight="1" x14ac:dyDescent="0.2">
      <c r="A922" s="183" t="s">
        <v>446</v>
      </c>
      <c r="B922" s="184"/>
      <c r="C922" s="157">
        <v>4900</v>
      </c>
      <c r="D922" s="185">
        <v>1000</v>
      </c>
      <c r="E922" s="191"/>
      <c r="F922" s="157">
        <v>5900</v>
      </c>
    </row>
    <row r="923" spans="1:6" ht="15.75" customHeight="1" x14ac:dyDescent="0.2">
      <c r="A923" s="188" t="s">
        <v>458</v>
      </c>
      <c r="B923" s="189"/>
      <c r="C923" s="156">
        <v>4900</v>
      </c>
      <c r="D923" s="190">
        <v>1000</v>
      </c>
      <c r="E923" s="187"/>
      <c r="F923" s="156">
        <v>5900</v>
      </c>
    </row>
    <row r="924" spans="1:6" ht="31.5" customHeight="1" x14ac:dyDescent="0.2">
      <c r="A924" s="188" t="s">
        <v>459</v>
      </c>
      <c r="B924" s="189"/>
      <c r="C924" s="156">
        <v>4900</v>
      </c>
      <c r="D924" s="190">
        <v>1000</v>
      </c>
      <c r="E924" s="187"/>
      <c r="F924" s="156">
        <v>5900</v>
      </c>
    </row>
    <row r="925" spans="1:6" ht="14.25" customHeight="1" x14ac:dyDescent="0.25">
      <c r="A925" s="131"/>
      <c r="B925" s="131"/>
      <c r="C925" s="132"/>
      <c r="D925" s="132"/>
      <c r="E925" s="132"/>
      <c r="F925" s="132"/>
    </row>
    <row r="926" spans="1:6" ht="15.75" customHeight="1" x14ac:dyDescent="0.2">
      <c r="A926" s="183" t="s">
        <v>637</v>
      </c>
      <c r="B926" s="189"/>
      <c r="C926" s="189"/>
      <c r="D926" s="189"/>
      <c r="E926" s="189"/>
      <c r="F926" s="189"/>
    </row>
    <row r="927" spans="1:6" ht="15.75" customHeight="1" x14ac:dyDescent="0.2">
      <c r="A927" s="183" t="s">
        <v>446</v>
      </c>
      <c r="B927" s="184"/>
      <c r="C927" s="157">
        <v>1400</v>
      </c>
      <c r="D927" s="185">
        <v>0</v>
      </c>
      <c r="E927" s="185"/>
      <c r="F927" s="157">
        <v>1400</v>
      </c>
    </row>
    <row r="928" spans="1:6" ht="15.75" customHeight="1" x14ac:dyDescent="0.2">
      <c r="A928" s="188" t="s">
        <v>458</v>
      </c>
      <c r="B928" s="189"/>
      <c r="C928" s="156">
        <v>1400</v>
      </c>
      <c r="D928" s="190">
        <v>0</v>
      </c>
      <c r="E928" s="190"/>
      <c r="F928" s="156">
        <v>1400</v>
      </c>
    </row>
    <row r="929" spans="1:6" ht="31.5" customHeight="1" x14ac:dyDescent="0.2">
      <c r="A929" s="188" t="s">
        <v>459</v>
      </c>
      <c r="B929" s="189"/>
      <c r="C929" s="156">
        <v>1400</v>
      </c>
      <c r="D929" s="190">
        <v>0</v>
      </c>
      <c r="E929" s="190"/>
      <c r="F929" s="156">
        <v>1400</v>
      </c>
    </row>
    <row r="930" spans="1:6" ht="14.25" customHeight="1" x14ac:dyDescent="0.25">
      <c r="A930" s="131"/>
      <c r="B930" s="131"/>
      <c r="C930" s="132"/>
      <c r="D930" s="132"/>
      <c r="E930" s="132"/>
      <c r="F930" s="132"/>
    </row>
    <row r="931" spans="1:6" ht="15.75" customHeight="1" x14ac:dyDescent="0.2">
      <c r="A931" s="183" t="s">
        <v>638</v>
      </c>
      <c r="B931" s="189"/>
      <c r="C931" s="189"/>
      <c r="D931" s="189"/>
      <c r="E931" s="189"/>
      <c r="F931" s="189"/>
    </row>
    <row r="932" spans="1:6" ht="15.75" customHeight="1" x14ac:dyDescent="0.2">
      <c r="A932" s="183" t="s">
        <v>446</v>
      </c>
      <c r="B932" s="184"/>
      <c r="C932" s="157">
        <v>947365</v>
      </c>
      <c r="D932" s="185">
        <v>0</v>
      </c>
      <c r="E932" s="185"/>
      <c r="F932" s="157">
        <v>947365</v>
      </c>
    </row>
    <row r="933" spans="1:6" ht="15.75" customHeight="1" x14ac:dyDescent="0.2">
      <c r="A933" s="188" t="s">
        <v>447</v>
      </c>
      <c r="B933" s="189"/>
      <c r="C933" s="156">
        <v>596594</v>
      </c>
      <c r="D933" s="190">
        <v>0</v>
      </c>
      <c r="E933" s="190"/>
      <c r="F933" s="156">
        <v>596594</v>
      </c>
    </row>
    <row r="934" spans="1:6" ht="15.75" customHeight="1" x14ac:dyDescent="0.2">
      <c r="A934" s="188" t="s">
        <v>448</v>
      </c>
      <c r="B934" s="189"/>
      <c r="C934" s="156">
        <v>463829</v>
      </c>
      <c r="D934" s="190">
        <v>0</v>
      </c>
      <c r="E934" s="190"/>
      <c r="F934" s="156">
        <v>463829</v>
      </c>
    </row>
    <row r="935" spans="1:6" ht="15.75" customHeight="1" x14ac:dyDescent="0.2">
      <c r="A935" s="188" t="s">
        <v>449</v>
      </c>
      <c r="B935" s="189"/>
      <c r="C935" s="156">
        <v>132765</v>
      </c>
      <c r="D935" s="190">
        <v>0</v>
      </c>
      <c r="E935" s="190"/>
      <c r="F935" s="156">
        <v>132765</v>
      </c>
    </row>
    <row r="936" spans="1:6" ht="15.75" customHeight="1" x14ac:dyDescent="0.2">
      <c r="A936" s="188" t="s">
        <v>450</v>
      </c>
      <c r="B936" s="189"/>
      <c r="C936" s="156">
        <v>278444</v>
      </c>
      <c r="D936" s="190">
        <v>0</v>
      </c>
      <c r="E936" s="190"/>
      <c r="F936" s="156">
        <v>278444</v>
      </c>
    </row>
    <row r="937" spans="1:6" ht="15.75" customHeight="1" x14ac:dyDescent="0.2">
      <c r="A937" s="188" t="s">
        <v>548</v>
      </c>
      <c r="B937" s="189"/>
      <c r="C937" s="156">
        <v>4340</v>
      </c>
      <c r="D937" s="190">
        <v>0</v>
      </c>
      <c r="E937" s="190"/>
      <c r="F937" s="156">
        <v>4340</v>
      </c>
    </row>
    <row r="938" spans="1:6" ht="15.75" customHeight="1" x14ac:dyDescent="0.2">
      <c r="A938" s="188" t="s">
        <v>451</v>
      </c>
      <c r="B938" s="189"/>
      <c r="C938" s="156">
        <v>228806</v>
      </c>
      <c r="D938" s="190">
        <v>0</v>
      </c>
      <c r="E938" s="190"/>
      <c r="F938" s="156">
        <v>228806</v>
      </c>
    </row>
    <row r="939" spans="1:6" ht="31.5" customHeight="1" x14ac:dyDescent="0.2">
      <c r="A939" s="188" t="s">
        <v>452</v>
      </c>
      <c r="B939" s="189"/>
      <c r="C939" s="156">
        <v>39128</v>
      </c>
      <c r="D939" s="190">
        <v>0</v>
      </c>
      <c r="E939" s="190"/>
      <c r="F939" s="156">
        <v>39128</v>
      </c>
    </row>
    <row r="940" spans="1:6" ht="15.75" customHeight="1" x14ac:dyDescent="0.2">
      <c r="A940" s="188" t="s">
        <v>550</v>
      </c>
      <c r="B940" s="189"/>
      <c r="C940" s="156">
        <v>6170</v>
      </c>
      <c r="D940" s="190">
        <v>0</v>
      </c>
      <c r="E940" s="190"/>
      <c r="F940" s="156">
        <v>6170</v>
      </c>
    </row>
    <row r="941" spans="1:6" ht="15.75" customHeight="1" x14ac:dyDescent="0.2">
      <c r="A941" s="188" t="s">
        <v>453</v>
      </c>
      <c r="B941" s="189"/>
      <c r="C941" s="156">
        <v>72327</v>
      </c>
      <c r="D941" s="190">
        <v>0</v>
      </c>
      <c r="E941" s="190"/>
      <c r="F941" s="156">
        <v>72327</v>
      </c>
    </row>
    <row r="942" spans="1:6" ht="15.75" customHeight="1" x14ac:dyDescent="0.2">
      <c r="A942" s="188" t="s">
        <v>553</v>
      </c>
      <c r="B942" s="189"/>
      <c r="C942" s="156">
        <v>3572</v>
      </c>
      <c r="D942" s="190">
        <v>0</v>
      </c>
      <c r="E942" s="190"/>
      <c r="F942" s="156">
        <v>3572</v>
      </c>
    </row>
    <row r="943" spans="1:6" ht="15.75" customHeight="1" x14ac:dyDescent="0.2">
      <c r="A943" s="188" t="s">
        <v>454</v>
      </c>
      <c r="B943" s="189"/>
      <c r="C943" s="156">
        <v>68755</v>
      </c>
      <c r="D943" s="190">
        <v>0</v>
      </c>
      <c r="E943" s="190"/>
      <c r="F943" s="156">
        <v>68755</v>
      </c>
    </row>
    <row r="944" spans="1:6" ht="14.25" customHeight="1" x14ac:dyDescent="0.25">
      <c r="A944" s="131"/>
      <c r="B944" s="131"/>
      <c r="C944" s="132"/>
      <c r="D944" s="132"/>
      <c r="E944" s="132"/>
      <c r="F944" s="132"/>
    </row>
    <row r="945" spans="1:6" ht="15.75" customHeight="1" x14ac:dyDescent="0.2">
      <c r="A945" s="183" t="s">
        <v>639</v>
      </c>
      <c r="B945" s="189"/>
      <c r="C945" s="189"/>
      <c r="D945" s="189"/>
      <c r="E945" s="189"/>
      <c r="F945" s="189"/>
    </row>
    <row r="946" spans="1:6" ht="15.75" customHeight="1" x14ac:dyDescent="0.2">
      <c r="A946" s="183" t="s">
        <v>446</v>
      </c>
      <c r="B946" s="184"/>
      <c r="C946" s="157">
        <v>183625</v>
      </c>
      <c r="D946" s="185">
        <v>0</v>
      </c>
      <c r="E946" s="185"/>
      <c r="F946" s="157">
        <v>183625</v>
      </c>
    </row>
    <row r="947" spans="1:6" ht="15.75" customHeight="1" x14ac:dyDescent="0.2">
      <c r="A947" s="188" t="s">
        <v>447</v>
      </c>
      <c r="B947" s="189"/>
      <c r="C947" s="156">
        <v>18529</v>
      </c>
      <c r="D947" s="190">
        <v>0</v>
      </c>
      <c r="E947" s="190"/>
      <c r="F947" s="156">
        <v>18529</v>
      </c>
    </row>
    <row r="948" spans="1:6" ht="15.75" customHeight="1" x14ac:dyDescent="0.2">
      <c r="A948" s="188" t="s">
        <v>448</v>
      </c>
      <c r="B948" s="189"/>
      <c r="C948" s="156">
        <v>14999</v>
      </c>
      <c r="D948" s="190">
        <v>0</v>
      </c>
      <c r="E948" s="190"/>
      <c r="F948" s="156">
        <v>14999</v>
      </c>
    </row>
    <row r="949" spans="1:6" ht="15.75" customHeight="1" x14ac:dyDescent="0.2">
      <c r="A949" s="188" t="s">
        <v>449</v>
      </c>
      <c r="B949" s="189"/>
      <c r="C949" s="156">
        <v>3530</v>
      </c>
      <c r="D949" s="190">
        <v>0</v>
      </c>
      <c r="E949" s="190"/>
      <c r="F949" s="156">
        <v>3530</v>
      </c>
    </row>
    <row r="950" spans="1:6" ht="15.75" customHeight="1" x14ac:dyDescent="0.2">
      <c r="A950" s="188" t="s">
        <v>450</v>
      </c>
      <c r="B950" s="189"/>
      <c r="C950" s="156">
        <v>120649</v>
      </c>
      <c r="D950" s="190">
        <v>0</v>
      </c>
      <c r="E950" s="190"/>
      <c r="F950" s="156">
        <v>120649</v>
      </c>
    </row>
    <row r="951" spans="1:6" ht="15.75" customHeight="1" x14ac:dyDescent="0.2">
      <c r="A951" s="188" t="s">
        <v>548</v>
      </c>
      <c r="B951" s="189"/>
      <c r="C951" s="156">
        <v>3177</v>
      </c>
      <c r="D951" s="190">
        <v>0</v>
      </c>
      <c r="E951" s="190"/>
      <c r="F951" s="156">
        <v>3177</v>
      </c>
    </row>
    <row r="952" spans="1:6" ht="15.75" customHeight="1" x14ac:dyDescent="0.2">
      <c r="A952" s="188" t="s">
        <v>451</v>
      </c>
      <c r="B952" s="189"/>
      <c r="C952" s="156">
        <v>70446</v>
      </c>
      <c r="D952" s="190">
        <v>0</v>
      </c>
      <c r="E952" s="190"/>
      <c r="F952" s="156">
        <v>70446</v>
      </c>
    </row>
    <row r="953" spans="1:6" ht="31.5" customHeight="1" x14ac:dyDescent="0.2">
      <c r="A953" s="188" t="s">
        <v>452</v>
      </c>
      <c r="B953" s="189"/>
      <c r="C953" s="156">
        <v>45319</v>
      </c>
      <c r="D953" s="190">
        <v>0</v>
      </c>
      <c r="E953" s="190"/>
      <c r="F953" s="156">
        <v>45319</v>
      </c>
    </row>
    <row r="954" spans="1:6" ht="15.75" customHeight="1" x14ac:dyDescent="0.2">
      <c r="A954" s="188" t="s">
        <v>550</v>
      </c>
      <c r="B954" s="189"/>
      <c r="C954" s="156">
        <v>1707</v>
      </c>
      <c r="D954" s="190">
        <v>0</v>
      </c>
      <c r="E954" s="190"/>
      <c r="F954" s="156">
        <v>1707</v>
      </c>
    </row>
    <row r="955" spans="1:6" ht="15.75" customHeight="1" x14ac:dyDescent="0.2">
      <c r="A955" s="188" t="s">
        <v>453</v>
      </c>
      <c r="B955" s="189"/>
      <c r="C955" s="156">
        <v>11500</v>
      </c>
      <c r="D955" s="190">
        <v>0</v>
      </c>
      <c r="E955" s="190"/>
      <c r="F955" s="156">
        <v>11500</v>
      </c>
    </row>
    <row r="956" spans="1:6" ht="15.75" customHeight="1" x14ac:dyDescent="0.2">
      <c r="A956" s="188" t="s">
        <v>454</v>
      </c>
      <c r="B956" s="189"/>
      <c r="C956" s="156">
        <v>11500</v>
      </c>
      <c r="D956" s="190">
        <v>0</v>
      </c>
      <c r="E956" s="190"/>
      <c r="F956" s="156">
        <v>11500</v>
      </c>
    </row>
    <row r="957" spans="1:6" ht="15.75" customHeight="1" x14ac:dyDescent="0.2">
      <c r="A957" s="188" t="s">
        <v>592</v>
      </c>
      <c r="B957" s="189"/>
      <c r="C957" s="156">
        <v>28939</v>
      </c>
      <c r="D957" s="190">
        <v>0</v>
      </c>
      <c r="E957" s="190"/>
      <c r="F957" s="156">
        <v>28939</v>
      </c>
    </row>
    <row r="958" spans="1:6" ht="15.75" customHeight="1" x14ac:dyDescent="0.2">
      <c r="A958" s="188" t="s">
        <v>593</v>
      </c>
      <c r="B958" s="189"/>
      <c r="C958" s="156">
        <v>28939</v>
      </c>
      <c r="D958" s="190">
        <v>0</v>
      </c>
      <c r="E958" s="190"/>
      <c r="F958" s="156">
        <v>28939</v>
      </c>
    </row>
    <row r="959" spans="1:6" ht="31.5" customHeight="1" x14ac:dyDescent="0.2">
      <c r="A959" s="188" t="s">
        <v>554</v>
      </c>
      <c r="B959" s="189"/>
      <c r="C959" s="156">
        <v>4008</v>
      </c>
      <c r="D959" s="190">
        <v>0</v>
      </c>
      <c r="E959" s="190"/>
      <c r="F959" s="156">
        <v>4008</v>
      </c>
    </row>
    <row r="960" spans="1:6" ht="15.75" customHeight="1" x14ac:dyDescent="0.2">
      <c r="A960" s="188" t="s">
        <v>556</v>
      </c>
      <c r="B960" s="189"/>
      <c r="C960" s="156">
        <v>4008</v>
      </c>
      <c r="D960" s="190">
        <v>0</v>
      </c>
      <c r="E960" s="190"/>
      <c r="F960" s="156">
        <v>4008</v>
      </c>
    </row>
    <row r="961" spans="1:6" ht="14.25" customHeight="1" x14ac:dyDescent="0.25">
      <c r="A961" s="131"/>
      <c r="B961" s="131"/>
      <c r="C961" s="132"/>
      <c r="D961" s="132"/>
      <c r="E961" s="132"/>
      <c r="F961" s="132"/>
    </row>
    <row r="962" spans="1:6" ht="15.75" customHeight="1" x14ac:dyDescent="0.2">
      <c r="A962" s="183" t="s">
        <v>640</v>
      </c>
      <c r="B962" s="189"/>
      <c r="C962" s="189"/>
      <c r="D962" s="189"/>
      <c r="E962" s="189"/>
      <c r="F962" s="189"/>
    </row>
    <row r="963" spans="1:6" ht="15.75" customHeight="1" x14ac:dyDescent="0.2">
      <c r="A963" s="183" t="s">
        <v>446</v>
      </c>
      <c r="B963" s="184"/>
      <c r="C963" s="157">
        <v>52552</v>
      </c>
      <c r="D963" s="185">
        <v>0</v>
      </c>
      <c r="E963" s="185"/>
      <c r="F963" s="157">
        <v>52552</v>
      </c>
    </row>
    <row r="964" spans="1:6" ht="15.75" customHeight="1" x14ac:dyDescent="0.2">
      <c r="A964" s="188" t="s">
        <v>447</v>
      </c>
      <c r="B964" s="189"/>
      <c r="C964" s="156">
        <v>40317</v>
      </c>
      <c r="D964" s="190">
        <v>0</v>
      </c>
      <c r="E964" s="190"/>
      <c r="F964" s="156">
        <v>40317</v>
      </c>
    </row>
    <row r="965" spans="1:6" ht="15.75" customHeight="1" x14ac:dyDescent="0.2">
      <c r="A965" s="188" t="s">
        <v>448</v>
      </c>
      <c r="B965" s="189"/>
      <c r="C965" s="156">
        <v>32619</v>
      </c>
      <c r="D965" s="190">
        <v>0</v>
      </c>
      <c r="E965" s="190"/>
      <c r="F965" s="156">
        <v>32619</v>
      </c>
    </row>
    <row r="966" spans="1:6" ht="15.75" customHeight="1" x14ac:dyDescent="0.2">
      <c r="A966" s="188" t="s">
        <v>449</v>
      </c>
      <c r="B966" s="189"/>
      <c r="C966" s="156">
        <v>7698</v>
      </c>
      <c r="D966" s="190">
        <v>0</v>
      </c>
      <c r="E966" s="190"/>
      <c r="F966" s="156">
        <v>7698</v>
      </c>
    </row>
    <row r="967" spans="1:6" ht="15.75" customHeight="1" x14ac:dyDescent="0.2">
      <c r="A967" s="188" t="s">
        <v>450</v>
      </c>
      <c r="B967" s="189"/>
      <c r="C967" s="156">
        <v>12235</v>
      </c>
      <c r="D967" s="190">
        <v>0</v>
      </c>
      <c r="E967" s="190"/>
      <c r="F967" s="156">
        <v>12235</v>
      </c>
    </row>
    <row r="968" spans="1:6" ht="15.75" customHeight="1" x14ac:dyDescent="0.2">
      <c r="A968" s="188" t="s">
        <v>451</v>
      </c>
      <c r="B968" s="189"/>
      <c r="C968" s="156">
        <v>9885</v>
      </c>
      <c r="D968" s="190">
        <v>0</v>
      </c>
      <c r="E968" s="190"/>
      <c r="F968" s="156">
        <v>9885</v>
      </c>
    </row>
    <row r="969" spans="1:6" ht="31.5" customHeight="1" x14ac:dyDescent="0.2">
      <c r="A969" s="188" t="s">
        <v>452</v>
      </c>
      <c r="B969" s="189"/>
      <c r="C969" s="156">
        <v>2350</v>
      </c>
      <c r="D969" s="190">
        <v>0</v>
      </c>
      <c r="E969" s="190"/>
      <c r="F969" s="156">
        <v>2350</v>
      </c>
    </row>
    <row r="970" spans="1:6" ht="14.25" customHeight="1" x14ac:dyDescent="0.25">
      <c r="A970" s="131"/>
      <c r="B970" s="131"/>
      <c r="C970" s="132"/>
      <c r="D970" s="132"/>
      <c r="E970" s="132"/>
      <c r="F970" s="132"/>
    </row>
    <row r="971" spans="1:6" ht="15.75" customHeight="1" x14ac:dyDescent="0.2">
      <c r="A971" s="183" t="s">
        <v>471</v>
      </c>
      <c r="B971" s="189"/>
      <c r="C971" s="189"/>
      <c r="D971" s="189"/>
      <c r="E971" s="189"/>
      <c r="F971" s="189"/>
    </row>
    <row r="972" spans="1:6" ht="15.75" customHeight="1" x14ac:dyDescent="0.2">
      <c r="A972" s="183" t="s">
        <v>446</v>
      </c>
      <c r="B972" s="184"/>
      <c r="C972" s="157">
        <v>4696578</v>
      </c>
      <c r="D972" s="185">
        <v>-63553</v>
      </c>
      <c r="E972" s="191"/>
      <c r="F972" s="157">
        <v>4633025</v>
      </c>
    </row>
    <row r="973" spans="1:6" ht="15.75" customHeight="1" x14ac:dyDescent="0.2">
      <c r="A973" s="188" t="s">
        <v>447</v>
      </c>
      <c r="B973" s="189"/>
      <c r="C973" s="156">
        <v>2280516</v>
      </c>
      <c r="D973" s="190">
        <v>0</v>
      </c>
      <c r="E973" s="190"/>
      <c r="F973" s="156">
        <v>2280516</v>
      </c>
    </row>
    <row r="974" spans="1:6" ht="15.75" customHeight="1" x14ac:dyDescent="0.2">
      <c r="A974" s="188" t="s">
        <v>448</v>
      </c>
      <c r="B974" s="189"/>
      <c r="C974" s="156">
        <v>1748812</v>
      </c>
      <c r="D974" s="190">
        <v>0</v>
      </c>
      <c r="E974" s="190"/>
      <c r="F974" s="156">
        <v>1748812</v>
      </c>
    </row>
    <row r="975" spans="1:6" ht="15.75" customHeight="1" x14ac:dyDescent="0.2">
      <c r="A975" s="188" t="s">
        <v>449</v>
      </c>
      <c r="B975" s="189"/>
      <c r="C975" s="156">
        <v>531704</v>
      </c>
      <c r="D975" s="190">
        <v>0</v>
      </c>
      <c r="E975" s="190"/>
      <c r="F975" s="156">
        <v>531704</v>
      </c>
    </row>
    <row r="976" spans="1:6" ht="15.75" customHeight="1" x14ac:dyDescent="0.2">
      <c r="A976" s="188" t="s">
        <v>450</v>
      </c>
      <c r="B976" s="189"/>
      <c r="C976" s="156">
        <v>618745</v>
      </c>
      <c r="D976" s="190">
        <v>4700</v>
      </c>
      <c r="E976" s="187"/>
      <c r="F976" s="156">
        <v>623445</v>
      </c>
    </row>
    <row r="977" spans="1:6" ht="15.75" customHeight="1" x14ac:dyDescent="0.2">
      <c r="A977" s="188" t="s">
        <v>548</v>
      </c>
      <c r="B977" s="189"/>
      <c r="C977" s="156">
        <v>13056</v>
      </c>
      <c r="D977" s="190">
        <v>0</v>
      </c>
      <c r="E977" s="190"/>
      <c r="F977" s="156">
        <v>13056</v>
      </c>
    </row>
    <row r="978" spans="1:6" ht="15.75" customHeight="1" x14ac:dyDescent="0.2">
      <c r="A978" s="188" t="s">
        <v>451</v>
      </c>
      <c r="B978" s="189"/>
      <c r="C978" s="156">
        <v>369032</v>
      </c>
      <c r="D978" s="190">
        <v>4600</v>
      </c>
      <c r="E978" s="187"/>
      <c r="F978" s="156">
        <v>373632</v>
      </c>
    </row>
    <row r="979" spans="1:6" ht="31.5" customHeight="1" x14ac:dyDescent="0.2">
      <c r="A979" s="188" t="s">
        <v>452</v>
      </c>
      <c r="B979" s="189"/>
      <c r="C979" s="156">
        <v>236574</v>
      </c>
      <c r="D979" s="190">
        <v>100</v>
      </c>
      <c r="E979" s="187"/>
      <c r="F979" s="156">
        <v>236674</v>
      </c>
    </row>
    <row r="980" spans="1:6" ht="15.75" customHeight="1" x14ac:dyDescent="0.2">
      <c r="A980" s="188" t="s">
        <v>550</v>
      </c>
      <c r="B980" s="189"/>
      <c r="C980" s="156">
        <v>83</v>
      </c>
      <c r="D980" s="190">
        <v>0</v>
      </c>
      <c r="E980" s="190"/>
      <c r="F980" s="156">
        <v>83</v>
      </c>
    </row>
    <row r="981" spans="1:6" ht="15.75" customHeight="1" x14ac:dyDescent="0.2">
      <c r="A981" s="188" t="s">
        <v>453</v>
      </c>
      <c r="B981" s="189"/>
      <c r="C981" s="156">
        <v>31020</v>
      </c>
      <c r="D981" s="190">
        <v>300</v>
      </c>
      <c r="E981" s="187"/>
      <c r="F981" s="156">
        <v>31320</v>
      </c>
    </row>
    <row r="982" spans="1:6" ht="15.75" customHeight="1" x14ac:dyDescent="0.2">
      <c r="A982" s="188" t="s">
        <v>454</v>
      </c>
      <c r="B982" s="189"/>
      <c r="C982" s="156">
        <v>31020</v>
      </c>
      <c r="D982" s="190">
        <v>300</v>
      </c>
      <c r="E982" s="187"/>
      <c r="F982" s="156">
        <v>31320</v>
      </c>
    </row>
    <row r="983" spans="1:6" ht="15.75" customHeight="1" x14ac:dyDescent="0.2">
      <c r="A983" s="188" t="s">
        <v>592</v>
      </c>
      <c r="B983" s="189"/>
      <c r="C983" s="156">
        <v>1766297</v>
      </c>
      <c r="D983" s="190">
        <v>-69104</v>
      </c>
      <c r="E983" s="187"/>
      <c r="F983" s="156">
        <v>1697193</v>
      </c>
    </row>
    <row r="984" spans="1:6" ht="15.75" customHeight="1" x14ac:dyDescent="0.2">
      <c r="A984" s="188" t="s">
        <v>593</v>
      </c>
      <c r="B984" s="189"/>
      <c r="C984" s="156">
        <v>579669</v>
      </c>
      <c r="D984" s="190">
        <v>-13123</v>
      </c>
      <c r="E984" s="187"/>
      <c r="F984" s="156">
        <v>566546</v>
      </c>
    </row>
    <row r="985" spans="1:6" ht="15.75" customHeight="1" x14ac:dyDescent="0.2">
      <c r="A985" s="188" t="s">
        <v>594</v>
      </c>
      <c r="B985" s="189"/>
      <c r="C985" s="156">
        <v>469985</v>
      </c>
      <c r="D985" s="190">
        <v>-95700</v>
      </c>
      <c r="E985" s="187"/>
      <c r="F985" s="156">
        <v>374285</v>
      </c>
    </row>
    <row r="986" spans="1:6" ht="31.5" customHeight="1" x14ac:dyDescent="0.2">
      <c r="A986" s="188" t="s">
        <v>601</v>
      </c>
      <c r="B986" s="189"/>
      <c r="C986" s="156">
        <v>716643</v>
      </c>
      <c r="D986" s="190">
        <v>39719</v>
      </c>
      <c r="E986" s="187"/>
      <c r="F986" s="156">
        <v>756362</v>
      </c>
    </row>
    <row r="987" spans="1:6" ht="31.5" customHeight="1" x14ac:dyDescent="0.2">
      <c r="A987" s="188" t="s">
        <v>684</v>
      </c>
      <c r="B987" s="189"/>
      <c r="C987" s="156">
        <v>0</v>
      </c>
      <c r="D987" s="190">
        <v>551</v>
      </c>
      <c r="E987" s="187"/>
      <c r="F987" s="156">
        <v>551</v>
      </c>
    </row>
    <row r="988" spans="1:6" ht="31.5" customHeight="1" x14ac:dyDescent="0.2">
      <c r="A988" s="188" t="s">
        <v>685</v>
      </c>
      <c r="B988" s="189"/>
      <c r="C988" s="156">
        <v>0</v>
      </c>
      <c r="D988" s="190">
        <v>551</v>
      </c>
      <c r="E988" s="187"/>
      <c r="F988" s="156">
        <v>551</v>
      </c>
    </row>
    <row r="989" spans="1:6" ht="14.25" customHeight="1" x14ac:dyDescent="0.25">
      <c r="A989" s="131"/>
      <c r="B989" s="131"/>
      <c r="C989" s="132"/>
      <c r="D989" s="132"/>
      <c r="E989" s="132"/>
      <c r="F989" s="132"/>
    </row>
    <row r="990" spans="1:6" ht="15.75" customHeight="1" x14ac:dyDescent="0.2">
      <c r="A990" s="183" t="s">
        <v>641</v>
      </c>
      <c r="B990" s="189"/>
      <c r="C990" s="189"/>
      <c r="D990" s="189"/>
      <c r="E990" s="189"/>
      <c r="F990" s="189"/>
    </row>
    <row r="991" spans="1:6" ht="15.75" customHeight="1" x14ac:dyDescent="0.2">
      <c r="A991" s="183" t="s">
        <v>446</v>
      </c>
      <c r="B991" s="184"/>
      <c r="C991" s="157">
        <v>347056</v>
      </c>
      <c r="D991" s="185">
        <v>16030</v>
      </c>
      <c r="E991" s="191"/>
      <c r="F991" s="157">
        <v>363086</v>
      </c>
    </row>
    <row r="992" spans="1:6" ht="15.75" customHeight="1" x14ac:dyDescent="0.2">
      <c r="A992" s="188" t="s">
        <v>447</v>
      </c>
      <c r="B992" s="189"/>
      <c r="C992" s="156">
        <v>245212</v>
      </c>
      <c r="D992" s="190">
        <v>0</v>
      </c>
      <c r="E992" s="190"/>
      <c r="F992" s="156">
        <v>245212</v>
      </c>
    </row>
    <row r="993" spans="1:6" ht="15.75" customHeight="1" x14ac:dyDescent="0.2">
      <c r="A993" s="188" t="s">
        <v>448</v>
      </c>
      <c r="B993" s="189"/>
      <c r="C993" s="156">
        <v>198048</v>
      </c>
      <c r="D993" s="190">
        <v>0</v>
      </c>
      <c r="E993" s="190"/>
      <c r="F993" s="156">
        <v>198048</v>
      </c>
    </row>
    <row r="994" spans="1:6" ht="15.75" customHeight="1" x14ac:dyDescent="0.2">
      <c r="A994" s="188" t="s">
        <v>449</v>
      </c>
      <c r="B994" s="189"/>
      <c r="C994" s="156">
        <v>47164</v>
      </c>
      <c r="D994" s="190">
        <v>0</v>
      </c>
      <c r="E994" s="190"/>
      <c r="F994" s="156">
        <v>47164</v>
      </c>
    </row>
    <row r="995" spans="1:6" ht="15.75" customHeight="1" x14ac:dyDescent="0.2">
      <c r="A995" s="188" t="s">
        <v>450</v>
      </c>
      <c r="B995" s="189"/>
      <c r="C995" s="156">
        <v>8113</v>
      </c>
      <c r="D995" s="190">
        <v>0</v>
      </c>
      <c r="E995" s="190"/>
      <c r="F995" s="156">
        <v>8113</v>
      </c>
    </row>
    <row r="996" spans="1:6" ht="15.75" customHeight="1" x14ac:dyDescent="0.2">
      <c r="A996" s="188" t="s">
        <v>548</v>
      </c>
      <c r="B996" s="189"/>
      <c r="C996" s="156">
        <v>134</v>
      </c>
      <c r="D996" s="190">
        <v>0</v>
      </c>
      <c r="E996" s="190"/>
      <c r="F996" s="156">
        <v>134</v>
      </c>
    </row>
    <row r="997" spans="1:6" ht="15.75" customHeight="1" x14ac:dyDescent="0.2">
      <c r="A997" s="188" t="s">
        <v>451</v>
      </c>
      <c r="B997" s="189"/>
      <c r="C997" s="156">
        <v>5608</v>
      </c>
      <c r="D997" s="190">
        <v>0</v>
      </c>
      <c r="E997" s="190"/>
      <c r="F997" s="156">
        <v>5608</v>
      </c>
    </row>
    <row r="998" spans="1:6" ht="31.5" customHeight="1" x14ac:dyDescent="0.2">
      <c r="A998" s="188" t="s">
        <v>452</v>
      </c>
      <c r="B998" s="189"/>
      <c r="C998" s="156">
        <v>2371</v>
      </c>
      <c r="D998" s="190">
        <v>0</v>
      </c>
      <c r="E998" s="190"/>
      <c r="F998" s="156">
        <v>2371</v>
      </c>
    </row>
    <row r="999" spans="1:6" ht="15.75" customHeight="1" x14ac:dyDescent="0.2">
      <c r="A999" s="188" t="s">
        <v>453</v>
      </c>
      <c r="B999" s="189"/>
      <c r="C999" s="156">
        <v>2900</v>
      </c>
      <c r="D999" s="190">
        <v>0</v>
      </c>
      <c r="E999" s="190"/>
      <c r="F999" s="156">
        <v>2900</v>
      </c>
    </row>
    <row r="1000" spans="1:6" ht="15.75" customHeight="1" x14ac:dyDescent="0.2">
      <c r="A1000" s="188" t="s">
        <v>454</v>
      </c>
      <c r="B1000" s="189"/>
      <c r="C1000" s="156">
        <v>2900</v>
      </c>
      <c r="D1000" s="190">
        <v>0</v>
      </c>
      <c r="E1000" s="190"/>
      <c r="F1000" s="156">
        <v>2900</v>
      </c>
    </row>
    <row r="1001" spans="1:6" ht="15.75" customHeight="1" x14ac:dyDescent="0.2">
      <c r="A1001" s="188" t="s">
        <v>592</v>
      </c>
      <c r="B1001" s="189"/>
      <c r="C1001" s="156">
        <v>90831</v>
      </c>
      <c r="D1001" s="190">
        <v>15479</v>
      </c>
      <c r="E1001" s="187"/>
      <c r="F1001" s="156">
        <v>106310</v>
      </c>
    </row>
    <row r="1002" spans="1:6" ht="15.75" customHeight="1" x14ac:dyDescent="0.2">
      <c r="A1002" s="188" t="s">
        <v>593</v>
      </c>
      <c r="B1002" s="189"/>
      <c r="C1002" s="156">
        <v>6000</v>
      </c>
      <c r="D1002" s="190">
        <v>2000</v>
      </c>
      <c r="E1002" s="187"/>
      <c r="F1002" s="156">
        <v>8000</v>
      </c>
    </row>
    <row r="1003" spans="1:6" ht="15.75" customHeight="1" x14ac:dyDescent="0.2">
      <c r="A1003" s="188" t="s">
        <v>594</v>
      </c>
      <c r="B1003" s="189"/>
      <c r="C1003" s="156">
        <v>24700</v>
      </c>
      <c r="D1003" s="190">
        <v>0</v>
      </c>
      <c r="E1003" s="190"/>
      <c r="F1003" s="156">
        <v>24700</v>
      </c>
    </row>
    <row r="1004" spans="1:6" ht="31.5" customHeight="1" x14ac:dyDescent="0.2">
      <c r="A1004" s="188" t="s">
        <v>601</v>
      </c>
      <c r="B1004" s="189"/>
      <c r="C1004" s="156">
        <v>60131</v>
      </c>
      <c r="D1004" s="190">
        <v>13479</v>
      </c>
      <c r="E1004" s="187"/>
      <c r="F1004" s="156">
        <v>73610</v>
      </c>
    </row>
    <row r="1005" spans="1:6" ht="31.5" customHeight="1" x14ac:dyDescent="0.2">
      <c r="A1005" s="188" t="s">
        <v>684</v>
      </c>
      <c r="B1005" s="189"/>
      <c r="C1005" s="156">
        <v>0</v>
      </c>
      <c r="D1005" s="190">
        <v>551</v>
      </c>
      <c r="E1005" s="187"/>
      <c r="F1005" s="156">
        <v>551</v>
      </c>
    </row>
    <row r="1006" spans="1:6" ht="31.5" customHeight="1" x14ac:dyDescent="0.2">
      <c r="A1006" s="188" t="s">
        <v>685</v>
      </c>
      <c r="B1006" s="189"/>
      <c r="C1006" s="156">
        <v>0</v>
      </c>
      <c r="D1006" s="190">
        <v>551</v>
      </c>
      <c r="E1006" s="187"/>
      <c r="F1006" s="156">
        <v>551</v>
      </c>
    </row>
    <row r="1007" spans="1:6" ht="14.25" customHeight="1" x14ac:dyDescent="0.25">
      <c r="A1007" s="131"/>
      <c r="B1007" s="131"/>
      <c r="C1007" s="132"/>
      <c r="D1007" s="132"/>
      <c r="E1007" s="132"/>
      <c r="F1007" s="132"/>
    </row>
    <row r="1008" spans="1:6" ht="15.75" customHeight="1" x14ac:dyDescent="0.2">
      <c r="A1008" s="183" t="s">
        <v>642</v>
      </c>
      <c r="B1008" s="189"/>
      <c r="C1008" s="189"/>
      <c r="D1008" s="189"/>
      <c r="E1008" s="189"/>
      <c r="F1008" s="189"/>
    </row>
    <row r="1009" spans="1:6" ht="15.75" customHeight="1" x14ac:dyDescent="0.2">
      <c r="A1009" s="183" t="s">
        <v>446</v>
      </c>
      <c r="B1009" s="184"/>
      <c r="C1009" s="157">
        <v>84309</v>
      </c>
      <c r="D1009" s="185">
        <v>0</v>
      </c>
      <c r="E1009" s="185"/>
      <c r="F1009" s="157">
        <v>84309</v>
      </c>
    </row>
    <row r="1010" spans="1:6" ht="15.75" customHeight="1" x14ac:dyDescent="0.2">
      <c r="A1010" s="188" t="s">
        <v>447</v>
      </c>
      <c r="B1010" s="189"/>
      <c r="C1010" s="156">
        <v>65419</v>
      </c>
      <c r="D1010" s="190">
        <v>0</v>
      </c>
      <c r="E1010" s="190"/>
      <c r="F1010" s="156">
        <v>65419</v>
      </c>
    </row>
    <row r="1011" spans="1:6" ht="15.75" customHeight="1" x14ac:dyDescent="0.2">
      <c r="A1011" s="188" t="s">
        <v>448</v>
      </c>
      <c r="B1011" s="189"/>
      <c r="C1011" s="156">
        <v>49866</v>
      </c>
      <c r="D1011" s="190">
        <v>0</v>
      </c>
      <c r="E1011" s="190"/>
      <c r="F1011" s="156">
        <v>49866</v>
      </c>
    </row>
    <row r="1012" spans="1:6" ht="15.75" customHeight="1" x14ac:dyDescent="0.2">
      <c r="A1012" s="188" t="s">
        <v>449</v>
      </c>
      <c r="B1012" s="189"/>
      <c r="C1012" s="156">
        <v>15553</v>
      </c>
      <c r="D1012" s="190">
        <v>0</v>
      </c>
      <c r="E1012" s="190"/>
      <c r="F1012" s="156">
        <v>15553</v>
      </c>
    </row>
    <row r="1013" spans="1:6" ht="15.75" customHeight="1" x14ac:dyDescent="0.2">
      <c r="A1013" s="188" t="s">
        <v>450</v>
      </c>
      <c r="B1013" s="189"/>
      <c r="C1013" s="156">
        <v>18890</v>
      </c>
      <c r="D1013" s="190">
        <v>-300</v>
      </c>
      <c r="E1013" s="187"/>
      <c r="F1013" s="156">
        <v>18590</v>
      </c>
    </row>
    <row r="1014" spans="1:6" ht="15.75" customHeight="1" x14ac:dyDescent="0.2">
      <c r="A1014" s="188" t="s">
        <v>451</v>
      </c>
      <c r="B1014" s="189"/>
      <c r="C1014" s="156">
        <v>11250</v>
      </c>
      <c r="D1014" s="190">
        <v>-300</v>
      </c>
      <c r="E1014" s="187"/>
      <c r="F1014" s="156">
        <v>10950</v>
      </c>
    </row>
    <row r="1015" spans="1:6" ht="31.5" customHeight="1" x14ac:dyDescent="0.2">
      <c r="A1015" s="188" t="s">
        <v>452</v>
      </c>
      <c r="B1015" s="189"/>
      <c r="C1015" s="156">
        <v>7640</v>
      </c>
      <c r="D1015" s="190">
        <v>0</v>
      </c>
      <c r="E1015" s="190"/>
      <c r="F1015" s="156">
        <v>7640</v>
      </c>
    </row>
    <row r="1016" spans="1:6" ht="15.75" customHeight="1" x14ac:dyDescent="0.2">
      <c r="A1016" s="188" t="s">
        <v>453</v>
      </c>
      <c r="B1016" s="189"/>
      <c r="C1016" s="156">
        <v>0</v>
      </c>
      <c r="D1016" s="190">
        <v>300</v>
      </c>
      <c r="E1016" s="187"/>
      <c r="F1016" s="156">
        <v>300</v>
      </c>
    </row>
    <row r="1017" spans="1:6" ht="15.75" customHeight="1" x14ac:dyDescent="0.2">
      <c r="A1017" s="188" t="s">
        <v>454</v>
      </c>
      <c r="B1017" s="189"/>
      <c r="C1017" s="156">
        <v>0</v>
      </c>
      <c r="D1017" s="190">
        <v>300</v>
      </c>
      <c r="E1017" s="187"/>
      <c r="F1017" s="156">
        <v>300</v>
      </c>
    </row>
    <row r="1018" spans="1:6" ht="14.25" customHeight="1" x14ac:dyDescent="0.25">
      <c r="A1018" s="131"/>
      <c r="B1018" s="131"/>
      <c r="C1018" s="132"/>
      <c r="D1018" s="132"/>
      <c r="E1018" s="132"/>
      <c r="F1018" s="132"/>
    </row>
    <row r="1019" spans="1:6" ht="15.75" customHeight="1" x14ac:dyDescent="0.2">
      <c r="A1019" s="183" t="s">
        <v>643</v>
      </c>
      <c r="B1019" s="189"/>
      <c r="C1019" s="189"/>
      <c r="D1019" s="189"/>
      <c r="E1019" s="189"/>
      <c r="F1019" s="189"/>
    </row>
    <row r="1020" spans="1:6" ht="15.75" customHeight="1" x14ac:dyDescent="0.2">
      <c r="A1020" s="183" t="s">
        <v>446</v>
      </c>
      <c r="B1020" s="184"/>
      <c r="C1020" s="157">
        <v>70444</v>
      </c>
      <c r="D1020" s="185">
        <v>0</v>
      </c>
      <c r="E1020" s="185"/>
      <c r="F1020" s="157">
        <v>70444</v>
      </c>
    </row>
    <row r="1021" spans="1:6" ht="15.75" customHeight="1" x14ac:dyDescent="0.2">
      <c r="A1021" s="188" t="s">
        <v>447</v>
      </c>
      <c r="B1021" s="189"/>
      <c r="C1021" s="156">
        <v>57187</v>
      </c>
      <c r="D1021" s="190">
        <v>0</v>
      </c>
      <c r="E1021" s="190"/>
      <c r="F1021" s="156">
        <v>57187</v>
      </c>
    </row>
    <row r="1022" spans="1:6" ht="15.75" customHeight="1" x14ac:dyDescent="0.2">
      <c r="A1022" s="188" t="s">
        <v>448</v>
      </c>
      <c r="B1022" s="189"/>
      <c r="C1022" s="156">
        <v>43752</v>
      </c>
      <c r="D1022" s="190">
        <v>0</v>
      </c>
      <c r="E1022" s="190"/>
      <c r="F1022" s="156">
        <v>43752</v>
      </c>
    </row>
    <row r="1023" spans="1:6" ht="15.75" customHeight="1" x14ac:dyDescent="0.2">
      <c r="A1023" s="188" t="s">
        <v>449</v>
      </c>
      <c r="B1023" s="189"/>
      <c r="C1023" s="156">
        <v>13435</v>
      </c>
      <c r="D1023" s="190">
        <v>0</v>
      </c>
      <c r="E1023" s="190"/>
      <c r="F1023" s="156">
        <v>13435</v>
      </c>
    </row>
    <row r="1024" spans="1:6" ht="15.75" customHeight="1" x14ac:dyDescent="0.2">
      <c r="A1024" s="188" t="s">
        <v>450</v>
      </c>
      <c r="B1024" s="189"/>
      <c r="C1024" s="156">
        <v>13257</v>
      </c>
      <c r="D1024" s="190">
        <v>0</v>
      </c>
      <c r="E1024" s="190"/>
      <c r="F1024" s="156">
        <v>13257</v>
      </c>
    </row>
    <row r="1025" spans="1:6" ht="15.75" customHeight="1" x14ac:dyDescent="0.2">
      <c r="A1025" s="188" t="s">
        <v>548</v>
      </c>
      <c r="B1025" s="189"/>
      <c r="C1025" s="156">
        <v>65</v>
      </c>
      <c r="D1025" s="190">
        <v>0</v>
      </c>
      <c r="E1025" s="190"/>
      <c r="F1025" s="156">
        <v>65</v>
      </c>
    </row>
    <row r="1026" spans="1:6" ht="15.75" customHeight="1" x14ac:dyDescent="0.2">
      <c r="A1026" s="188" t="s">
        <v>451</v>
      </c>
      <c r="B1026" s="189"/>
      <c r="C1026" s="156">
        <v>6016</v>
      </c>
      <c r="D1026" s="190">
        <v>0</v>
      </c>
      <c r="E1026" s="190"/>
      <c r="F1026" s="156">
        <v>6016</v>
      </c>
    </row>
    <row r="1027" spans="1:6" ht="31.5" customHeight="1" x14ac:dyDescent="0.2">
      <c r="A1027" s="188" t="s">
        <v>452</v>
      </c>
      <c r="B1027" s="189"/>
      <c r="C1027" s="156">
        <v>7176</v>
      </c>
      <c r="D1027" s="190">
        <v>0</v>
      </c>
      <c r="E1027" s="190"/>
      <c r="F1027" s="156">
        <v>7176</v>
      </c>
    </row>
    <row r="1028" spans="1:6" ht="14.25" customHeight="1" x14ac:dyDescent="0.25">
      <c r="A1028" s="131"/>
      <c r="B1028" s="131"/>
      <c r="C1028" s="132"/>
      <c r="D1028" s="132"/>
      <c r="E1028" s="132"/>
      <c r="F1028" s="132"/>
    </row>
    <row r="1029" spans="1:6" ht="15.75" customHeight="1" x14ac:dyDescent="0.2">
      <c r="A1029" s="183" t="s">
        <v>644</v>
      </c>
      <c r="B1029" s="189"/>
      <c r="C1029" s="189"/>
      <c r="D1029" s="189"/>
      <c r="E1029" s="189"/>
      <c r="F1029" s="189"/>
    </row>
    <row r="1030" spans="1:6" ht="15.75" customHeight="1" x14ac:dyDescent="0.2">
      <c r="A1030" s="183" t="s">
        <v>446</v>
      </c>
      <c r="B1030" s="184"/>
      <c r="C1030" s="157">
        <v>68523</v>
      </c>
      <c r="D1030" s="185">
        <v>0</v>
      </c>
      <c r="E1030" s="185"/>
      <c r="F1030" s="157">
        <v>68523</v>
      </c>
    </row>
    <row r="1031" spans="1:6" ht="15.75" customHeight="1" x14ac:dyDescent="0.2">
      <c r="A1031" s="188" t="s">
        <v>447</v>
      </c>
      <c r="B1031" s="189"/>
      <c r="C1031" s="156">
        <v>42614</v>
      </c>
      <c r="D1031" s="190">
        <v>0</v>
      </c>
      <c r="E1031" s="190"/>
      <c r="F1031" s="156">
        <v>42614</v>
      </c>
    </row>
    <row r="1032" spans="1:6" ht="15.75" customHeight="1" x14ac:dyDescent="0.2">
      <c r="A1032" s="188" t="s">
        <v>448</v>
      </c>
      <c r="B1032" s="189"/>
      <c r="C1032" s="156">
        <v>32700</v>
      </c>
      <c r="D1032" s="190">
        <v>0</v>
      </c>
      <c r="E1032" s="190"/>
      <c r="F1032" s="156">
        <v>32700</v>
      </c>
    </row>
    <row r="1033" spans="1:6" ht="15.75" customHeight="1" x14ac:dyDescent="0.2">
      <c r="A1033" s="188" t="s">
        <v>449</v>
      </c>
      <c r="B1033" s="189"/>
      <c r="C1033" s="156">
        <v>9914</v>
      </c>
      <c r="D1033" s="190">
        <v>0</v>
      </c>
      <c r="E1033" s="190"/>
      <c r="F1033" s="156">
        <v>9914</v>
      </c>
    </row>
    <row r="1034" spans="1:6" ht="15.75" customHeight="1" x14ac:dyDescent="0.2">
      <c r="A1034" s="188" t="s">
        <v>450</v>
      </c>
      <c r="B1034" s="189"/>
      <c r="C1034" s="156">
        <v>25559</v>
      </c>
      <c r="D1034" s="190">
        <v>0</v>
      </c>
      <c r="E1034" s="190"/>
      <c r="F1034" s="156">
        <v>25559</v>
      </c>
    </row>
    <row r="1035" spans="1:6" ht="15.75" customHeight="1" x14ac:dyDescent="0.2">
      <c r="A1035" s="188" t="s">
        <v>548</v>
      </c>
      <c r="B1035" s="189"/>
      <c r="C1035" s="156">
        <v>64</v>
      </c>
      <c r="D1035" s="190">
        <v>0</v>
      </c>
      <c r="E1035" s="190"/>
      <c r="F1035" s="156">
        <v>64</v>
      </c>
    </row>
    <row r="1036" spans="1:6" ht="15.75" customHeight="1" x14ac:dyDescent="0.2">
      <c r="A1036" s="188" t="s">
        <v>451</v>
      </c>
      <c r="B1036" s="189"/>
      <c r="C1036" s="156">
        <v>13927</v>
      </c>
      <c r="D1036" s="190">
        <v>0</v>
      </c>
      <c r="E1036" s="190"/>
      <c r="F1036" s="156">
        <v>13927</v>
      </c>
    </row>
    <row r="1037" spans="1:6" ht="31.5" customHeight="1" x14ac:dyDescent="0.2">
      <c r="A1037" s="188" t="s">
        <v>452</v>
      </c>
      <c r="B1037" s="189"/>
      <c r="C1037" s="156">
        <v>11568</v>
      </c>
      <c r="D1037" s="190">
        <v>0</v>
      </c>
      <c r="E1037" s="190"/>
      <c r="F1037" s="156">
        <v>11568</v>
      </c>
    </row>
    <row r="1038" spans="1:6" ht="15.75" customHeight="1" x14ac:dyDescent="0.2">
      <c r="A1038" s="188" t="s">
        <v>453</v>
      </c>
      <c r="B1038" s="189"/>
      <c r="C1038" s="156">
        <v>350</v>
      </c>
      <c r="D1038" s="190">
        <v>0</v>
      </c>
      <c r="E1038" s="190"/>
      <c r="F1038" s="156">
        <v>350</v>
      </c>
    </row>
    <row r="1039" spans="1:6" ht="15.75" customHeight="1" x14ac:dyDescent="0.2">
      <c r="A1039" s="188" t="s">
        <v>454</v>
      </c>
      <c r="B1039" s="189"/>
      <c r="C1039" s="156">
        <v>350</v>
      </c>
      <c r="D1039" s="190">
        <v>0</v>
      </c>
      <c r="E1039" s="190"/>
      <c r="F1039" s="156">
        <v>350</v>
      </c>
    </row>
    <row r="1040" spans="1:6" ht="14.25" customHeight="1" x14ac:dyDescent="0.25">
      <c r="A1040" s="131"/>
      <c r="B1040" s="131"/>
      <c r="C1040" s="132"/>
      <c r="D1040" s="132"/>
      <c r="E1040" s="132"/>
      <c r="F1040" s="132"/>
    </row>
    <row r="1041" spans="1:6" ht="15.75" customHeight="1" x14ac:dyDescent="0.2">
      <c r="A1041" s="183" t="s">
        <v>645</v>
      </c>
      <c r="B1041" s="189"/>
      <c r="C1041" s="189"/>
      <c r="D1041" s="189"/>
      <c r="E1041" s="189"/>
      <c r="F1041" s="189"/>
    </row>
    <row r="1042" spans="1:6" ht="15.75" customHeight="1" x14ac:dyDescent="0.2">
      <c r="A1042" s="183" t="s">
        <v>446</v>
      </c>
      <c r="B1042" s="184"/>
      <c r="C1042" s="157">
        <v>111306</v>
      </c>
      <c r="D1042" s="185">
        <v>0</v>
      </c>
      <c r="E1042" s="185"/>
      <c r="F1042" s="157">
        <v>111306</v>
      </c>
    </row>
    <row r="1043" spans="1:6" ht="15.75" customHeight="1" x14ac:dyDescent="0.2">
      <c r="A1043" s="188" t="s">
        <v>447</v>
      </c>
      <c r="B1043" s="189"/>
      <c r="C1043" s="156">
        <v>76577</v>
      </c>
      <c r="D1043" s="190">
        <v>0</v>
      </c>
      <c r="E1043" s="190"/>
      <c r="F1043" s="156">
        <v>76577</v>
      </c>
    </row>
    <row r="1044" spans="1:6" ht="15.75" customHeight="1" x14ac:dyDescent="0.2">
      <c r="A1044" s="188" t="s">
        <v>448</v>
      </c>
      <c r="B1044" s="189"/>
      <c r="C1044" s="156">
        <v>58868</v>
      </c>
      <c r="D1044" s="190">
        <v>0</v>
      </c>
      <c r="E1044" s="190"/>
      <c r="F1044" s="156">
        <v>58868</v>
      </c>
    </row>
    <row r="1045" spans="1:6" ht="15.75" customHeight="1" x14ac:dyDescent="0.2">
      <c r="A1045" s="188" t="s">
        <v>449</v>
      </c>
      <c r="B1045" s="189"/>
      <c r="C1045" s="156">
        <v>17709</v>
      </c>
      <c r="D1045" s="190">
        <v>0</v>
      </c>
      <c r="E1045" s="190"/>
      <c r="F1045" s="156">
        <v>17709</v>
      </c>
    </row>
    <row r="1046" spans="1:6" ht="15.75" customHeight="1" x14ac:dyDescent="0.2">
      <c r="A1046" s="188" t="s">
        <v>450</v>
      </c>
      <c r="B1046" s="189"/>
      <c r="C1046" s="156">
        <v>33629</v>
      </c>
      <c r="D1046" s="190">
        <v>0</v>
      </c>
      <c r="E1046" s="190"/>
      <c r="F1046" s="156">
        <v>33629</v>
      </c>
    </row>
    <row r="1047" spans="1:6" ht="15.75" customHeight="1" x14ac:dyDescent="0.2">
      <c r="A1047" s="188" t="s">
        <v>548</v>
      </c>
      <c r="B1047" s="189"/>
      <c r="C1047" s="156">
        <v>442</v>
      </c>
      <c r="D1047" s="190">
        <v>0</v>
      </c>
      <c r="E1047" s="190"/>
      <c r="F1047" s="156">
        <v>442</v>
      </c>
    </row>
    <row r="1048" spans="1:6" ht="15.75" customHeight="1" x14ac:dyDescent="0.2">
      <c r="A1048" s="188" t="s">
        <v>451</v>
      </c>
      <c r="B1048" s="189"/>
      <c r="C1048" s="156">
        <v>20668</v>
      </c>
      <c r="D1048" s="190">
        <v>0</v>
      </c>
      <c r="E1048" s="190"/>
      <c r="F1048" s="156">
        <v>20668</v>
      </c>
    </row>
    <row r="1049" spans="1:6" ht="31.5" customHeight="1" x14ac:dyDescent="0.2">
      <c r="A1049" s="188" t="s">
        <v>452</v>
      </c>
      <c r="B1049" s="189"/>
      <c r="C1049" s="156">
        <v>12519</v>
      </c>
      <c r="D1049" s="190">
        <v>0</v>
      </c>
      <c r="E1049" s="190"/>
      <c r="F1049" s="156">
        <v>12519</v>
      </c>
    </row>
    <row r="1050" spans="1:6" ht="15.75" customHeight="1" x14ac:dyDescent="0.2">
      <c r="A1050" s="188" t="s">
        <v>453</v>
      </c>
      <c r="B1050" s="189"/>
      <c r="C1050" s="156">
        <v>1100</v>
      </c>
      <c r="D1050" s="190">
        <v>0</v>
      </c>
      <c r="E1050" s="190"/>
      <c r="F1050" s="156">
        <v>1100</v>
      </c>
    </row>
    <row r="1051" spans="1:6" ht="15.75" customHeight="1" x14ac:dyDescent="0.2">
      <c r="A1051" s="188" t="s">
        <v>454</v>
      </c>
      <c r="B1051" s="189"/>
      <c r="C1051" s="156">
        <v>1100</v>
      </c>
      <c r="D1051" s="190">
        <v>0</v>
      </c>
      <c r="E1051" s="190"/>
      <c r="F1051" s="156">
        <v>1100</v>
      </c>
    </row>
    <row r="1052" spans="1:6" ht="14.25" customHeight="1" x14ac:dyDescent="0.25">
      <c r="A1052" s="131"/>
      <c r="B1052" s="131"/>
      <c r="C1052" s="132"/>
      <c r="D1052" s="132"/>
      <c r="E1052" s="132"/>
      <c r="F1052" s="132"/>
    </row>
    <row r="1053" spans="1:6" ht="15.75" customHeight="1" x14ac:dyDescent="0.2">
      <c r="A1053" s="183" t="s">
        <v>646</v>
      </c>
      <c r="B1053" s="189"/>
      <c r="C1053" s="189"/>
      <c r="D1053" s="189"/>
      <c r="E1053" s="189"/>
      <c r="F1053" s="189"/>
    </row>
    <row r="1054" spans="1:6" ht="15.75" customHeight="1" x14ac:dyDescent="0.2">
      <c r="A1054" s="183" t="s">
        <v>446</v>
      </c>
      <c r="B1054" s="184"/>
      <c r="C1054" s="157">
        <v>15511</v>
      </c>
      <c r="D1054" s="185">
        <v>5000</v>
      </c>
      <c r="E1054" s="191"/>
      <c r="F1054" s="157">
        <v>20511</v>
      </c>
    </row>
    <row r="1055" spans="1:6" ht="15.75" customHeight="1" x14ac:dyDescent="0.2">
      <c r="A1055" s="188" t="s">
        <v>447</v>
      </c>
      <c r="B1055" s="189"/>
      <c r="C1055" s="156">
        <v>6184</v>
      </c>
      <c r="D1055" s="190">
        <v>0</v>
      </c>
      <c r="E1055" s="190"/>
      <c r="F1055" s="156">
        <v>6184</v>
      </c>
    </row>
    <row r="1056" spans="1:6" ht="15.75" customHeight="1" x14ac:dyDescent="0.2">
      <c r="A1056" s="188" t="s">
        <v>448</v>
      </c>
      <c r="B1056" s="189"/>
      <c r="C1056" s="156">
        <v>4988</v>
      </c>
      <c r="D1056" s="190">
        <v>0</v>
      </c>
      <c r="E1056" s="190"/>
      <c r="F1056" s="156">
        <v>4988</v>
      </c>
    </row>
    <row r="1057" spans="1:6" ht="15.75" customHeight="1" x14ac:dyDescent="0.2">
      <c r="A1057" s="188" t="s">
        <v>449</v>
      </c>
      <c r="B1057" s="189"/>
      <c r="C1057" s="156">
        <v>1196</v>
      </c>
      <c r="D1057" s="190">
        <v>0</v>
      </c>
      <c r="E1057" s="190"/>
      <c r="F1057" s="156">
        <v>1196</v>
      </c>
    </row>
    <row r="1058" spans="1:6" ht="15.75" customHeight="1" x14ac:dyDescent="0.2">
      <c r="A1058" s="188" t="s">
        <v>450</v>
      </c>
      <c r="B1058" s="189"/>
      <c r="C1058" s="156">
        <v>9327</v>
      </c>
      <c r="D1058" s="190">
        <v>5000</v>
      </c>
      <c r="E1058" s="187"/>
      <c r="F1058" s="156">
        <v>14327</v>
      </c>
    </row>
    <row r="1059" spans="1:6" ht="15.75" customHeight="1" x14ac:dyDescent="0.2">
      <c r="A1059" s="188" t="s">
        <v>548</v>
      </c>
      <c r="B1059" s="189"/>
      <c r="C1059" s="156">
        <v>105</v>
      </c>
      <c r="D1059" s="190">
        <v>0</v>
      </c>
      <c r="E1059" s="190"/>
      <c r="F1059" s="156">
        <v>105</v>
      </c>
    </row>
    <row r="1060" spans="1:6" ht="15.75" customHeight="1" x14ac:dyDescent="0.2">
      <c r="A1060" s="188" t="s">
        <v>451</v>
      </c>
      <c r="B1060" s="189"/>
      <c r="C1060" s="156">
        <v>9222</v>
      </c>
      <c r="D1060" s="190">
        <v>4900</v>
      </c>
      <c r="E1060" s="187"/>
      <c r="F1060" s="156">
        <v>14122</v>
      </c>
    </row>
    <row r="1061" spans="1:6" ht="31.5" customHeight="1" x14ac:dyDescent="0.2">
      <c r="A1061" s="188" t="s">
        <v>452</v>
      </c>
      <c r="B1061" s="189"/>
      <c r="C1061" s="156">
        <v>0</v>
      </c>
      <c r="D1061" s="190">
        <v>100</v>
      </c>
      <c r="E1061" s="187"/>
      <c r="F1061" s="156">
        <v>100</v>
      </c>
    </row>
    <row r="1062" spans="1:6" ht="14.25" customHeight="1" x14ac:dyDescent="0.25">
      <c r="A1062" s="131"/>
      <c r="B1062" s="131"/>
      <c r="C1062" s="132"/>
      <c r="D1062" s="132"/>
      <c r="E1062" s="132"/>
      <c r="F1062" s="132"/>
    </row>
    <row r="1063" spans="1:6" ht="15.75" customHeight="1" x14ac:dyDescent="0.2">
      <c r="A1063" s="183" t="s">
        <v>647</v>
      </c>
      <c r="B1063" s="189"/>
      <c r="C1063" s="189"/>
      <c r="D1063" s="189"/>
      <c r="E1063" s="189"/>
      <c r="F1063" s="189"/>
    </row>
    <row r="1064" spans="1:6" ht="15.75" customHeight="1" x14ac:dyDescent="0.2">
      <c r="A1064" s="183" t="s">
        <v>446</v>
      </c>
      <c r="B1064" s="184"/>
      <c r="C1064" s="157">
        <v>265470</v>
      </c>
      <c r="D1064" s="185">
        <v>0</v>
      </c>
      <c r="E1064" s="185"/>
      <c r="F1064" s="157">
        <v>265470</v>
      </c>
    </row>
    <row r="1065" spans="1:6" ht="15.75" customHeight="1" x14ac:dyDescent="0.2">
      <c r="A1065" s="188" t="s">
        <v>447</v>
      </c>
      <c r="B1065" s="189"/>
      <c r="C1065" s="156">
        <v>233946</v>
      </c>
      <c r="D1065" s="190">
        <v>0</v>
      </c>
      <c r="E1065" s="190"/>
      <c r="F1065" s="156">
        <v>233946</v>
      </c>
    </row>
    <row r="1066" spans="1:6" ht="15.75" customHeight="1" x14ac:dyDescent="0.2">
      <c r="A1066" s="188" t="s">
        <v>448</v>
      </c>
      <c r="B1066" s="189"/>
      <c r="C1066" s="156">
        <v>178352</v>
      </c>
      <c r="D1066" s="190">
        <v>0</v>
      </c>
      <c r="E1066" s="190"/>
      <c r="F1066" s="156">
        <v>178352</v>
      </c>
    </row>
    <row r="1067" spans="1:6" ht="15.75" customHeight="1" x14ac:dyDescent="0.2">
      <c r="A1067" s="188" t="s">
        <v>449</v>
      </c>
      <c r="B1067" s="189"/>
      <c r="C1067" s="156">
        <v>55594</v>
      </c>
      <c r="D1067" s="190">
        <v>0</v>
      </c>
      <c r="E1067" s="190"/>
      <c r="F1067" s="156">
        <v>55594</v>
      </c>
    </row>
    <row r="1068" spans="1:6" ht="15.75" customHeight="1" x14ac:dyDescent="0.2">
      <c r="A1068" s="188" t="s">
        <v>450</v>
      </c>
      <c r="B1068" s="189"/>
      <c r="C1068" s="156">
        <v>30074</v>
      </c>
      <c r="D1068" s="190">
        <v>0</v>
      </c>
      <c r="E1068" s="190"/>
      <c r="F1068" s="156">
        <v>30074</v>
      </c>
    </row>
    <row r="1069" spans="1:6" ht="15.75" customHeight="1" x14ac:dyDescent="0.2">
      <c r="A1069" s="188" t="s">
        <v>548</v>
      </c>
      <c r="B1069" s="189"/>
      <c r="C1069" s="156">
        <v>220</v>
      </c>
      <c r="D1069" s="190">
        <v>0</v>
      </c>
      <c r="E1069" s="190"/>
      <c r="F1069" s="156">
        <v>220</v>
      </c>
    </row>
    <row r="1070" spans="1:6" ht="15.75" customHeight="1" x14ac:dyDescent="0.2">
      <c r="A1070" s="188" t="s">
        <v>451</v>
      </c>
      <c r="B1070" s="189"/>
      <c r="C1070" s="156">
        <v>25320</v>
      </c>
      <c r="D1070" s="190">
        <v>0</v>
      </c>
      <c r="E1070" s="190"/>
      <c r="F1070" s="156">
        <v>25320</v>
      </c>
    </row>
    <row r="1071" spans="1:6" ht="31.5" customHeight="1" x14ac:dyDescent="0.2">
      <c r="A1071" s="188" t="s">
        <v>452</v>
      </c>
      <c r="B1071" s="189"/>
      <c r="C1071" s="156">
        <v>4534</v>
      </c>
      <c r="D1071" s="190">
        <v>0</v>
      </c>
      <c r="E1071" s="190"/>
      <c r="F1071" s="156">
        <v>4534</v>
      </c>
    </row>
    <row r="1072" spans="1:6" ht="15.75" customHeight="1" x14ac:dyDescent="0.2">
      <c r="A1072" s="188" t="s">
        <v>453</v>
      </c>
      <c r="B1072" s="189"/>
      <c r="C1072" s="156">
        <v>1450</v>
      </c>
      <c r="D1072" s="190">
        <v>0</v>
      </c>
      <c r="E1072" s="190"/>
      <c r="F1072" s="156">
        <v>1450</v>
      </c>
    </row>
    <row r="1073" spans="1:6" ht="15.75" customHeight="1" x14ac:dyDescent="0.2">
      <c r="A1073" s="188" t="s">
        <v>454</v>
      </c>
      <c r="B1073" s="189"/>
      <c r="C1073" s="156">
        <v>1450</v>
      </c>
      <c r="D1073" s="190">
        <v>0</v>
      </c>
      <c r="E1073" s="190"/>
      <c r="F1073" s="156">
        <v>1450</v>
      </c>
    </row>
    <row r="1074" spans="1:6" ht="14.25" customHeight="1" x14ac:dyDescent="0.25">
      <c r="A1074" s="131"/>
      <c r="B1074" s="131"/>
      <c r="C1074" s="132"/>
      <c r="D1074" s="132"/>
      <c r="E1074" s="132"/>
      <c r="F1074" s="132"/>
    </row>
    <row r="1075" spans="1:6" ht="15.75" customHeight="1" x14ac:dyDescent="0.2">
      <c r="A1075" s="183" t="s">
        <v>648</v>
      </c>
      <c r="B1075" s="189"/>
      <c r="C1075" s="189"/>
      <c r="D1075" s="189"/>
      <c r="E1075" s="189"/>
      <c r="F1075" s="189"/>
    </row>
    <row r="1076" spans="1:6" ht="15.75" customHeight="1" x14ac:dyDescent="0.2">
      <c r="A1076" s="183" t="s">
        <v>446</v>
      </c>
      <c r="B1076" s="184"/>
      <c r="C1076" s="157">
        <v>178065</v>
      </c>
      <c r="D1076" s="185">
        <v>9000</v>
      </c>
      <c r="E1076" s="191"/>
      <c r="F1076" s="157">
        <v>187065</v>
      </c>
    </row>
    <row r="1077" spans="1:6" ht="15.75" customHeight="1" x14ac:dyDescent="0.2">
      <c r="A1077" s="188" t="s">
        <v>592</v>
      </c>
      <c r="B1077" s="189"/>
      <c r="C1077" s="156">
        <v>178065</v>
      </c>
      <c r="D1077" s="190">
        <v>9000</v>
      </c>
      <c r="E1077" s="187"/>
      <c r="F1077" s="156">
        <v>187065</v>
      </c>
    </row>
    <row r="1078" spans="1:6" ht="31.5" customHeight="1" x14ac:dyDescent="0.2">
      <c r="A1078" s="188" t="s">
        <v>601</v>
      </c>
      <c r="B1078" s="189"/>
      <c r="C1078" s="156">
        <v>178065</v>
      </c>
      <c r="D1078" s="190">
        <v>9000</v>
      </c>
      <c r="E1078" s="187"/>
      <c r="F1078" s="156">
        <v>187065</v>
      </c>
    </row>
    <row r="1079" spans="1:6" ht="14.25" customHeight="1" x14ac:dyDescent="0.25">
      <c r="A1079" s="131"/>
      <c r="B1079" s="131"/>
      <c r="C1079" s="132"/>
      <c r="D1079" s="132"/>
      <c r="E1079" s="132"/>
      <c r="F1079" s="132"/>
    </row>
    <row r="1080" spans="1:6" ht="15.75" customHeight="1" x14ac:dyDescent="0.2">
      <c r="A1080" s="183" t="s">
        <v>649</v>
      </c>
      <c r="B1080" s="189"/>
      <c r="C1080" s="189"/>
      <c r="D1080" s="189"/>
      <c r="E1080" s="189"/>
      <c r="F1080" s="189"/>
    </row>
    <row r="1081" spans="1:6" ht="15.75" customHeight="1" x14ac:dyDescent="0.2">
      <c r="A1081" s="183" t="s">
        <v>446</v>
      </c>
      <c r="B1081" s="184"/>
      <c r="C1081" s="157">
        <v>597980</v>
      </c>
      <c r="D1081" s="185">
        <v>16417</v>
      </c>
      <c r="E1081" s="191"/>
      <c r="F1081" s="157">
        <v>614397</v>
      </c>
    </row>
    <row r="1082" spans="1:6" ht="15.75" customHeight="1" x14ac:dyDescent="0.2">
      <c r="A1082" s="188" t="s">
        <v>447</v>
      </c>
      <c r="B1082" s="189"/>
      <c r="C1082" s="156">
        <v>3137</v>
      </c>
      <c r="D1082" s="190">
        <v>0</v>
      </c>
      <c r="E1082" s="190"/>
      <c r="F1082" s="156">
        <v>3137</v>
      </c>
    </row>
    <row r="1083" spans="1:6" ht="15.75" customHeight="1" x14ac:dyDescent="0.2">
      <c r="A1083" s="188" t="s">
        <v>448</v>
      </c>
      <c r="B1083" s="189"/>
      <c r="C1083" s="156">
        <v>2538</v>
      </c>
      <c r="D1083" s="190">
        <v>0</v>
      </c>
      <c r="E1083" s="190"/>
      <c r="F1083" s="156">
        <v>2538</v>
      </c>
    </row>
    <row r="1084" spans="1:6" ht="15.75" customHeight="1" x14ac:dyDescent="0.2">
      <c r="A1084" s="188" t="s">
        <v>449</v>
      </c>
      <c r="B1084" s="189"/>
      <c r="C1084" s="156">
        <v>599</v>
      </c>
      <c r="D1084" s="190">
        <v>0</v>
      </c>
      <c r="E1084" s="190"/>
      <c r="F1084" s="156">
        <v>599</v>
      </c>
    </row>
    <row r="1085" spans="1:6" ht="15.75" customHeight="1" x14ac:dyDescent="0.2">
      <c r="A1085" s="188" t="s">
        <v>592</v>
      </c>
      <c r="B1085" s="189"/>
      <c r="C1085" s="156">
        <v>594843</v>
      </c>
      <c r="D1085" s="190">
        <v>16417</v>
      </c>
      <c r="E1085" s="187"/>
      <c r="F1085" s="156">
        <v>611260</v>
      </c>
    </row>
    <row r="1086" spans="1:6" ht="15.75" customHeight="1" x14ac:dyDescent="0.2">
      <c r="A1086" s="188" t="s">
        <v>593</v>
      </c>
      <c r="B1086" s="189"/>
      <c r="C1086" s="156">
        <v>119927</v>
      </c>
      <c r="D1086" s="190">
        <v>4877</v>
      </c>
      <c r="E1086" s="187"/>
      <c r="F1086" s="156">
        <v>124804</v>
      </c>
    </row>
    <row r="1087" spans="1:6" ht="15.75" customHeight="1" x14ac:dyDescent="0.2">
      <c r="A1087" s="188" t="s">
        <v>594</v>
      </c>
      <c r="B1087" s="189"/>
      <c r="C1087" s="156">
        <v>28000</v>
      </c>
      <c r="D1087" s="190">
        <v>-5700</v>
      </c>
      <c r="E1087" s="187"/>
      <c r="F1087" s="156">
        <v>22300</v>
      </c>
    </row>
    <row r="1088" spans="1:6" ht="31.5" customHeight="1" x14ac:dyDescent="0.2">
      <c r="A1088" s="188" t="s">
        <v>601</v>
      </c>
      <c r="B1088" s="189"/>
      <c r="C1088" s="156">
        <v>446916</v>
      </c>
      <c r="D1088" s="190">
        <v>17240</v>
      </c>
      <c r="E1088" s="187"/>
      <c r="F1088" s="156">
        <v>464156</v>
      </c>
    </row>
    <row r="1089" spans="1:6" ht="14.25" customHeight="1" x14ac:dyDescent="0.25">
      <c r="A1089" s="131"/>
      <c r="B1089" s="131"/>
      <c r="C1089" s="132"/>
      <c r="D1089" s="132"/>
      <c r="E1089" s="132"/>
      <c r="F1089" s="132"/>
    </row>
    <row r="1090" spans="1:6" ht="15.75" customHeight="1" x14ac:dyDescent="0.2">
      <c r="A1090" s="183" t="s">
        <v>650</v>
      </c>
      <c r="B1090" s="189"/>
      <c r="C1090" s="189"/>
      <c r="D1090" s="189"/>
      <c r="E1090" s="189"/>
      <c r="F1090" s="189"/>
    </row>
    <row r="1091" spans="1:6" ht="15.75" customHeight="1" x14ac:dyDescent="0.2">
      <c r="A1091" s="183" t="s">
        <v>446</v>
      </c>
      <c r="B1091" s="184"/>
      <c r="C1091" s="157">
        <v>168978</v>
      </c>
      <c r="D1091" s="185">
        <v>0</v>
      </c>
      <c r="E1091" s="185"/>
      <c r="F1091" s="157">
        <v>168978</v>
      </c>
    </row>
    <row r="1092" spans="1:6" ht="15.75" customHeight="1" x14ac:dyDescent="0.2">
      <c r="A1092" s="188" t="s">
        <v>447</v>
      </c>
      <c r="B1092" s="189"/>
      <c r="C1092" s="156">
        <v>142842</v>
      </c>
      <c r="D1092" s="190">
        <v>0</v>
      </c>
      <c r="E1092" s="190"/>
      <c r="F1092" s="156">
        <v>142842</v>
      </c>
    </row>
    <row r="1093" spans="1:6" ht="15.75" customHeight="1" x14ac:dyDescent="0.2">
      <c r="A1093" s="188" t="s">
        <v>448</v>
      </c>
      <c r="B1093" s="189"/>
      <c r="C1093" s="156">
        <v>108878</v>
      </c>
      <c r="D1093" s="190">
        <v>0</v>
      </c>
      <c r="E1093" s="190"/>
      <c r="F1093" s="156">
        <v>108878</v>
      </c>
    </row>
    <row r="1094" spans="1:6" ht="15.75" customHeight="1" x14ac:dyDescent="0.2">
      <c r="A1094" s="188" t="s">
        <v>449</v>
      </c>
      <c r="B1094" s="189"/>
      <c r="C1094" s="156">
        <v>33964</v>
      </c>
      <c r="D1094" s="190">
        <v>0</v>
      </c>
      <c r="E1094" s="190"/>
      <c r="F1094" s="156">
        <v>33964</v>
      </c>
    </row>
    <row r="1095" spans="1:6" ht="15.75" customHeight="1" x14ac:dyDescent="0.2">
      <c r="A1095" s="188" t="s">
        <v>450</v>
      </c>
      <c r="B1095" s="189"/>
      <c r="C1095" s="156">
        <v>24505</v>
      </c>
      <c r="D1095" s="190">
        <v>0</v>
      </c>
      <c r="E1095" s="190"/>
      <c r="F1095" s="156">
        <v>24505</v>
      </c>
    </row>
    <row r="1096" spans="1:6" ht="15.75" customHeight="1" x14ac:dyDescent="0.2">
      <c r="A1096" s="188" t="s">
        <v>548</v>
      </c>
      <c r="B1096" s="189"/>
      <c r="C1096" s="156">
        <v>1423</v>
      </c>
      <c r="D1096" s="190">
        <v>0</v>
      </c>
      <c r="E1096" s="190"/>
      <c r="F1096" s="156">
        <v>1423</v>
      </c>
    </row>
    <row r="1097" spans="1:6" ht="15.75" customHeight="1" x14ac:dyDescent="0.2">
      <c r="A1097" s="188" t="s">
        <v>451</v>
      </c>
      <c r="B1097" s="189"/>
      <c r="C1097" s="156">
        <v>17298</v>
      </c>
      <c r="D1097" s="190">
        <v>0</v>
      </c>
      <c r="E1097" s="190"/>
      <c r="F1097" s="156">
        <v>17298</v>
      </c>
    </row>
    <row r="1098" spans="1:6" ht="31.5" customHeight="1" x14ac:dyDescent="0.2">
      <c r="A1098" s="188" t="s">
        <v>452</v>
      </c>
      <c r="B1098" s="189"/>
      <c r="C1098" s="156">
        <v>5784</v>
      </c>
      <c r="D1098" s="190">
        <v>0</v>
      </c>
      <c r="E1098" s="190"/>
      <c r="F1098" s="156">
        <v>5784</v>
      </c>
    </row>
    <row r="1099" spans="1:6" ht="15.75" customHeight="1" x14ac:dyDescent="0.2">
      <c r="A1099" s="188" t="s">
        <v>453</v>
      </c>
      <c r="B1099" s="189"/>
      <c r="C1099" s="156">
        <v>1631</v>
      </c>
      <c r="D1099" s="190">
        <v>0</v>
      </c>
      <c r="E1099" s="190"/>
      <c r="F1099" s="156">
        <v>1631</v>
      </c>
    </row>
    <row r="1100" spans="1:6" ht="15.75" customHeight="1" x14ac:dyDescent="0.2">
      <c r="A1100" s="188" t="s">
        <v>454</v>
      </c>
      <c r="B1100" s="189"/>
      <c r="C1100" s="156">
        <v>1631</v>
      </c>
      <c r="D1100" s="190">
        <v>0</v>
      </c>
      <c r="E1100" s="190"/>
      <c r="F1100" s="156">
        <v>1631</v>
      </c>
    </row>
    <row r="1101" spans="1:6" ht="14.25" customHeight="1" x14ac:dyDescent="0.25">
      <c r="A1101" s="131"/>
      <c r="B1101" s="131"/>
      <c r="C1101" s="132"/>
      <c r="D1101" s="132"/>
      <c r="E1101" s="132"/>
      <c r="F1101" s="132"/>
    </row>
    <row r="1102" spans="1:6" ht="31.5" customHeight="1" x14ac:dyDescent="0.2">
      <c r="A1102" s="183" t="s">
        <v>651</v>
      </c>
      <c r="B1102" s="189"/>
      <c r="C1102" s="189"/>
      <c r="D1102" s="189"/>
      <c r="E1102" s="189"/>
      <c r="F1102" s="189"/>
    </row>
    <row r="1103" spans="1:6" ht="15.75" customHeight="1" x14ac:dyDescent="0.2">
      <c r="A1103" s="183" t="s">
        <v>446</v>
      </c>
      <c r="B1103" s="184"/>
      <c r="C1103" s="157">
        <v>22097</v>
      </c>
      <c r="D1103" s="185">
        <v>0</v>
      </c>
      <c r="E1103" s="185"/>
      <c r="F1103" s="157">
        <v>22097</v>
      </c>
    </row>
    <row r="1104" spans="1:6" ht="15.75" customHeight="1" x14ac:dyDescent="0.2">
      <c r="A1104" s="188" t="s">
        <v>447</v>
      </c>
      <c r="B1104" s="189"/>
      <c r="C1104" s="156">
        <v>2539</v>
      </c>
      <c r="D1104" s="190">
        <v>0</v>
      </c>
      <c r="E1104" s="190"/>
      <c r="F1104" s="156">
        <v>2539</v>
      </c>
    </row>
    <row r="1105" spans="1:6" ht="15.75" customHeight="1" x14ac:dyDescent="0.2">
      <c r="A1105" s="188" t="s">
        <v>448</v>
      </c>
      <c r="B1105" s="189"/>
      <c r="C1105" s="156">
        <v>2053</v>
      </c>
      <c r="D1105" s="190">
        <v>0</v>
      </c>
      <c r="E1105" s="190"/>
      <c r="F1105" s="156">
        <v>2053</v>
      </c>
    </row>
    <row r="1106" spans="1:6" ht="15.75" customHeight="1" x14ac:dyDescent="0.2">
      <c r="A1106" s="188" t="s">
        <v>449</v>
      </c>
      <c r="B1106" s="189"/>
      <c r="C1106" s="156">
        <v>486</v>
      </c>
      <c r="D1106" s="190">
        <v>0</v>
      </c>
      <c r="E1106" s="190"/>
      <c r="F1106" s="156">
        <v>486</v>
      </c>
    </row>
    <row r="1107" spans="1:6" ht="15.75" customHeight="1" x14ac:dyDescent="0.2">
      <c r="A1107" s="188" t="s">
        <v>450</v>
      </c>
      <c r="B1107" s="189"/>
      <c r="C1107" s="156">
        <v>19558</v>
      </c>
      <c r="D1107" s="190">
        <v>0</v>
      </c>
      <c r="E1107" s="190"/>
      <c r="F1107" s="156">
        <v>19558</v>
      </c>
    </row>
    <row r="1108" spans="1:6" ht="15.75" customHeight="1" x14ac:dyDescent="0.2">
      <c r="A1108" s="188" t="s">
        <v>451</v>
      </c>
      <c r="B1108" s="189"/>
      <c r="C1108" s="156">
        <v>19558</v>
      </c>
      <c r="D1108" s="190">
        <v>0</v>
      </c>
      <c r="E1108" s="190"/>
      <c r="F1108" s="156">
        <v>19558</v>
      </c>
    </row>
    <row r="1109" spans="1:6" ht="14.25" customHeight="1" x14ac:dyDescent="0.25">
      <c r="A1109" s="131"/>
      <c r="B1109" s="131"/>
      <c r="C1109" s="132"/>
      <c r="D1109" s="132"/>
      <c r="E1109" s="132"/>
      <c r="F1109" s="132"/>
    </row>
    <row r="1110" spans="1:6" ht="15.75" customHeight="1" x14ac:dyDescent="0.2">
      <c r="A1110" s="183" t="s">
        <v>652</v>
      </c>
      <c r="B1110" s="189"/>
      <c r="C1110" s="189"/>
      <c r="D1110" s="189"/>
      <c r="E1110" s="189"/>
      <c r="F1110" s="189"/>
    </row>
    <row r="1111" spans="1:6" ht="15.75" customHeight="1" x14ac:dyDescent="0.2">
      <c r="A1111" s="183" t="s">
        <v>446</v>
      </c>
      <c r="B1111" s="184"/>
      <c r="C1111" s="157">
        <v>70186</v>
      </c>
      <c r="D1111" s="185">
        <v>0</v>
      </c>
      <c r="E1111" s="185"/>
      <c r="F1111" s="157">
        <v>70186</v>
      </c>
    </row>
    <row r="1112" spans="1:6" ht="15.75" customHeight="1" x14ac:dyDescent="0.2">
      <c r="A1112" s="188" t="s">
        <v>447</v>
      </c>
      <c r="B1112" s="189"/>
      <c r="C1112" s="156">
        <v>1449</v>
      </c>
      <c r="D1112" s="190">
        <v>0</v>
      </c>
      <c r="E1112" s="190"/>
      <c r="F1112" s="156">
        <v>1449</v>
      </c>
    </row>
    <row r="1113" spans="1:6" ht="15.75" customHeight="1" x14ac:dyDescent="0.2">
      <c r="A1113" s="188" t="s">
        <v>448</v>
      </c>
      <c r="B1113" s="189"/>
      <c r="C1113" s="156">
        <v>1160</v>
      </c>
      <c r="D1113" s="190">
        <v>0</v>
      </c>
      <c r="E1113" s="190"/>
      <c r="F1113" s="156">
        <v>1160</v>
      </c>
    </row>
    <row r="1114" spans="1:6" ht="15.75" customHeight="1" x14ac:dyDescent="0.2">
      <c r="A1114" s="188" t="s">
        <v>449</v>
      </c>
      <c r="B1114" s="189"/>
      <c r="C1114" s="156">
        <v>289</v>
      </c>
      <c r="D1114" s="190">
        <v>0</v>
      </c>
      <c r="E1114" s="190"/>
      <c r="F1114" s="156">
        <v>289</v>
      </c>
    </row>
    <row r="1115" spans="1:6" ht="15.75" customHeight="1" x14ac:dyDescent="0.2">
      <c r="A1115" s="188" t="s">
        <v>450</v>
      </c>
      <c r="B1115" s="189"/>
      <c r="C1115" s="156">
        <v>20000</v>
      </c>
      <c r="D1115" s="190">
        <v>0</v>
      </c>
      <c r="E1115" s="190"/>
      <c r="F1115" s="156">
        <v>20000</v>
      </c>
    </row>
    <row r="1116" spans="1:6" ht="15.75" customHeight="1" x14ac:dyDescent="0.2">
      <c r="A1116" s="188" t="s">
        <v>451</v>
      </c>
      <c r="B1116" s="189"/>
      <c r="C1116" s="156">
        <v>18000</v>
      </c>
      <c r="D1116" s="190">
        <v>0</v>
      </c>
      <c r="E1116" s="190"/>
      <c r="F1116" s="156">
        <v>18000</v>
      </c>
    </row>
    <row r="1117" spans="1:6" ht="31.5" customHeight="1" x14ac:dyDescent="0.2">
      <c r="A1117" s="188" t="s">
        <v>452</v>
      </c>
      <c r="B1117" s="189"/>
      <c r="C1117" s="156">
        <v>2000</v>
      </c>
      <c r="D1117" s="190">
        <v>0</v>
      </c>
      <c r="E1117" s="190"/>
      <c r="F1117" s="156">
        <v>2000</v>
      </c>
    </row>
    <row r="1118" spans="1:6" ht="15.75" customHeight="1" x14ac:dyDescent="0.2">
      <c r="A1118" s="188" t="s">
        <v>592</v>
      </c>
      <c r="B1118" s="189"/>
      <c r="C1118" s="156">
        <v>48737</v>
      </c>
      <c r="D1118" s="190">
        <v>0</v>
      </c>
      <c r="E1118" s="190"/>
      <c r="F1118" s="156">
        <v>48737</v>
      </c>
    </row>
    <row r="1119" spans="1:6" ht="15.75" customHeight="1" x14ac:dyDescent="0.2">
      <c r="A1119" s="188" t="s">
        <v>593</v>
      </c>
      <c r="B1119" s="189"/>
      <c r="C1119" s="156">
        <v>48737</v>
      </c>
      <c r="D1119" s="190">
        <v>0</v>
      </c>
      <c r="E1119" s="190"/>
      <c r="F1119" s="156">
        <v>48737</v>
      </c>
    </row>
    <row r="1120" spans="1:6" ht="14.25" customHeight="1" x14ac:dyDescent="0.25">
      <c r="A1120" s="131"/>
      <c r="B1120" s="131"/>
      <c r="C1120" s="132"/>
      <c r="D1120" s="132"/>
      <c r="E1120" s="132"/>
      <c r="F1120" s="132"/>
    </row>
    <row r="1121" spans="1:6" ht="15.75" customHeight="1" x14ac:dyDescent="0.2">
      <c r="A1121" s="183" t="s">
        <v>653</v>
      </c>
      <c r="B1121" s="189"/>
      <c r="C1121" s="189"/>
      <c r="D1121" s="189"/>
      <c r="E1121" s="189"/>
      <c r="F1121" s="189"/>
    </row>
    <row r="1122" spans="1:6" ht="15.75" customHeight="1" x14ac:dyDescent="0.2">
      <c r="A1122" s="183" t="s">
        <v>446</v>
      </c>
      <c r="B1122" s="184"/>
      <c r="C1122" s="157">
        <v>500000</v>
      </c>
      <c r="D1122" s="185">
        <v>-110000</v>
      </c>
      <c r="E1122" s="191"/>
      <c r="F1122" s="157">
        <v>390000</v>
      </c>
    </row>
    <row r="1123" spans="1:6" ht="15.75" customHeight="1" x14ac:dyDescent="0.2">
      <c r="A1123" s="188" t="s">
        <v>592</v>
      </c>
      <c r="B1123" s="189"/>
      <c r="C1123" s="156">
        <v>500000</v>
      </c>
      <c r="D1123" s="190">
        <v>-110000</v>
      </c>
      <c r="E1123" s="187"/>
      <c r="F1123" s="156">
        <v>390000</v>
      </c>
    </row>
    <row r="1124" spans="1:6" ht="15.75" customHeight="1" x14ac:dyDescent="0.2">
      <c r="A1124" s="188" t="s">
        <v>593</v>
      </c>
      <c r="B1124" s="189"/>
      <c r="C1124" s="156">
        <v>95000</v>
      </c>
      <c r="D1124" s="190">
        <v>-20000</v>
      </c>
      <c r="E1124" s="187"/>
      <c r="F1124" s="156">
        <v>75000</v>
      </c>
    </row>
    <row r="1125" spans="1:6" ht="15.75" customHeight="1" x14ac:dyDescent="0.2">
      <c r="A1125" s="188" t="s">
        <v>594</v>
      </c>
      <c r="B1125" s="189"/>
      <c r="C1125" s="156">
        <v>405000</v>
      </c>
      <c r="D1125" s="190">
        <v>-90000</v>
      </c>
      <c r="E1125" s="187"/>
      <c r="F1125" s="156">
        <v>315000</v>
      </c>
    </row>
    <row r="1126" spans="1:6" ht="14.25" customHeight="1" x14ac:dyDescent="0.25">
      <c r="A1126" s="131"/>
      <c r="B1126" s="131"/>
      <c r="C1126" s="132"/>
      <c r="D1126" s="132"/>
      <c r="E1126" s="132"/>
      <c r="F1126" s="132"/>
    </row>
    <row r="1127" spans="1:6" ht="15.75" customHeight="1" x14ac:dyDescent="0.2">
      <c r="A1127" s="183" t="s">
        <v>654</v>
      </c>
      <c r="B1127" s="189"/>
      <c r="C1127" s="189"/>
      <c r="D1127" s="189"/>
      <c r="E1127" s="189"/>
      <c r="F1127" s="189"/>
    </row>
    <row r="1128" spans="1:6" ht="15.75" customHeight="1" x14ac:dyDescent="0.2">
      <c r="A1128" s="183" t="s">
        <v>446</v>
      </c>
      <c r="B1128" s="184"/>
      <c r="C1128" s="157">
        <v>9033</v>
      </c>
      <c r="D1128" s="185">
        <v>0</v>
      </c>
      <c r="E1128" s="185"/>
      <c r="F1128" s="157">
        <v>9033</v>
      </c>
    </row>
    <row r="1129" spans="1:6" ht="15.75" customHeight="1" x14ac:dyDescent="0.2">
      <c r="A1129" s="188" t="s">
        <v>450</v>
      </c>
      <c r="B1129" s="189"/>
      <c r="C1129" s="156">
        <v>1748</v>
      </c>
      <c r="D1129" s="190">
        <v>0</v>
      </c>
      <c r="E1129" s="190"/>
      <c r="F1129" s="156">
        <v>1748</v>
      </c>
    </row>
    <row r="1130" spans="1:6" ht="15.75" customHeight="1" x14ac:dyDescent="0.2">
      <c r="A1130" s="188" t="s">
        <v>451</v>
      </c>
      <c r="B1130" s="189"/>
      <c r="C1130" s="156">
        <v>1061</v>
      </c>
      <c r="D1130" s="190">
        <v>0</v>
      </c>
      <c r="E1130" s="190"/>
      <c r="F1130" s="156">
        <v>1061</v>
      </c>
    </row>
    <row r="1131" spans="1:6" ht="31.5" customHeight="1" x14ac:dyDescent="0.2">
      <c r="A1131" s="188" t="s">
        <v>452</v>
      </c>
      <c r="B1131" s="189"/>
      <c r="C1131" s="156">
        <v>687</v>
      </c>
      <c r="D1131" s="190">
        <v>0</v>
      </c>
      <c r="E1131" s="190"/>
      <c r="F1131" s="156">
        <v>687</v>
      </c>
    </row>
    <row r="1132" spans="1:6" ht="15.75" customHeight="1" x14ac:dyDescent="0.2">
      <c r="A1132" s="188" t="s">
        <v>592</v>
      </c>
      <c r="B1132" s="189"/>
      <c r="C1132" s="156">
        <v>7285</v>
      </c>
      <c r="D1132" s="190">
        <v>0</v>
      </c>
      <c r="E1132" s="190"/>
      <c r="F1132" s="156">
        <v>7285</v>
      </c>
    </row>
    <row r="1133" spans="1:6" ht="15.75" customHeight="1" x14ac:dyDescent="0.2">
      <c r="A1133" s="188" t="s">
        <v>594</v>
      </c>
      <c r="B1133" s="189"/>
      <c r="C1133" s="156">
        <v>7285</v>
      </c>
      <c r="D1133" s="190">
        <v>0</v>
      </c>
      <c r="E1133" s="190"/>
      <c r="F1133" s="156">
        <v>7285</v>
      </c>
    </row>
    <row r="1134" spans="1:6" ht="14.25" customHeight="1" x14ac:dyDescent="0.25">
      <c r="A1134" s="131"/>
      <c r="B1134" s="131"/>
      <c r="C1134" s="132"/>
      <c r="D1134" s="132"/>
      <c r="E1134" s="132"/>
      <c r="F1134" s="132"/>
    </row>
    <row r="1135" spans="1:6" ht="31.5" customHeight="1" x14ac:dyDescent="0.2">
      <c r="A1135" s="183" t="s">
        <v>655</v>
      </c>
      <c r="B1135" s="189"/>
      <c r="C1135" s="189"/>
      <c r="D1135" s="189"/>
      <c r="E1135" s="189"/>
      <c r="F1135" s="189"/>
    </row>
    <row r="1136" spans="1:6" ht="15.75" customHeight="1" x14ac:dyDescent="0.2">
      <c r="A1136" s="183" t="s">
        <v>446</v>
      </c>
      <c r="B1136" s="184"/>
      <c r="C1136" s="157">
        <v>89031</v>
      </c>
      <c r="D1136" s="185">
        <v>0</v>
      </c>
      <c r="E1136" s="185"/>
      <c r="F1136" s="157">
        <v>89031</v>
      </c>
    </row>
    <row r="1137" spans="1:6" ht="15.75" customHeight="1" x14ac:dyDescent="0.2">
      <c r="A1137" s="188" t="s">
        <v>592</v>
      </c>
      <c r="B1137" s="189"/>
      <c r="C1137" s="156">
        <v>89031</v>
      </c>
      <c r="D1137" s="190">
        <v>0</v>
      </c>
      <c r="E1137" s="190"/>
      <c r="F1137" s="156">
        <v>89031</v>
      </c>
    </row>
    <row r="1138" spans="1:6" ht="15.75" customHeight="1" x14ac:dyDescent="0.2">
      <c r="A1138" s="188" t="s">
        <v>593</v>
      </c>
      <c r="B1138" s="189"/>
      <c r="C1138" s="156">
        <v>57500</v>
      </c>
      <c r="D1138" s="190">
        <v>0</v>
      </c>
      <c r="E1138" s="190"/>
      <c r="F1138" s="156">
        <v>57500</v>
      </c>
    </row>
    <row r="1139" spans="1:6" ht="31.5" customHeight="1" x14ac:dyDescent="0.2">
      <c r="A1139" s="188" t="s">
        <v>601</v>
      </c>
      <c r="B1139" s="189"/>
      <c r="C1139" s="156">
        <v>31531</v>
      </c>
      <c r="D1139" s="190">
        <v>0</v>
      </c>
      <c r="E1139" s="190"/>
      <c r="F1139" s="156">
        <v>31531</v>
      </c>
    </row>
    <row r="1140" spans="1:6" ht="14.25" customHeight="1" x14ac:dyDescent="0.25">
      <c r="A1140" s="131"/>
      <c r="B1140" s="131"/>
      <c r="C1140" s="132"/>
      <c r="D1140" s="132"/>
      <c r="E1140" s="132"/>
      <c r="F1140" s="132"/>
    </row>
    <row r="1141" spans="1:6" ht="15.75" customHeight="1" x14ac:dyDescent="0.2">
      <c r="A1141" s="183" t="s">
        <v>656</v>
      </c>
      <c r="B1141" s="189"/>
      <c r="C1141" s="189"/>
      <c r="D1141" s="189"/>
      <c r="E1141" s="189"/>
      <c r="F1141" s="189"/>
    </row>
    <row r="1142" spans="1:6" ht="15.75" customHeight="1" x14ac:dyDescent="0.2">
      <c r="A1142" s="183" t="s">
        <v>446</v>
      </c>
      <c r="B1142" s="184"/>
      <c r="C1142" s="157">
        <v>84456</v>
      </c>
      <c r="D1142" s="185">
        <v>0</v>
      </c>
      <c r="E1142" s="185"/>
      <c r="F1142" s="157">
        <v>84456</v>
      </c>
    </row>
    <row r="1143" spans="1:6" ht="15.75" customHeight="1" x14ac:dyDescent="0.2">
      <c r="A1143" s="188" t="s">
        <v>447</v>
      </c>
      <c r="B1143" s="189"/>
      <c r="C1143" s="156">
        <v>41307</v>
      </c>
      <c r="D1143" s="190">
        <v>0</v>
      </c>
      <c r="E1143" s="190"/>
      <c r="F1143" s="156">
        <v>41307</v>
      </c>
    </row>
    <row r="1144" spans="1:6" ht="15.75" customHeight="1" x14ac:dyDescent="0.2">
      <c r="A1144" s="188" t="s">
        <v>448</v>
      </c>
      <c r="B1144" s="189"/>
      <c r="C1144" s="156">
        <v>31940</v>
      </c>
      <c r="D1144" s="190">
        <v>0</v>
      </c>
      <c r="E1144" s="190"/>
      <c r="F1144" s="156">
        <v>31940</v>
      </c>
    </row>
    <row r="1145" spans="1:6" ht="15.75" customHeight="1" x14ac:dyDescent="0.2">
      <c r="A1145" s="188" t="s">
        <v>449</v>
      </c>
      <c r="B1145" s="189"/>
      <c r="C1145" s="156">
        <v>9367</v>
      </c>
      <c r="D1145" s="190">
        <v>0</v>
      </c>
      <c r="E1145" s="190"/>
      <c r="F1145" s="156">
        <v>9367</v>
      </c>
    </row>
    <row r="1146" spans="1:6" ht="15.75" customHeight="1" x14ac:dyDescent="0.2">
      <c r="A1146" s="188" t="s">
        <v>450</v>
      </c>
      <c r="B1146" s="189"/>
      <c r="C1146" s="156">
        <v>42049</v>
      </c>
      <c r="D1146" s="190">
        <v>0</v>
      </c>
      <c r="E1146" s="190"/>
      <c r="F1146" s="156">
        <v>42049</v>
      </c>
    </row>
    <row r="1147" spans="1:6" ht="15.75" customHeight="1" x14ac:dyDescent="0.2">
      <c r="A1147" s="188" t="s">
        <v>548</v>
      </c>
      <c r="B1147" s="189"/>
      <c r="C1147" s="156">
        <v>193</v>
      </c>
      <c r="D1147" s="190">
        <v>0</v>
      </c>
      <c r="E1147" s="190"/>
      <c r="F1147" s="156">
        <v>193</v>
      </c>
    </row>
    <row r="1148" spans="1:6" ht="15.75" customHeight="1" x14ac:dyDescent="0.2">
      <c r="A1148" s="188" t="s">
        <v>451</v>
      </c>
      <c r="B1148" s="189"/>
      <c r="C1148" s="156">
        <v>19160</v>
      </c>
      <c r="D1148" s="190">
        <v>0</v>
      </c>
      <c r="E1148" s="190"/>
      <c r="F1148" s="156">
        <v>19160</v>
      </c>
    </row>
    <row r="1149" spans="1:6" ht="31.5" customHeight="1" x14ac:dyDescent="0.2">
      <c r="A1149" s="188" t="s">
        <v>452</v>
      </c>
      <c r="B1149" s="189"/>
      <c r="C1149" s="156">
        <v>22696</v>
      </c>
      <c r="D1149" s="190">
        <v>0</v>
      </c>
      <c r="E1149" s="190"/>
      <c r="F1149" s="156">
        <v>22696</v>
      </c>
    </row>
    <row r="1150" spans="1:6" ht="15.75" customHeight="1" x14ac:dyDescent="0.2">
      <c r="A1150" s="188" t="s">
        <v>453</v>
      </c>
      <c r="B1150" s="189"/>
      <c r="C1150" s="156">
        <v>1100</v>
      </c>
      <c r="D1150" s="190">
        <v>0</v>
      </c>
      <c r="E1150" s="190"/>
      <c r="F1150" s="156">
        <v>1100</v>
      </c>
    </row>
    <row r="1151" spans="1:6" ht="15.75" customHeight="1" x14ac:dyDescent="0.2">
      <c r="A1151" s="188" t="s">
        <v>454</v>
      </c>
      <c r="B1151" s="189"/>
      <c r="C1151" s="156">
        <v>1100</v>
      </c>
      <c r="D1151" s="190">
        <v>0</v>
      </c>
      <c r="E1151" s="190"/>
      <c r="F1151" s="156">
        <v>1100</v>
      </c>
    </row>
    <row r="1152" spans="1:6" ht="14.25" customHeight="1" x14ac:dyDescent="0.25">
      <c r="A1152" s="131"/>
      <c r="B1152" s="131"/>
      <c r="C1152" s="132"/>
      <c r="D1152" s="132"/>
      <c r="E1152" s="132"/>
      <c r="F1152" s="132"/>
    </row>
    <row r="1153" spans="1:6" ht="15.75" customHeight="1" x14ac:dyDescent="0.2">
      <c r="A1153" s="183" t="s">
        <v>657</v>
      </c>
      <c r="B1153" s="189"/>
      <c r="C1153" s="189"/>
      <c r="D1153" s="189"/>
      <c r="E1153" s="189"/>
      <c r="F1153" s="189"/>
    </row>
    <row r="1154" spans="1:6" ht="15.75" customHeight="1" x14ac:dyDescent="0.2">
      <c r="A1154" s="183" t="s">
        <v>446</v>
      </c>
      <c r="B1154" s="184"/>
      <c r="C1154" s="157">
        <v>667569</v>
      </c>
      <c r="D1154" s="185">
        <v>0</v>
      </c>
      <c r="E1154" s="185"/>
      <c r="F1154" s="157">
        <v>667569</v>
      </c>
    </row>
    <row r="1155" spans="1:6" ht="15.75" customHeight="1" x14ac:dyDescent="0.2">
      <c r="A1155" s="188" t="s">
        <v>447</v>
      </c>
      <c r="B1155" s="189"/>
      <c r="C1155" s="156">
        <v>464158</v>
      </c>
      <c r="D1155" s="190">
        <v>0</v>
      </c>
      <c r="E1155" s="190"/>
      <c r="F1155" s="156">
        <v>464158</v>
      </c>
    </row>
    <row r="1156" spans="1:6" ht="15.75" customHeight="1" x14ac:dyDescent="0.2">
      <c r="A1156" s="188" t="s">
        <v>448</v>
      </c>
      <c r="B1156" s="189"/>
      <c r="C1156" s="156">
        <v>350218</v>
      </c>
      <c r="D1156" s="190">
        <v>0</v>
      </c>
      <c r="E1156" s="190"/>
      <c r="F1156" s="156">
        <v>350218</v>
      </c>
    </row>
    <row r="1157" spans="1:6" ht="15.75" customHeight="1" x14ac:dyDescent="0.2">
      <c r="A1157" s="188" t="s">
        <v>449</v>
      </c>
      <c r="B1157" s="189"/>
      <c r="C1157" s="156">
        <v>113940</v>
      </c>
      <c r="D1157" s="190">
        <v>0</v>
      </c>
      <c r="E1157" s="190"/>
      <c r="F1157" s="156">
        <v>113940</v>
      </c>
    </row>
    <row r="1158" spans="1:6" ht="15.75" customHeight="1" x14ac:dyDescent="0.2">
      <c r="A1158" s="188" t="s">
        <v>450</v>
      </c>
      <c r="B1158" s="189"/>
      <c r="C1158" s="156">
        <v>185227</v>
      </c>
      <c r="D1158" s="190">
        <v>0</v>
      </c>
      <c r="E1158" s="190"/>
      <c r="F1158" s="156">
        <v>185227</v>
      </c>
    </row>
    <row r="1159" spans="1:6" ht="15.75" customHeight="1" x14ac:dyDescent="0.2">
      <c r="A1159" s="188" t="s">
        <v>548</v>
      </c>
      <c r="B1159" s="189"/>
      <c r="C1159" s="156">
        <v>1309</v>
      </c>
      <c r="D1159" s="190">
        <v>0</v>
      </c>
      <c r="E1159" s="190"/>
      <c r="F1159" s="156">
        <v>1309</v>
      </c>
    </row>
    <row r="1160" spans="1:6" ht="15.75" customHeight="1" x14ac:dyDescent="0.2">
      <c r="A1160" s="188" t="s">
        <v>451</v>
      </c>
      <c r="B1160" s="189"/>
      <c r="C1160" s="156">
        <v>70349</v>
      </c>
      <c r="D1160" s="190">
        <v>0</v>
      </c>
      <c r="E1160" s="190"/>
      <c r="F1160" s="156">
        <v>70349</v>
      </c>
    </row>
    <row r="1161" spans="1:6" ht="31.5" customHeight="1" x14ac:dyDescent="0.2">
      <c r="A1161" s="188" t="s">
        <v>452</v>
      </c>
      <c r="B1161" s="189"/>
      <c r="C1161" s="156">
        <v>113486</v>
      </c>
      <c r="D1161" s="190">
        <v>0</v>
      </c>
      <c r="E1161" s="190"/>
      <c r="F1161" s="156">
        <v>113486</v>
      </c>
    </row>
    <row r="1162" spans="1:6" ht="15.75" customHeight="1" x14ac:dyDescent="0.2">
      <c r="A1162" s="188" t="s">
        <v>550</v>
      </c>
      <c r="B1162" s="189"/>
      <c r="C1162" s="156">
        <v>83</v>
      </c>
      <c r="D1162" s="190">
        <v>0</v>
      </c>
      <c r="E1162" s="190"/>
      <c r="F1162" s="156">
        <v>83</v>
      </c>
    </row>
    <row r="1163" spans="1:6" ht="15.75" customHeight="1" x14ac:dyDescent="0.2">
      <c r="A1163" s="188" t="s">
        <v>453</v>
      </c>
      <c r="B1163" s="189"/>
      <c r="C1163" s="156">
        <v>14879</v>
      </c>
      <c r="D1163" s="190">
        <v>0</v>
      </c>
      <c r="E1163" s="190"/>
      <c r="F1163" s="156">
        <v>14879</v>
      </c>
    </row>
    <row r="1164" spans="1:6" ht="15.75" customHeight="1" x14ac:dyDescent="0.2">
      <c r="A1164" s="188" t="s">
        <v>454</v>
      </c>
      <c r="B1164" s="189"/>
      <c r="C1164" s="156">
        <v>14879</v>
      </c>
      <c r="D1164" s="190">
        <v>0</v>
      </c>
      <c r="E1164" s="190"/>
      <c r="F1164" s="156">
        <v>14879</v>
      </c>
    </row>
    <row r="1165" spans="1:6" ht="15.75" customHeight="1" x14ac:dyDescent="0.2">
      <c r="A1165" s="188" t="s">
        <v>592</v>
      </c>
      <c r="B1165" s="189"/>
      <c r="C1165" s="156">
        <v>3305</v>
      </c>
      <c r="D1165" s="190">
        <v>0</v>
      </c>
      <c r="E1165" s="190"/>
      <c r="F1165" s="156">
        <v>3305</v>
      </c>
    </row>
    <row r="1166" spans="1:6" ht="15.75" customHeight="1" x14ac:dyDescent="0.2">
      <c r="A1166" s="188" t="s">
        <v>593</v>
      </c>
      <c r="B1166" s="189"/>
      <c r="C1166" s="156">
        <v>3305</v>
      </c>
      <c r="D1166" s="190">
        <v>0</v>
      </c>
      <c r="E1166" s="190"/>
      <c r="F1166" s="156">
        <v>3305</v>
      </c>
    </row>
    <row r="1167" spans="1:6" ht="14.25" customHeight="1" x14ac:dyDescent="0.25">
      <c r="A1167" s="131"/>
      <c r="B1167" s="131"/>
      <c r="C1167" s="132"/>
      <c r="D1167" s="132"/>
      <c r="E1167" s="132"/>
      <c r="F1167" s="132"/>
    </row>
    <row r="1168" spans="1:6" ht="15.75" customHeight="1" x14ac:dyDescent="0.2">
      <c r="A1168" s="183" t="s">
        <v>658</v>
      </c>
      <c r="B1168" s="189"/>
      <c r="C1168" s="189"/>
      <c r="D1168" s="189"/>
      <c r="E1168" s="189"/>
      <c r="F1168" s="189"/>
    </row>
    <row r="1169" spans="1:6" ht="15.75" customHeight="1" x14ac:dyDescent="0.2">
      <c r="A1169" s="183" t="s">
        <v>446</v>
      </c>
      <c r="B1169" s="184"/>
      <c r="C1169" s="157">
        <v>15200</v>
      </c>
      <c r="D1169" s="185">
        <v>0</v>
      </c>
      <c r="E1169" s="185"/>
      <c r="F1169" s="157">
        <v>15200</v>
      </c>
    </row>
    <row r="1170" spans="1:6" ht="15.75" customHeight="1" x14ac:dyDescent="0.2">
      <c r="A1170" s="188" t="s">
        <v>447</v>
      </c>
      <c r="B1170" s="189"/>
      <c r="C1170" s="156">
        <v>6772</v>
      </c>
      <c r="D1170" s="190">
        <v>0</v>
      </c>
      <c r="E1170" s="190"/>
      <c r="F1170" s="156">
        <v>6772</v>
      </c>
    </row>
    <row r="1171" spans="1:6" ht="15.75" customHeight="1" x14ac:dyDescent="0.2">
      <c r="A1171" s="188" t="s">
        <v>448</v>
      </c>
      <c r="B1171" s="189"/>
      <c r="C1171" s="156">
        <v>5177</v>
      </c>
      <c r="D1171" s="190">
        <v>0</v>
      </c>
      <c r="E1171" s="190"/>
      <c r="F1171" s="156">
        <v>5177</v>
      </c>
    </row>
    <row r="1172" spans="1:6" ht="15.75" customHeight="1" x14ac:dyDescent="0.2">
      <c r="A1172" s="188" t="s">
        <v>449</v>
      </c>
      <c r="B1172" s="189"/>
      <c r="C1172" s="156">
        <v>1595</v>
      </c>
      <c r="D1172" s="190">
        <v>0</v>
      </c>
      <c r="E1172" s="190"/>
      <c r="F1172" s="156">
        <v>1595</v>
      </c>
    </row>
    <row r="1173" spans="1:6" ht="15.75" customHeight="1" x14ac:dyDescent="0.2">
      <c r="A1173" s="188" t="s">
        <v>450</v>
      </c>
      <c r="B1173" s="189"/>
      <c r="C1173" s="156">
        <v>8078</v>
      </c>
      <c r="D1173" s="190">
        <v>0</v>
      </c>
      <c r="E1173" s="190"/>
      <c r="F1173" s="156">
        <v>8078</v>
      </c>
    </row>
    <row r="1174" spans="1:6" ht="15.75" customHeight="1" x14ac:dyDescent="0.2">
      <c r="A1174" s="188" t="s">
        <v>451</v>
      </c>
      <c r="B1174" s="189"/>
      <c r="C1174" s="156">
        <v>6545</v>
      </c>
      <c r="D1174" s="190">
        <v>0</v>
      </c>
      <c r="E1174" s="190"/>
      <c r="F1174" s="156">
        <v>6545</v>
      </c>
    </row>
    <row r="1175" spans="1:6" ht="31.5" customHeight="1" x14ac:dyDescent="0.2">
      <c r="A1175" s="188" t="s">
        <v>452</v>
      </c>
      <c r="B1175" s="189"/>
      <c r="C1175" s="156">
        <v>1533</v>
      </c>
      <c r="D1175" s="190">
        <v>0</v>
      </c>
      <c r="E1175" s="190"/>
      <c r="F1175" s="156">
        <v>1533</v>
      </c>
    </row>
    <row r="1176" spans="1:6" ht="15.75" customHeight="1" x14ac:dyDescent="0.2">
      <c r="A1176" s="188" t="s">
        <v>453</v>
      </c>
      <c r="B1176" s="189"/>
      <c r="C1176" s="156">
        <v>350</v>
      </c>
      <c r="D1176" s="190">
        <v>0</v>
      </c>
      <c r="E1176" s="190"/>
      <c r="F1176" s="156">
        <v>350</v>
      </c>
    </row>
    <row r="1177" spans="1:6" ht="15.75" customHeight="1" x14ac:dyDescent="0.2">
      <c r="A1177" s="188" t="s">
        <v>454</v>
      </c>
      <c r="B1177" s="189"/>
      <c r="C1177" s="156">
        <v>350</v>
      </c>
      <c r="D1177" s="190">
        <v>0</v>
      </c>
      <c r="E1177" s="190"/>
      <c r="F1177" s="156">
        <v>350</v>
      </c>
    </row>
    <row r="1178" spans="1:6" ht="14.25" customHeight="1" x14ac:dyDescent="0.25">
      <c r="A1178" s="131"/>
      <c r="B1178" s="131"/>
      <c r="C1178" s="132"/>
      <c r="D1178" s="132"/>
      <c r="E1178" s="132"/>
      <c r="F1178" s="132"/>
    </row>
    <row r="1179" spans="1:6" ht="15.75" customHeight="1" x14ac:dyDescent="0.2">
      <c r="A1179" s="183" t="s">
        <v>659</v>
      </c>
      <c r="B1179" s="189"/>
      <c r="C1179" s="189"/>
      <c r="D1179" s="189"/>
      <c r="E1179" s="189"/>
      <c r="F1179" s="189"/>
    </row>
    <row r="1180" spans="1:6" ht="15.75" customHeight="1" x14ac:dyDescent="0.2">
      <c r="A1180" s="183" t="s">
        <v>446</v>
      </c>
      <c r="B1180" s="184"/>
      <c r="C1180" s="157">
        <v>87733</v>
      </c>
      <c r="D1180" s="185">
        <v>0</v>
      </c>
      <c r="E1180" s="185"/>
      <c r="F1180" s="157">
        <v>87733</v>
      </c>
    </row>
    <row r="1181" spans="1:6" ht="15.75" customHeight="1" x14ac:dyDescent="0.2">
      <c r="A1181" s="188" t="s">
        <v>447</v>
      </c>
      <c r="B1181" s="189"/>
      <c r="C1181" s="156">
        <v>63184</v>
      </c>
      <c r="D1181" s="190">
        <v>0</v>
      </c>
      <c r="E1181" s="190"/>
      <c r="F1181" s="156">
        <v>63184</v>
      </c>
    </row>
    <row r="1182" spans="1:6" ht="15.75" customHeight="1" x14ac:dyDescent="0.2">
      <c r="A1182" s="188" t="s">
        <v>448</v>
      </c>
      <c r="B1182" s="189"/>
      <c r="C1182" s="156">
        <v>48613</v>
      </c>
      <c r="D1182" s="190">
        <v>0</v>
      </c>
      <c r="E1182" s="190"/>
      <c r="F1182" s="156">
        <v>48613</v>
      </c>
    </row>
    <row r="1183" spans="1:6" ht="15.75" customHeight="1" x14ac:dyDescent="0.2">
      <c r="A1183" s="188" t="s">
        <v>449</v>
      </c>
      <c r="B1183" s="189"/>
      <c r="C1183" s="156">
        <v>14571</v>
      </c>
      <c r="D1183" s="190">
        <v>0</v>
      </c>
      <c r="E1183" s="190"/>
      <c r="F1183" s="156">
        <v>14571</v>
      </c>
    </row>
    <row r="1184" spans="1:6" ht="15.75" customHeight="1" x14ac:dyDescent="0.2">
      <c r="A1184" s="188" t="s">
        <v>450</v>
      </c>
      <c r="B1184" s="189"/>
      <c r="C1184" s="156">
        <v>24549</v>
      </c>
      <c r="D1184" s="190">
        <v>0</v>
      </c>
      <c r="E1184" s="190"/>
      <c r="F1184" s="156">
        <v>24549</v>
      </c>
    </row>
    <row r="1185" spans="1:6" ht="15.75" customHeight="1" x14ac:dyDescent="0.2">
      <c r="A1185" s="188" t="s">
        <v>548</v>
      </c>
      <c r="B1185" s="189"/>
      <c r="C1185" s="156">
        <v>228</v>
      </c>
      <c r="D1185" s="190">
        <v>0</v>
      </c>
      <c r="E1185" s="190"/>
      <c r="F1185" s="156">
        <v>228</v>
      </c>
    </row>
    <row r="1186" spans="1:6" ht="15.75" customHeight="1" x14ac:dyDescent="0.2">
      <c r="A1186" s="188" t="s">
        <v>451</v>
      </c>
      <c r="B1186" s="189"/>
      <c r="C1186" s="156">
        <v>7818</v>
      </c>
      <c r="D1186" s="190">
        <v>0</v>
      </c>
      <c r="E1186" s="190"/>
      <c r="F1186" s="156">
        <v>7818</v>
      </c>
    </row>
    <row r="1187" spans="1:6" ht="31.5" customHeight="1" x14ac:dyDescent="0.2">
      <c r="A1187" s="188" t="s">
        <v>452</v>
      </c>
      <c r="B1187" s="189"/>
      <c r="C1187" s="156">
        <v>16503</v>
      </c>
      <c r="D1187" s="190">
        <v>0</v>
      </c>
      <c r="E1187" s="190"/>
      <c r="F1187" s="156">
        <v>16503</v>
      </c>
    </row>
    <row r="1188" spans="1:6" ht="14.25" customHeight="1" x14ac:dyDescent="0.25">
      <c r="A1188" s="131"/>
      <c r="B1188" s="131"/>
      <c r="C1188" s="132"/>
      <c r="D1188" s="132"/>
      <c r="E1188" s="132"/>
      <c r="F1188" s="132"/>
    </row>
    <row r="1189" spans="1:6" ht="15.75" customHeight="1" x14ac:dyDescent="0.2">
      <c r="A1189" s="183" t="s">
        <v>660</v>
      </c>
      <c r="B1189" s="189"/>
      <c r="C1189" s="189"/>
      <c r="D1189" s="189"/>
      <c r="E1189" s="189"/>
      <c r="F1189" s="189"/>
    </row>
    <row r="1190" spans="1:6" ht="15.75" customHeight="1" x14ac:dyDescent="0.2">
      <c r="A1190" s="183" t="s">
        <v>446</v>
      </c>
      <c r="B1190" s="184"/>
      <c r="C1190" s="157">
        <v>989431</v>
      </c>
      <c r="D1190" s="185">
        <v>0</v>
      </c>
      <c r="E1190" s="185"/>
      <c r="F1190" s="157">
        <v>989431</v>
      </c>
    </row>
    <row r="1191" spans="1:6" ht="15.75" customHeight="1" x14ac:dyDescent="0.2">
      <c r="A1191" s="188" t="s">
        <v>447</v>
      </c>
      <c r="B1191" s="189"/>
      <c r="C1191" s="156">
        <v>827989</v>
      </c>
      <c r="D1191" s="190">
        <v>0</v>
      </c>
      <c r="E1191" s="190"/>
      <c r="F1191" s="156">
        <v>827989</v>
      </c>
    </row>
    <row r="1192" spans="1:6" ht="15.75" customHeight="1" x14ac:dyDescent="0.2">
      <c r="A1192" s="188" t="s">
        <v>448</v>
      </c>
      <c r="B1192" s="189"/>
      <c r="C1192" s="156">
        <v>631661</v>
      </c>
      <c r="D1192" s="190">
        <v>0</v>
      </c>
      <c r="E1192" s="190"/>
      <c r="F1192" s="156">
        <v>631661</v>
      </c>
    </row>
    <row r="1193" spans="1:6" ht="15.75" customHeight="1" x14ac:dyDescent="0.2">
      <c r="A1193" s="188" t="s">
        <v>449</v>
      </c>
      <c r="B1193" s="189"/>
      <c r="C1193" s="156">
        <v>196328</v>
      </c>
      <c r="D1193" s="190">
        <v>0</v>
      </c>
      <c r="E1193" s="190"/>
      <c r="F1193" s="156">
        <v>196328</v>
      </c>
    </row>
    <row r="1194" spans="1:6" ht="15.75" customHeight="1" x14ac:dyDescent="0.2">
      <c r="A1194" s="188" t="s">
        <v>450</v>
      </c>
      <c r="B1194" s="189"/>
      <c r="C1194" s="156">
        <v>154182</v>
      </c>
      <c r="D1194" s="190">
        <v>0</v>
      </c>
      <c r="E1194" s="190"/>
      <c r="F1194" s="156">
        <v>154182</v>
      </c>
    </row>
    <row r="1195" spans="1:6" ht="15.75" customHeight="1" x14ac:dyDescent="0.2">
      <c r="A1195" s="188" t="s">
        <v>548</v>
      </c>
      <c r="B1195" s="189"/>
      <c r="C1195" s="156">
        <v>8873</v>
      </c>
      <c r="D1195" s="190">
        <v>0</v>
      </c>
      <c r="E1195" s="190"/>
      <c r="F1195" s="156">
        <v>8873</v>
      </c>
    </row>
    <row r="1196" spans="1:6" ht="15.75" customHeight="1" x14ac:dyDescent="0.2">
      <c r="A1196" s="188" t="s">
        <v>451</v>
      </c>
      <c r="B1196" s="189"/>
      <c r="C1196" s="156">
        <v>117232</v>
      </c>
      <c r="D1196" s="190">
        <v>0</v>
      </c>
      <c r="E1196" s="190"/>
      <c r="F1196" s="156">
        <v>117232</v>
      </c>
    </row>
    <row r="1197" spans="1:6" ht="31.5" customHeight="1" x14ac:dyDescent="0.2">
      <c r="A1197" s="188" t="s">
        <v>452</v>
      </c>
      <c r="B1197" s="189"/>
      <c r="C1197" s="156">
        <v>28077</v>
      </c>
      <c r="D1197" s="190">
        <v>0</v>
      </c>
      <c r="E1197" s="190"/>
      <c r="F1197" s="156">
        <v>28077</v>
      </c>
    </row>
    <row r="1198" spans="1:6" ht="15.75" customHeight="1" x14ac:dyDescent="0.2">
      <c r="A1198" s="188" t="s">
        <v>453</v>
      </c>
      <c r="B1198" s="189"/>
      <c r="C1198" s="156">
        <v>7260</v>
      </c>
      <c r="D1198" s="190">
        <v>0</v>
      </c>
      <c r="E1198" s="190"/>
      <c r="F1198" s="156">
        <v>7260</v>
      </c>
    </row>
    <row r="1199" spans="1:6" ht="15.75" customHeight="1" x14ac:dyDescent="0.2">
      <c r="A1199" s="188" t="s">
        <v>454</v>
      </c>
      <c r="B1199" s="189"/>
      <c r="C1199" s="156">
        <v>7260</v>
      </c>
      <c r="D1199" s="190">
        <v>0</v>
      </c>
      <c r="E1199" s="190"/>
      <c r="F1199" s="156">
        <v>7260</v>
      </c>
    </row>
    <row r="1200" spans="1:6" ht="14.25" customHeight="1" x14ac:dyDescent="0.25">
      <c r="A1200" s="131"/>
      <c r="B1200" s="131"/>
      <c r="C1200" s="132"/>
      <c r="D1200" s="132"/>
      <c r="E1200" s="132"/>
      <c r="F1200" s="132"/>
    </row>
    <row r="1201" spans="1:6" ht="15.75" customHeight="1" x14ac:dyDescent="0.2">
      <c r="A1201" s="183" t="s">
        <v>661</v>
      </c>
      <c r="B1201" s="189"/>
      <c r="C1201" s="189"/>
      <c r="D1201" s="189"/>
      <c r="E1201" s="189"/>
      <c r="F1201" s="189"/>
    </row>
    <row r="1202" spans="1:6" ht="15.75" customHeight="1" x14ac:dyDescent="0.2">
      <c r="A1202" s="183" t="s">
        <v>446</v>
      </c>
      <c r="B1202" s="184"/>
      <c r="C1202" s="157">
        <v>9200</v>
      </c>
      <c r="D1202" s="185">
        <v>0</v>
      </c>
      <c r="E1202" s="185"/>
      <c r="F1202" s="157">
        <v>9200</v>
      </c>
    </row>
    <row r="1203" spans="1:6" ht="15.75" customHeight="1" x14ac:dyDescent="0.2">
      <c r="A1203" s="188" t="s">
        <v>592</v>
      </c>
      <c r="B1203" s="189"/>
      <c r="C1203" s="156">
        <v>9200</v>
      </c>
      <c r="D1203" s="190">
        <v>0</v>
      </c>
      <c r="E1203" s="190"/>
      <c r="F1203" s="156">
        <v>9200</v>
      </c>
    </row>
    <row r="1204" spans="1:6" ht="15.75" customHeight="1" x14ac:dyDescent="0.2">
      <c r="A1204" s="188" t="s">
        <v>593</v>
      </c>
      <c r="B1204" s="189"/>
      <c r="C1204" s="156">
        <v>4200</v>
      </c>
      <c r="D1204" s="190">
        <v>0</v>
      </c>
      <c r="E1204" s="190"/>
      <c r="F1204" s="156">
        <v>4200</v>
      </c>
    </row>
    <row r="1205" spans="1:6" ht="15.75" customHeight="1" x14ac:dyDescent="0.2">
      <c r="A1205" s="188" t="s">
        <v>594</v>
      </c>
      <c r="B1205" s="189"/>
      <c r="C1205" s="156">
        <v>5000</v>
      </c>
      <c r="D1205" s="190">
        <v>0</v>
      </c>
      <c r="E1205" s="190"/>
      <c r="F1205" s="156">
        <v>5000</v>
      </c>
    </row>
    <row r="1206" spans="1:6" ht="14.25" customHeight="1" x14ac:dyDescent="0.25">
      <c r="A1206" s="131"/>
      <c r="B1206" s="131"/>
      <c r="C1206" s="132"/>
      <c r="D1206" s="132"/>
      <c r="E1206" s="132"/>
      <c r="F1206" s="132"/>
    </row>
    <row r="1207" spans="1:6" ht="15.75" customHeight="1" x14ac:dyDescent="0.2">
      <c r="A1207" s="183" t="s">
        <v>662</v>
      </c>
      <c r="B1207" s="189"/>
      <c r="C1207" s="189"/>
      <c r="D1207" s="189"/>
      <c r="E1207" s="189"/>
      <c r="F1207" s="189"/>
    </row>
    <row r="1208" spans="1:6" ht="15.75" customHeight="1" x14ac:dyDescent="0.2">
      <c r="A1208" s="183" t="s">
        <v>446</v>
      </c>
      <c r="B1208" s="184"/>
      <c r="C1208" s="157">
        <v>245000</v>
      </c>
      <c r="D1208" s="185">
        <v>0</v>
      </c>
      <c r="E1208" s="185"/>
      <c r="F1208" s="157">
        <v>245000</v>
      </c>
    </row>
    <row r="1209" spans="1:6" ht="15.75" customHeight="1" x14ac:dyDescent="0.2">
      <c r="A1209" s="188" t="s">
        <v>592</v>
      </c>
      <c r="B1209" s="189"/>
      <c r="C1209" s="156">
        <v>245000</v>
      </c>
      <c r="D1209" s="190">
        <v>0</v>
      </c>
      <c r="E1209" s="190"/>
      <c r="F1209" s="156">
        <v>245000</v>
      </c>
    </row>
    <row r="1210" spans="1:6" ht="15.75" customHeight="1" x14ac:dyDescent="0.2">
      <c r="A1210" s="188" t="s">
        <v>593</v>
      </c>
      <c r="B1210" s="189"/>
      <c r="C1210" s="156">
        <v>245000</v>
      </c>
      <c r="D1210" s="190">
        <v>0</v>
      </c>
      <c r="E1210" s="190"/>
      <c r="F1210" s="156">
        <v>245000</v>
      </c>
    </row>
    <row r="1211" spans="1:6" ht="14.25" customHeight="1" x14ac:dyDescent="0.25">
      <c r="A1211" s="131"/>
      <c r="B1211" s="131"/>
      <c r="C1211" s="132"/>
      <c r="D1211" s="132"/>
      <c r="E1211" s="132"/>
      <c r="F1211" s="132"/>
    </row>
    <row r="1212" spans="1:6" ht="15.75" customHeight="1" x14ac:dyDescent="0.2">
      <c r="A1212" s="183" t="s">
        <v>663</v>
      </c>
      <c r="B1212" s="189"/>
      <c r="C1212" s="189"/>
      <c r="D1212" s="189"/>
      <c r="E1212" s="189"/>
      <c r="F1212" s="189"/>
    </row>
    <row r="1213" spans="1:6" ht="15.75" customHeight="1" x14ac:dyDescent="0.2">
      <c r="A1213" s="188" t="s">
        <v>664</v>
      </c>
      <c r="B1213" s="189"/>
      <c r="C1213" s="156">
        <v>4063462</v>
      </c>
      <c r="D1213" s="190">
        <v>0</v>
      </c>
      <c r="E1213" s="190"/>
      <c r="F1213" s="156">
        <v>4063462</v>
      </c>
    </row>
    <row r="1214" spans="1:6" ht="14.25" customHeight="1" x14ac:dyDescent="0.25">
      <c r="A1214" s="131"/>
      <c r="B1214" s="131"/>
      <c r="C1214" s="132"/>
      <c r="D1214" s="132"/>
      <c r="E1214" s="132"/>
      <c r="F1214" s="132"/>
    </row>
    <row r="1215" spans="1:6" ht="15.75" customHeight="1" x14ac:dyDescent="0.2">
      <c r="A1215" s="183" t="s">
        <v>149</v>
      </c>
      <c r="B1215" s="189"/>
      <c r="C1215" s="189"/>
      <c r="D1215" s="189"/>
      <c r="E1215" s="189"/>
      <c r="F1215" s="189"/>
    </row>
    <row r="1216" spans="1:6" ht="15.75" customHeight="1" x14ac:dyDescent="0.2">
      <c r="A1216" s="188" t="s">
        <v>666</v>
      </c>
      <c r="B1216" s="189"/>
      <c r="C1216" s="156">
        <v>2144043</v>
      </c>
      <c r="D1216" s="190">
        <v>0</v>
      </c>
      <c r="E1216" s="190"/>
      <c r="F1216" s="156">
        <v>2144043</v>
      </c>
    </row>
    <row r="1217" spans="1:6" ht="14.25" customHeight="1" x14ac:dyDescent="0.25">
      <c r="A1217" s="131"/>
      <c r="B1217" s="131"/>
      <c r="C1217" s="132"/>
      <c r="D1217" s="132"/>
      <c r="E1217" s="132"/>
      <c r="F1217" s="132"/>
    </row>
    <row r="1218" spans="1:6" ht="15.75" customHeight="1" x14ac:dyDescent="0.2">
      <c r="A1218" s="192" t="s">
        <v>667</v>
      </c>
      <c r="B1218" s="193"/>
      <c r="C1218" s="193"/>
      <c r="D1218" s="193"/>
      <c r="E1218" s="193"/>
      <c r="F1218" s="193"/>
    </row>
    <row r="1219" spans="1:6" ht="15.75" customHeight="1" x14ac:dyDescent="0.2">
      <c r="A1219" s="194" t="s">
        <v>666</v>
      </c>
      <c r="B1219" s="193"/>
      <c r="C1219" s="158">
        <v>40000</v>
      </c>
      <c r="D1219" s="195">
        <v>0</v>
      </c>
      <c r="E1219" s="195"/>
      <c r="F1219" s="158">
        <v>40000</v>
      </c>
    </row>
    <row r="1220" spans="1:6" ht="14.25" customHeight="1" x14ac:dyDescent="0.25">
      <c r="A1220" s="168"/>
      <c r="B1220" s="168"/>
      <c r="C1220" s="169"/>
      <c r="D1220" s="169"/>
      <c r="E1220" s="169"/>
      <c r="F1220" s="169"/>
    </row>
    <row r="1221" spans="1:6" ht="15.75" customHeight="1" x14ac:dyDescent="0.2">
      <c r="A1221" s="192" t="s">
        <v>668</v>
      </c>
      <c r="B1221" s="193"/>
      <c r="C1221" s="193"/>
      <c r="D1221" s="193"/>
      <c r="E1221" s="193"/>
      <c r="F1221" s="193"/>
    </row>
    <row r="1222" spans="1:6" ht="15.75" customHeight="1" x14ac:dyDescent="0.2">
      <c r="A1222" s="194" t="s">
        <v>666</v>
      </c>
      <c r="B1222" s="193"/>
      <c r="C1222" s="159">
        <v>1496459</v>
      </c>
      <c r="D1222" s="195">
        <v>0</v>
      </c>
      <c r="E1222" s="195"/>
      <c r="F1222" s="159">
        <v>1496459</v>
      </c>
    </row>
    <row r="1223" spans="1:6" ht="14.25" customHeight="1" x14ac:dyDescent="0.25">
      <c r="A1223" s="168"/>
      <c r="B1223" s="168"/>
      <c r="C1223" s="169"/>
      <c r="D1223" s="169"/>
      <c r="E1223" s="169"/>
      <c r="F1223" s="169"/>
    </row>
    <row r="1224" spans="1:6" ht="15.75" customHeight="1" x14ac:dyDescent="0.2">
      <c r="A1224" s="192" t="s">
        <v>669</v>
      </c>
      <c r="B1224" s="193"/>
      <c r="C1224" s="193"/>
      <c r="D1224" s="193"/>
      <c r="E1224" s="193"/>
      <c r="F1224" s="193"/>
    </row>
    <row r="1225" spans="1:6" ht="15.75" customHeight="1" x14ac:dyDescent="0.2">
      <c r="A1225" s="194" t="s">
        <v>666</v>
      </c>
      <c r="B1225" s="193"/>
      <c r="C1225" s="158">
        <v>520244</v>
      </c>
      <c r="D1225" s="195">
        <v>0</v>
      </c>
      <c r="E1225" s="195"/>
      <c r="F1225" s="158">
        <v>520244</v>
      </c>
    </row>
    <row r="1226" spans="1:6" ht="14.25" customHeight="1" x14ac:dyDescent="0.25">
      <c r="A1226" s="168"/>
      <c r="B1226" s="168"/>
      <c r="C1226" s="169"/>
      <c r="D1226" s="169"/>
      <c r="E1226" s="169"/>
      <c r="F1226" s="169"/>
    </row>
    <row r="1227" spans="1:6" ht="15.75" customHeight="1" x14ac:dyDescent="0.2">
      <c r="A1227" s="192" t="s">
        <v>670</v>
      </c>
      <c r="B1227" s="193"/>
      <c r="C1227" s="193"/>
      <c r="D1227" s="193"/>
      <c r="E1227" s="193"/>
      <c r="F1227" s="193"/>
    </row>
    <row r="1228" spans="1:6" ht="15.75" customHeight="1" x14ac:dyDescent="0.2">
      <c r="A1228" s="194" t="s">
        <v>666</v>
      </c>
      <c r="B1228" s="193"/>
      <c r="C1228" s="158">
        <v>37340</v>
      </c>
      <c r="D1228" s="195">
        <v>0</v>
      </c>
      <c r="E1228" s="195"/>
      <c r="F1228" s="158">
        <v>37340</v>
      </c>
    </row>
    <row r="1229" spans="1:6" ht="14.25" customHeight="1" x14ac:dyDescent="0.25">
      <c r="A1229" s="168"/>
      <c r="B1229" s="168"/>
      <c r="C1229" s="169"/>
      <c r="D1229" s="169"/>
      <c r="E1229" s="169"/>
      <c r="F1229" s="169"/>
    </row>
    <row r="1230" spans="1:6" ht="15.75" customHeight="1" x14ac:dyDescent="0.2">
      <c r="A1230" s="192" t="s">
        <v>671</v>
      </c>
      <c r="B1230" s="193"/>
      <c r="C1230" s="193"/>
      <c r="D1230" s="193"/>
      <c r="E1230" s="193"/>
      <c r="F1230" s="193"/>
    </row>
    <row r="1231" spans="1:6" ht="15.75" customHeight="1" x14ac:dyDescent="0.2">
      <c r="A1231" s="194" t="s">
        <v>666</v>
      </c>
      <c r="B1231" s="193"/>
      <c r="C1231" s="158">
        <v>50000</v>
      </c>
      <c r="D1231" s="195">
        <v>0</v>
      </c>
      <c r="E1231" s="195"/>
      <c r="F1231" s="158">
        <v>50000</v>
      </c>
    </row>
    <row r="1232" spans="1:6" ht="14.25" customHeight="1" x14ac:dyDescent="0.25">
      <c r="A1232" s="131"/>
      <c r="B1232" s="131"/>
      <c r="C1232" s="132"/>
      <c r="D1232" s="132"/>
      <c r="E1232" s="132"/>
      <c r="F1232" s="132"/>
    </row>
    <row r="1233" spans="1:6" ht="15.75" customHeight="1" x14ac:dyDescent="0.2">
      <c r="A1233" s="183" t="s">
        <v>472</v>
      </c>
      <c r="B1233" s="189"/>
      <c r="C1233" s="189"/>
      <c r="D1233" s="189"/>
      <c r="E1233" s="189"/>
      <c r="F1233" s="189"/>
    </row>
    <row r="1234" spans="1:6" ht="15.75" customHeight="1" x14ac:dyDescent="0.2">
      <c r="A1234" s="183" t="s">
        <v>446</v>
      </c>
      <c r="B1234" s="184"/>
      <c r="C1234" s="157">
        <v>72732464</v>
      </c>
      <c r="D1234" s="185">
        <v>126679</v>
      </c>
      <c r="E1234" s="191"/>
      <c r="F1234" s="157">
        <v>72859143</v>
      </c>
    </row>
    <row r="1235" spans="1:6" ht="15.75" customHeight="1" x14ac:dyDescent="0.2">
      <c r="A1235" s="183" t="s">
        <v>447</v>
      </c>
      <c r="B1235" s="184"/>
      <c r="C1235" s="157">
        <v>31117032</v>
      </c>
      <c r="D1235" s="185">
        <v>36973</v>
      </c>
      <c r="E1235" s="191"/>
      <c r="F1235" s="157">
        <v>31154005</v>
      </c>
    </row>
    <row r="1236" spans="1:6" ht="15.75" customHeight="1" x14ac:dyDescent="0.2">
      <c r="A1236" s="188" t="s">
        <v>448</v>
      </c>
      <c r="B1236" s="189"/>
      <c r="C1236" s="156">
        <v>24299801</v>
      </c>
      <c r="D1236" s="190">
        <v>28540</v>
      </c>
      <c r="E1236" s="187"/>
      <c r="F1236" s="156">
        <v>24328341</v>
      </c>
    </row>
    <row r="1237" spans="1:6" ht="15.75" customHeight="1" x14ac:dyDescent="0.2">
      <c r="A1237" s="188" t="s">
        <v>449</v>
      </c>
      <c r="B1237" s="189"/>
      <c r="C1237" s="156">
        <v>6817231</v>
      </c>
      <c r="D1237" s="190">
        <v>8433</v>
      </c>
      <c r="E1237" s="187"/>
      <c r="F1237" s="156">
        <v>6825664</v>
      </c>
    </row>
    <row r="1238" spans="1:6" ht="15.75" customHeight="1" x14ac:dyDescent="0.2">
      <c r="A1238" s="183" t="s">
        <v>450</v>
      </c>
      <c r="B1238" s="184"/>
      <c r="C1238" s="157">
        <v>16236768</v>
      </c>
      <c r="D1238" s="185">
        <v>66415</v>
      </c>
      <c r="E1238" s="191"/>
      <c r="F1238" s="157">
        <v>16303183</v>
      </c>
    </row>
    <row r="1239" spans="1:6" ht="15.75" customHeight="1" x14ac:dyDescent="0.2">
      <c r="A1239" s="188" t="s">
        <v>548</v>
      </c>
      <c r="B1239" s="189"/>
      <c r="C1239" s="156">
        <v>296997</v>
      </c>
      <c r="D1239" s="190">
        <v>2674</v>
      </c>
      <c r="E1239" s="187"/>
      <c r="F1239" s="156">
        <v>299671</v>
      </c>
    </row>
    <row r="1240" spans="1:6" ht="15.75" customHeight="1" x14ac:dyDescent="0.2">
      <c r="A1240" s="188" t="s">
        <v>451</v>
      </c>
      <c r="B1240" s="189"/>
      <c r="C1240" s="156">
        <v>11744127</v>
      </c>
      <c r="D1240" s="190">
        <v>38853</v>
      </c>
      <c r="E1240" s="187"/>
      <c r="F1240" s="156">
        <v>11782980</v>
      </c>
    </row>
    <row r="1241" spans="1:6" ht="15.75" customHeight="1" x14ac:dyDescent="0.2">
      <c r="A1241" s="188" t="s">
        <v>549</v>
      </c>
      <c r="B1241" s="189"/>
      <c r="C1241" s="156">
        <v>100000</v>
      </c>
      <c r="D1241" s="190">
        <v>-24357</v>
      </c>
      <c r="E1241" s="187"/>
      <c r="F1241" s="156">
        <v>75643</v>
      </c>
    </row>
    <row r="1242" spans="1:6" ht="31.5" customHeight="1" x14ac:dyDescent="0.2">
      <c r="A1242" s="188" t="s">
        <v>452</v>
      </c>
      <c r="B1242" s="189"/>
      <c r="C1242" s="156">
        <v>3966703</v>
      </c>
      <c r="D1242" s="190">
        <v>19910</v>
      </c>
      <c r="E1242" s="187"/>
      <c r="F1242" s="156">
        <v>3986613</v>
      </c>
    </row>
    <row r="1243" spans="1:6" ht="15.75" customHeight="1" x14ac:dyDescent="0.2">
      <c r="A1243" s="188" t="s">
        <v>600</v>
      </c>
      <c r="B1243" s="189"/>
      <c r="C1243" s="156">
        <v>18073</v>
      </c>
      <c r="D1243" s="190">
        <v>-122</v>
      </c>
      <c r="E1243" s="187"/>
      <c r="F1243" s="156">
        <v>17951</v>
      </c>
    </row>
    <row r="1244" spans="1:6" ht="15.75" customHeight="1" x14ac:dyDescent="0.2">
      <c r="A1244" s="188" t="s">
        <v>550</v>
      </c>
      <c r="B1244" s="189"/>
      <c r="C1244" s="156">
        <v>210868</v>
      </c>
      <c r="D1244" s="190">
        <v>5100</v>
      </c>
      <c r="E1244" s="187"/>
      <c r="F1244" s="156">
        <v>215968</v>
      </c>
    </row>
    <row r="1245" spans="1:6" ht="15.75" customHeight="1" x14ac:dyDescent="0.2">
      <c r="A1245" s="183" t="s">
        <v>458</v>
      </c>
      <c r="B1245" s="184"/>
      <c r="C1245" s="157">
        <v>4855570</v>
      </c>
      <c r="D1245" s="185">
        <v>33460</v>
      </c>
      <c r="E1245" s="191"/>
      <c r="F1245" s="157">
        <v>4889030</v>
      </c>
    </row>
    <row r="1246" spans="1:6" ht="31.5" customHeight="1" x14ac:dyDescent="0.2">
      <c r="A1246" s="188" t="s">
        <v>459</v>
      </c>
      <c r="B1246" s="189"/>
      <c r="C1246" s="156">
        <v>3379577</v>
      </c>
      <c r="D1246" s="190">
        <v>33460</v>
      </c>
      <c r="E1246" s="187"/>
      <c r="F1246" s="156">
        <v>3413037</v>
      </c>
    </row>
    <row r="1247" spans="1:6" ht="31.5" customHeight="1" x14ac:dyDescent="0.2">
      <c r="A1247" s="188" t="s">
        <v>460</v>
      </c>
      <c r="B1247" s="189"/>
      <c r="C1247" s="156">
        <v>1475993</v>
      </c>
      <c r="D1247" s="190">
        <v>0</v>
      </c>
      <c r="E1247" s="190"/>
      <c r="F1247" s="156">
        <v>1475993</v>
      </c>
    </row>
    <row r="1248" spans="1:6" ht="15.75" customHeight="1" x14ac:dyDescent="0.2">
      <c r="A1248" s="183" t="s">
        <v>551</v>
      </c>
      <c r="B1248" s="184"/>
      <c r="C1248" s="157">
        <v>50000</v>
      </c>
      <c r="D1248" s="185">
        <v>0</v>
      </c>
      <c r="E1248" s="185"/>
      <c r="F1248" s="157">
        <v>50000</v>
      </c>
    </row>
    <row r="1249" spans="1:6" ht="15.75" customHeight="1" x14ac:dyDescent="0.2">
      <c r="A1249" s="188" t="s">
        <v>552</v>
      </c>
      <c r="B1249" s="189"/>
      <c r="C1249" s="156">
        <v>50000</v>
      </c>
      <c r="D1249" s="190">
        <v>0</v>
      </c>
      <c r="E1249" s="190"/>
      <c r="F1249" s="156">
        <v>50000</v>
      </c>
    </row>
    <row r="1250" spans="1:6" ht="15.75" customHeight="1" x14ac:dyDescent="0.2">
      <c r="A1250" s="183" t="s">
        <v>453</v>
      </c>
      <c r="B1250" s="184"/>
      <c r="C1250" s="157">
        <v>10708783</v>
      </c>
      <c r="D1250" s="185">
        <v>841</v>
      </c>
      <c r="E1250" s="191"/>
      <c r="F1250" s="157">
        <v>10709624</v>
      </c>
    </row>
    <row r="1251" spans="1:6" ht="15.75" customHeight="1" x14ac:dyDescent="0.2">
      <c r="A1251" s="188" t="s">
        <v>553</v>
      </c>
      <c r="B1251" s="189"/>
      <c r="C1251" s="156">
        <v>301339</v>
      </c>
      <c r="D1251" s="190">
        <v>-5174</v>
      </c>
      <c r="E1251" s="187"/>
      <c r="F1251" s="156">
        <v>296165</v>
      </c>
    </row>
    <row r="1252" spans="1:6" ht="15.75" customHeight="1" x14ac:dyDescent="0.2">
      <c r="A1252" s="188" t="s">
        <v>454</v>
      </c>
      <c r="B1252" s="189"/>
      <c r="C1252" s="156">
        <v>10407444</v>
      </c>
      <c r="D1252" s="190">
        <v>6015</v>
      </c>
      <c r="E1252" s="187"/>
      <c r="F1252" s="156">
        <v>10413459</v>
      </c>
    </row>
    <row r="1253" spans="1:6" ht="15.75" customHeight="1" x14ac:dyDescent="0.2">
      <c r="A1253" s="183" t="s">
        <v>592</v>
      </c>
      <c r="B1253" s="184"/>
      <c r="C1253" s="157">
        <v>2202417</v>
      </c>
      <c r="D1253" s="185">
        <v>-81561</v>
      </c>
      <c r="E1253" s="191"/>
      <c r="F1253" s="157">
        <v>2120856</v>
      </c>
    </row>
    <row r="1254" spans="1:6" ht="15.75" customHeight="1" x14ac:dyDescent="0.2">
      <c r="A1254" s="188" t="s">
        <v>593</v>
      </c>
      <c r="B1254" s="189"/>
      <c r="C1254" s="156">
        <v>1008389</v>
      </c>
      <c r="D1254" s="190">
        <v>-22780</v>
      </c>
      <c r="E1254" s="187"/>
      <c r="F1254" s="156">
        <v>985609</v>
      </c>
    </row>
    <row r="1255" spans="1:6" ht="15.75" customHeight="1" x14ac:dyDescent="0.2">
      <c r="A1255" s="188" t="s">
        <v>594</v>
      </c>
      <c r="B1255" s="189"/>
      <c r="C1255" s="156">
        <v>477185</v>
      </c>
      <c r="D1255" s="190">
        <v>-98700</v>
      </c>
      <c r="E1255" s="187"/>
      <c r="F1255" s="156">
        <v>378485</v>
      </c>
    </row>
    <row r="1256" spans="1:6" ht="31.5" customHeight="1" x14ac:dyDescent="0.2">
      <c r="A1256" s="188" t="s">
        <v>601</v>
      </c>
      <c r="B1256" s="189"/>
      <c r="C1256" s="156">
        <v>716843</v>
      </c>
      <c r="D1256" s="190">
        <v>39919</v>
      </c>
      <c r="E1256" s="187"/>
      <c r="F1256" s="156">
        <v>756762</v>
      </c>
    </row>
    <row r="1257" spans="1:6" ht="31.5" customHeight="1" x14ac:dyDescent="0.2">
      <c r="A1257" s="183" t="s">
        <v>554</v>
      </c>
      <c r="B1257" s="184"/>
      <c r="C1257" s="157">
        <v>1229882</v>
      </c>
      <c r="D1257" s="185">
        <v>70000</v>
      </c>
      <c r="E1257" s="191"/>
      <c r="F1257" s="157">
        <v>1299882</v>
      </c>
    </row>
    <row r="1258" spans="1:6" ht="15.75" customHeight="1" x14ac:dyDescent="0.2">
      <c r="A1258" s="188" t="s">
        <v>555</v>
      </c>
      <c r="B1258" s="189"/>
      <c r="C1258" s="156">
        <v>1008684</v>
      </c>
      <c r="D1258" s="190">
        <v>70000</v>
      </c>
      <c r="E1258" s="187"/>
      <c r="F1258" s="156">
        <v>1078684</v>
      </c>
    </row>
    <row r="1259" spans="1:6" ht="15.75" customHeight="1" x14ac:dyDescent="0.2">
      <c r="A1259" s="188" t="s">
        <v>556</v>
      </c>
      <c r="B1259" s="189"/>
      <c r="C1259" s="156">
        <v>221198</v>
      </c>
      <c r="D1259" s="190">
        <v>0</v>
      </c>
      <c r="E1259" s="190"/>
      <c r="F1259" s="156">
        <v>221198</v>
      </c>
    </row>
    <row r="1260" spans="1:6" ht="31.5" customHeight="1" x14ac:dyDescent="0.2">
      <c r="A1260" s="183" t="s">
        <v>684</v>
      </c>
      <c r="B1260" s="184"/>
      <c r="C1260" s="157">
        <v>0</v>
      </c>
      <c r="D1260" s="185">
        <v>551</v>
      </c>
      <c r="E1260" s="191"/>
      <c r="F1260" s="157">
        <v>551</v>
      </c>
    </row>
    <row r="1261" spans="1:6" ht="31.5" customHeight="1" x14ac:dyDescent="0.2">
      <c r="A1261" s="188" t="s">
        <v>685</v>
      </c>
      <c r="B1261" s="189"/>
      <c r="C1261" s="156">
        <v>0</v>
      </c>
      <c r="D1261" s="190">
        <v>551</v>
      </c>
      <c r="E1261" s="187"/>
      <c r="F1261" s="156">
        <v>551</v>
      </c>
    </row>
    <row r="1262" spans="1:6" ht="15.75" customHeight="1" x14ac:dyDescent="0.2">
      <c r="A1262" s="183" t="s">
        <v>664</v>
      </c>
      <c r="B1262" s="184"/>
      <c r="C1262" s="157">
        <v>4063462</v>
      </c>
      <c r="D1262" s="185">
        <v>0</v>
      </c>
      <c r="E1262" s="185"/>
      <c r="F1262" s="157">
        <v>4063462</v>
      </c>
    </row>
    <row r="1263" spans="1:6" ht="15.75" customHeight="1" x14ac:dyDescent="0.2">
      <c r="A1263" s="183" t="s">
        <v>666</v>
      </c>
      <c r="B1263" s="184"/>
      <c r="C1263" s="157">
        <v>2144043</v>
      </c>
      <c r="D1263" s="185">
        <v>0</v>
      </c>
      <c r="E1263" s="185"/>
      <c r="F1263" s="157">
        <v>2144043</v>
      </c>
    </row>
    <row r="1264" spans="1:6" ht="15.75" customHeight="1" x14ac:dyDescent="0.2">
      <c r="A1264" s="183" t="s">
        <v>665</v>
      </c>
      <c r="B1264" s="184"/>
      <c r="C1264" s="157">
        <v>124507</v>
      </c>
      <c r="D1264" s="185">
        <v>0</v>
      </c>
      <c r="E1264" s="185"/>
      <c r="F1264" s="157">
        <v>124507</v>
      </c>
    </row>
    <row r="1265" spans="1:6" ht="15.75" customHeight="1" x14ac:dyDescent="0.25">
      <c r="A1265" s="131"/>
      <c r="B1265" s="131"/>
      <c r="C1265" s="132"/>
      <c r="D1265" s="132"/>
      <c r="E1265" s="186"/>
      <c r="F1265" s="187"/>
    </row>
    <row r="1266" spans="1:6" ht="18.75" x14ac:dyDescent="0.3">
      <c r="A1266" s="131"/>
      <c r="B1266" s="135" t="s">
        <v>126</v>
      </c>
      <c r="C1266" s="135"/>
      <c r="D1266" s="135" t="s">
        <v>127</v>
      </c>
      <c r="E1266" s="136"/>
      <c r="F1266" s="132"/>
    </row>
  </sheetData>
  <mergeCells count="2142">
    <mergeCell ref="B5:F5"/>
    <mergeCell ref="A6:B6"/>
    <mergeCell ref="D6:E6"/>
    <mergeCell ref="A8:F8"/>
    <mergeCell ref="A9:B9"/>
    <mergeCell ref="D9:E9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25:B25"/>
    <mergeCell ref="D25:E25"/>
    <mergeCell ref="A26:B26"/>
    <mergeCell ref="D26:E26"/>
    <mergeCell ref="A28:F28"/>
    <mergeCell ref="A29:B29"/>
    <mergeCell ref="D29:E29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36:B36"/>
    <mergeCell ref="D36:E36"/>
    <mergeCell ref="A37:B37"/>
    <mergeCell ref="D37:E37"/>
    <mergeCell ref="A38:B38"/>
    <mergeCell ref="D38:E38"/>
    <mergeCell ref="A33:B33"/>
    <mergeCell ref="D33:E33"/>
    <mergeCell ref="A34:B34"/>
    <mergeCell ref="D34:E34"/>
    <mergeCell ref="A35:B35"/>
    <mergeCell ref="D35:E35"/>
    <mergeCell ref="A30:B30"/>
    <mergeCell ref="D30:E30"/>
    <mergeCell ref="A31:B31"/>
    <mergeCell ref="D31:E31"/>
    <mergeCell ref="A32:B32"/>
    <mergeCell ref="D32:E32"/>
    <mergeCell ref="A47:B47"/>
    <mergeCell ref="D47:E47"/>
    <mergeCell ref="A48:B48"/>
    <mergeCell ref="D48:E48"/>
    <mergeCell ref="A49:B49"/>
    <mergeCell ref="D49:E49"/>
    <mergeCell ref="A44:B44"/>
    <mergeCell ref="D44:E44"/>
    <mergeCell ref="A45:B45"/>
    <mergeCell ref="D45:E45"/>
    <mergeCell ref="A46:B46"/>
    <mergeCell ref="D46:E46"/>
    <mergeCell ref="A39:B39"/>
    <mergeCell ref="D39:E39"/>
    <mergeCell ref="A41:F41"/>
    <mergeCell ref="A42:B42"/>
    <mergeCell ref="D42:E42"/>
    <mergeCell ref="A43:B43"/>
    <mergeCell ref="D43:E43"/>
    <mergeCell ref="A58:B58"/>
    <mergeCell ref="D58:E58"/>
    <mergeCell ref="A59:B59"/>
    <mergeCell ref="D59:E59"/>
    <mergeCell ref="A60:B60"/>
    <mergeCell ref="D60:E60"/>
    <mergeCell ref="A55:B55"/>
    <mergeCell ref="D55:E55"/>
    <mergeCell ref="A56:B56"/>
    <mergeCell ref="D56:E56"/>
    <mergeCell ref="A57:B57"/>
    <mergeCell ref="D57:E57"/>
    <mergeCell ref="A50:B50"/>
    <mergeCell ref="D50:E50"/>
    <mergeCell ref="A52:F52"/>
    <mergeCell ref="A53:B53"/>
    <mergeCell ref="D53:E53"/>
    <mergeCell ref="A54:B54"/>
    <mergeCell ref="D54:E54"/>
    <mergeCell ref="A71:B71"/>
    <mergeCell ref="D71:E71"/>
    <mergeCell ref="A72:B72"/>
    <mergeCell ref="D72:E72"/>
    <mergeCell ref="A73:B73"/>
    <mergeCell ref="D73:E73"/>
    <mergeCell ref="A66:B66"/>
    <mergeCell ref="D66:E66"/>
    <mergeCell ref="A68:F68"/>
    <mergeCell ref="A69:B69"/>
    <mergeCell ref="D69:E69"/>
    <mergeCell ref="A70:B70"/>
    <mergeCell ref="D70:E70"/>
    <mergeCell ref="A61:B61"/>
    <mergeCell ref="D61:E61"/>
    <mergeCell ref="A63:F63"/>
    <mergeCell ref="A64:B64"/>
    <mergeCell ref="D64:E64"/>
    <mergeCell ref="A65:B65"/>
    <mergeCell ref="D65:E65"/>
    <mergeCell ref="A82:B82"/>
    <mergeCell ref="D82:E82"/>
    <mergeCell ref="A84:F84"/>
    <mergeCell ref="A85:B85"/>
    <mergeCell ref="D85:E85"/>
    <mergeCell ref="A86:B86"/>
    <mergeCell ref="D86:E86"/>
    <mergeCell ref="A77:B77"/>
    <mergeCell ref="D77:E77"/>
    <mergeCell ref="A79:F79"/>
    <mergeCell ref="A80:B80"/>
    <mergeCell ref="D80:E80"/>
    <mergeCell ref="A81:B81"/>
    <mergeCell ref="D81:E81"/>
    <mergeCell ref="A74:B74"/>
    <mergeCell ref="D74:E74"/>
    <mergeCell ref="A75:B75"/>
    <mergeCell ref="D75:E75"/>
    <mergeCell ref="A76:B76"/>
    <mergeCell ref="D76:E76"/>
    <mergeCell ref="A95:B95"/>
    <mergeCell ref="D95:E95"/>
    <mergeCell ref="A96:B96"/>
    <mergeCell ref="D96:E96"/>
    <mergeCell ref="A97:B97"/>
    <mergeCell ref="D97:E97"/>
    <mergeCell ref="A90:B90"/>
    <mergeCell ref="D90:E90"/>
    <mergeCell ref="A91:B91"/>
    <mergeCell ref="D91:E91"/>
    <mergeCell ref="A93:F93"/>
    <mergeCell ref="A94:B94"/>
    <mergeCell ref="D94:E94"/>
    <mergeCell ref="A87:B87"/>
    <mergeCell ref="D87:E87"/>
    <mergeCell ref="A88:B88"/>
    <mergeCell ref="D88:E88"/>
    <mergeCell ref="A89:B89"/>
    <mergeCell ref="D89:E89"/>
    <mergeCell ref="A108:B108"/>
    <mergeCell ref="D108:E108"/>
    <mergeCell ref="A109:B109"/>
    <mergeCell ref="D109:E109"/>
    <mergeCell ref="A110:B110"/>
    <mergeCell ref="D110:E110"/>
    <mergeCell ref="A103:B103"/>
    <mergeCell ref="D103:E103"/>
    <mergeCell ref="A104:B104"/>
    <mergeCell ref="D104:E104"/>
    <mergeCell ref="A106:F106"/>
    <mergeCell ref="A107:B107"/>
    <mergeCell ref="D107:E107"/>
    <mergeCell ref="A98:B98"/>
    <mergeCell ref="D98:E98"/>
    <mergeCell ref="A99:B99"/>
    <mergeCell ref="D99:E99"/>
    <mergeCell ref="A101:F101"/>
    <mergeCell ref="A102:B102"/>
    <mergeCell ref="D102:E102"/>
    <mergeCell ref="A120:F120"/>
    <mergeCell ref="A121:B121"/>
    <mergeCell ref="D121:E121"/>
    <mergeCell ref="A122:B122"/>
    <mergeCell ref="D122:E122"/>
    <mergeCell ref="A123:B123"/>
    <mergeCell ref="D123:E123"/>
    <mergeCell ref="A116:B116"/>
    <mergeCell ref="D116:E116"/>
    <mergeCell ref="A117:B117"/>
    <mergeCell ref="D117:E117"/>
    <mergeCell ref="A118:B118"/>
    <mergeCell ref="D118:E118"/>
    <mergeCell ref="A111:B111"/>
    <mergeCell ref="D111:E111"/>
    <mergeCell ref="A113:F113"/>
    <mergeCell ref="A114:B114"/>
    <mergeCell ref="D114:E114"/>
    <mergeCell ref="A115:B115"/>
    <mergeCell ref="D115:E115"/>
    <mergeCell ref="A134:B134"/>
    <mergeCell ref="D134:E134"/>
    <mergeCell ref="A135:B135"/>
    <mergeCell ref="D135:E135"/>
    <mergeCell ref="A136:B136"/>
    <mergeCell ref="D136:E136"/>
    <mergeCell ref="A129:B129"/>
    <mergeCell ref="D129:E129"/>
    <mergeCell ref="A131:F131"/>
    <mergeCell ref="A132:B132"/>
    <mergeCell ref="D132:E132"/>
    <mergeCell ref="A133:B133"/>
    <mergeCell ref="D133:E133"/>
    <mergeCell ref="A125:F125"/>
    <mergeCell ref="A126:B126"/>
    <mergeCell ref="D126:E126"/>
    <mergeCell ref="A127:B127"/>
    <mergeCell ref="D127:E127"/>
    <mergeCell ref="A128:B128"/>
    <mergeCell ref="D128:E128"/>
    <mergeCell ref="A143:B143"/>
    <mergeCell ref="D143:E143"/>
    <mergeCell ref="A145:F145"/>
    <mergeCell ref="A146:B146"/>
    <mergeCell ref="D146:E146"/>
    <mergeCell ref="A147:B147"/>
    <mergeCell ref="D147:E147"/>
    <mergeCell ref="A140:B140"/>
    <mergeCell ref="D140:E140"/>
    <mergeCell ref="A141:B141"/>
    <mergeCell ref="D141:E141"/>
    <mergeCell ref="A142:B142"/>
    <mergeCell ref="D142:E142"/>
    <mergeCell ref="A137:B137"/>
    <mergeCell ref="D137:E137"/>
    <mergeCell ref="A138:B138"/>
    <mergeCell ref="D138:E138"/>
    <mergeCell ref="A139:B139"/>
    <mergeCell ref="D139:E139"/>
    <mergeCell ref="A154:B154"/>
    <mergeCell ref="D154:E154"/>
    <mergeCell ref="A155:B155"/>
    <mergeCell ref="D155:E155"/>
    <mergeCell ref="A156:B156"/>
    <mergeCell ref="D156:E156"/>
    <mergeCell ref="A151:B151"/>
    <mergeCell ref="D151:E151"/>
    <mergeCell ref="A152:B152"/>
    <mergeCell ref="D152:E152"/>
    <mergeCell ref="A153:B153"/>
    <mergeCell ref="D153:E153"/>
    <mergeCell ref="A148:B148"/>
    <mergeCell ref="D148:E148"/>
    <mergeCell ref="A149:B149"/>
    <mergeCell ref="D149:E149"/>
    <mergeCell ref="A150:B150"/>
    <mergeCell ref="D150:E150"/>
    <mergeCell ref="A165:B165"/>
    <mergeCell ref="D165:E165"/>
    <mergeCell ref="A166:B166"/>
    <mergeCell ref="D166:E166"/>
    <mergeCell ref="A167:B167"/>
    <mergeCell ref="D167:E167"/>
    <mergeCell ref="A162:B162"/>
    <mergeCell ref="D162:E162"/>
    <mergeCell ref="A163:B163"/>
    <mergeCell ref="D163:E163"/>
    <mergeCell ref="A164:B164"/>
    <mergeCell ref="D164:E164"/>
    <mergeCell ref="A157:B157"/>
    <mergeCell ref="D157:E157"/>
    <mergeCell ref="A159:F159"/>
    <mergeCell ref="A160:B160"/>
    <mergeCell ref="D160:E160"/>
    <mergeCell ref="A161:B161"/>
    <mergeCell ref="D161:E161"/>
    <mergeCell ref="A176:B176"/>
    <mergeCell ref="D176:E176"/>
    <mergeCell ref="A177:B177"/>
    <mergeCell ref="D177:E177"/>
    <mergeCell ref="A178:B178"/>
    <mergeCell ref="D178:E178"/>
    <mergeCell ref="A172:F172"/>
    <mergeCell ref="A173:B173"/>
    <mergeCell ref="D173:E173"/>
    <mergeCell ref="A174:B174"/>
    <mergeCell ref="D174:E174"/>
    <mergeCell ref="A175:B175"/>
    <mergeCell ref="D175:E175"/>
    <mergeCell ref="A168:B168"/>
    <mergeCell ref="D168:E168"/>
    <mergeCell ref="A169:B169"/>
    <mergeCell ref="D169:E169"/>
    <mergeCell ref="A170:B170"/>
    <mergeCell ref="D170:E170"/>
    <mergeCell ref="A187:B187"/>
    <mergeCell ref="D187:E187"/>
    <mergeCell ref="A188:B188"/>
    <mergeCell ref="D188:E188"/>
    <mergeCell ref="A189:B189"/>
    <mergeCell ref="D189:E189"/>
    <mergeCell ref="A184:B184"/>
    <mergeCell ref="D184:E184"/>
    <mergeCell ref="A185:B185"/>
    <mergeCell ref="D185:E185"/>
    <mergeCell ref="A186:B186"/>
    <mergeCell ref="D186:E186"/>
    <mergeCell ref="A179:B179"/>
    <mergeCell ref="D179:E179"/>
    <mergeCell ref="A181:F181"/>
    <mergeCell ref="A182:B182"/>
    <mergeCell ref="D182:E182"/>
    <mergeCell ref="A183:B183"/>
    <mergeCell ref="D183:E183"/>
    <mergeCell ref="A196:B196"/>
    <mergeCell ref="D196:E196"/>
    <mergeCell ref="A197:B197"/>
    <mergeCell ref="D197:E197"/>
    <mergeCell ref="A198:B198"/>
    <mergeCell ref="D198:E198"/>
    <mergeCell ref="A193:B193"/>
    <mergeCell ref="D193:E193"/>
    <mergeCell ref="A194:B194"/>
    <mergeCell ref="D194:E194"/>
    <mergeCell ref="A195:B195"/>
    <mergeCell ref="D195:E195"/>
    <mergeCell ref="A190:B190"/>
    <mergeCell ref="D190:E190"/>
    <mergeCell ref="A191:B191"/>
    <mergeCell ref="D191:E191"/>
    <mergeCell ref="A192:B192"/>
    <mergeCell ref="D192:E192"/>
    <mergeCell ref="A208:F208"/>
    <mergeCell ref="A209:B209"/>
    <mergeCell ref="D209:E209"/>
    <mergeCell ref="A210:B210"/>
    <mergeCell ref="D210:E210"/>
    <mergeCell ref="A211:B211"/>
    <mergeCell ref="D211:E211"/>
    <mergeCell ref="A204:B204"/>
    <mergeCell ref="D204:E204"/>
    <mergeCell ref="A205:B205"/>
    <mergeCell ref="D205:E205"/>
    <mergeCell ref="A206:B206"/>
    <mergeCell ref="D206:E206"/>
    <mergeCell ref="A200:F200"/>
    <mergeCell ref="A201:B201"/>
    <mergeCell ref="D201:E201"/>
    <mergeCell ref="A202:B202"/>
    <mergeCell ref="D202:E202"/>
    <mergeCell ref="A203:B203"/>
    <mergeCell ref="D203:E203"/>
    <mergeCell ref="A223:F223"/>
    <mergeCell ref="A224:B224"/>
    <mergeCell ref="D224:E224"/>
    <mergeCell ref="A225:B225"/>
    <mergeCell ref="D225:E225"/>
    <mergeCell ref="A226:B226"/>
    <mergeCell ref="D226:E226"/>
    <mergeCell ref="A218:F218"/>
    <mergeCell ref="A219:B219"/>
    <mergeCell ref="D219:E219"/>
    <mergeCell ref="A220:B220"/>
    <mergeCell ref="D220:E220"/>
    <mergeCell ref="A221:B221"/>
    <mergeCell ref="D221:E221"/>
    <mergeCell ref="A213:F213"/>
    <mergeCell ref="A214:B214"/>
    <mergeCell ref="D214:E214"/>
    <mergeCell ref="A215:B215"/>
    <mergeCell ref="D215:E215"/>
    <mergeCell ref="A216:B216"/>
    <mergeCell ref="D216:E216"/>
    <mergeCell ref="A233:B233"/>
    <mergeCell ref="D233:E233"/>
    <mergeCell ref="A234:B234"/>
    <mergeCell ref="D234:E234"/>
    <mergeCell ref="A235:B235"/>
    <mergeCell ref="D235:E235"/>
    <mergeCell ref="A230:B230"/>
    <mergeCell ref="D230:E230"/>
    <mergeCell ref="A231:B231"/>
    <mergeCell ref="D231:E231"/>
    <mergeCell ref="A232:B232"/>
    <mergeCell ref="D232:E232"/>
    <mergeCell ref="A227:B227"/>
    <mergeCell ref="D227:E227"/>
    <mergeCell ref="A228:B228"/>
    <mergeCell ref="D228:E228"/>
    <mergeCell ref="A229:B229"/>
    <mergeCell ref="D229:E229"/>
    <mergeCell ref="A245:F245"/>
    <mergeCell ref="A246:B246"/>
    <mergeCell ref="D246:E246"/>
    <mergeCell ref="A247:B247"/>
    <mergeCell ref="D247:E247"/>
    <mergeCell ref="A248:B248"/>
    <mergeCell ref="D248:E248"/>
    <mergeCell ref="A241:B241"/>
    <mergeCell ref="D241:E241"/>
    <mergeCell ref="A242:B242"/>
    <mergeCell ref="D242:E242"/>
    <mergeCell ref="A243:B243"/>
    <mergeCell ref="D243:E243"/>
    <mergeCell ref="A237:F237"/>
    <mergeCell ref="A238:B238"/>
    <mergeCell ref="D238:E238"/>
    <mergeCell ref="A239:B239"/>
    <mergeCell ref="D239:E239"/>
    <mergeCell ref="A240:B240"/>
    <mergeCell ref="D240:E240"/>
    <mergeCell ref="A258:F258"/>
    <mergeCell ref="A259:B259"/>
    <mergeCell ref="D259:E259"/>
    <mergeCell ref="A260:B260"/>
    <mergeCell ref="D260:E260"/>
    <mergeCell ref="A261:B261"/>
    <mergeCell ref="D261:E261"/>
    <mergeCell ref="A254:B254"/>
    <mergeCell ref="D254:E254"/>
    <mergeCell ref="A255:B255"/>
    <mergeCell ref="D255:E255"/>
    <mergeCell ref="A256:B256"/>
    <mergeCell ref="D256:E256"/>
    <mergeCell ref="A250:F250"/>
    <mergeCell ref="A251:B251"/>
    <mergeCell ref="D251:E251"/>
    <mergeCell ref="A252:B252"/>
    <mergeCell ref="D252:E252"/>
    <mergeCell ref="A253:B253"/>
    <mergeCell ref="D253:E253"/>
    <mergeCell ref="A272:B272"/>
    <mergeCell ref="D272:E272"/>
    <mergeCell ref="A273:B273"/>
    <mergeCell ref="D273:E273"/>
    <mergeCell ref="A274:B274"/>
    <mergeCell ref="D274:E274"/>
    <mergeCell ref="A268:F268"/>
    <mergeCell ref="A269:B269"/>
    <mergeCell ref="D269:E269"/>
    <mergeCell ref="A270:B270"/>
    <mergeCell ref="D270:E270"/>
    <mergeCell ref="A271:B271"/>
    <mergeCell ref="D271:E271"/>
    <mergeCell ref="A263:F263"/>
    <mergeCell ref="A264:B264"/>
    <mergeCell ref="D264:E264"/>
    <mergeCell ref="A265:B265"/>
    <mergeCell ref="D265:E265"/>
    <mergeCell ref="A266:B266"/>
    <mergeCell ref="D266:E266"/>
    <mergeCell ref="A283:B283"/>
    <mergeCell ref="D283:E283"/>
    <mergeCell ref="A285:F285"/>
    <mergeCell ref="A286:B286"/>
    <mergeCell ref="D286:E286"/>
    <mergeCell ref="A287:B287"/>
    <mergeCell ref="D287:E287"/>
    <mergeCell ref="A279:F279"/>
    <mergeCell ref="A280:B280"/>
    <mergeCell ref="D280:E280"/>
    <mergeCell ref="A281:B281"/>
    <mergeCell ref="D281:E281"/>
    <mergeCell ref="A282:B282"/>
    <mergeCell ref="D282:E282"/>
    <mergeCell ref="A275:B275"/>
    <mergeCell ref="D275:E275"/>
    <mergeCell ref="A276:B276"/>
    <mergeCell ref="D276:E276"/>
    <mergeCell ref="A277:B277"/>
    <mergeCell ref="D277:E277"/>
    <mergeCell ref="A296:B296"/>
    <mergeCell ref="D296:E296"/>
    <mergeCell ref="A298:F298"/>
    <mergeCell ref="A299:B299"/>
    <mergeCell ref="D299:E299"/>
    <mergeCell ref="A300:B300"/>
    <mergeCell ref="D300:E300"/>
    <mergeCell ref="A293:B293"/>
    <mergeCell ref="D293:E293"/>
    <mergeCell ref="A294:B294"/>
    <mergeCell ref="D294:E294"/>
    <mergeCell ref="A295:B295"/>
    <mergeCell ref="D295:E295"/>
    <mergeCell ref="A288:B288"/>
    <mergeCell ref="D288:E288"/>
    <mergeCell ref="A290:F290"/>
    <mergeCell ref="A291:B291"/>
    <mergeCell ref="D291:E291"/>
    <mergeCell ref="A292:B292"/>
    <mergeCell ref="D292:E292"/>
    <mergeCell ref="A309:B309"/>
    <mergeCell ref="D309:E309"/>
    <mergeCell ref="A310:B310"/>
    <mergeCell ref="D310:E310"/>
    <mergeCell ref="A311:B311"/>
    <mergeCell ref="D311:E311"/>
    <mergeCell ref="A304:B304"/>
    <mergeCell ref="D304:E304"/>
    <mergeCell ref="A306:F306"/>
    <mergeCell ref="A307:B307"/>
    <mergeCell ref="D307:E307"/>
    <mergeCell ref="A308:B308"/>
    <mergeCell ref="D308:E308"/>
    <mergeCell ref="A301:B301"/>
    <mergeCell ref="D301:E301"/>
    <mergeCell ref="A302:B302"/>
    <mergeCell ref="D302:E302"/>
    <mergeCell ref="A303:B303"/>
    <mergeCell ref="D303:E303"/>
    <mergeCell ref="A320:B320"/>
    <mergeCell ref="D320:E320"/>
    <mergeCell ref="A321:B321"/>
    <mergeCell ref="D321:E321"/>
    <mergeCell ref="A322:B322"/>
    <mergeCell ref="D322:E322"/>
    <mergeCell ref="A317:B317"/>
    <mergeCell ref="D317:E317"/>
    <mergeCell ref="A318:B318"/>
    <mergeCell ref="D318:E318"/>
    <mergeCell ref="A319:B319"/>
    <mergeCell ref="D319:E319"/>
    <mergeCell ref="A312:B312"/>
    <mergeCell ref="D312:E312"/>
    <mergeCell ref="A314:F314"/>
    <mergeCell ref="A315:B315"/>
    <mergeCell ref="D315:E315"/>
    <mergeCell ref="A316:B316"/>
    <mergeCell ref="D316:E316"/>
    <mergeCell ref="A330:F330"/>
    <mergeCell ref="A331:B331"/>
    <mergeCell ref="D331:E331"/>
    <mergeCell ref="A332:B332"/>
    <mergeCell ref="D332:E332"/>
    <mergeCell ref="A333:B333"/>
    <mergeCell ref="D333:E333"/>
    <mergeCell ref="A326:B326"/>
    <mergeCell ref="D326:E326"/>
    <mergeCell ref="A327:B327"/>
    <mergeCell ref="D327:E327"/>
    <mergeCell ref="A328:B328"/>
    <mergeCell ref="D328:E328"/>
    <mergeCell ref="A323:B323"/>
    <mergeCell ref="D323:E323"/>
    <mergeCell ref="A324:B324"/>
    <mergeCell ref="D324:E324"/>
    <mergeCell ref="A325:B325"/>
    <mergeCell ref="D325:E325"/>
    <mergeCell ref="A342:B342"/>
    <mergeCell ref="D342:E342"/>
    <mergeCell ref="A344:F344"/>
    <mergeCell ref="A345:B345"/>
    <mergeCell ref="D345:E345"/>
    <mergeCell ref="A346:B346"/>
    <mergeCell ref="D346:E346"/>
    <mergeCell ref="A339:B339"/>
    <mergeCell ref="D339:E339"/>
    <mergeCell ref="A340:B340"/>
    <mergeCell ref="D340:E340"/>
    <mergeCell ref="A341:B341"/>
    <mergeCell ref="D341:E341"/>
    <mergeCell ref="A334:B334"/>
    <mergeCell ref="D334:E334"/>
    <mergeCell ref="A335:B335"/>
    <mergeCell ref="D335:E335"/>
    <mergeCell ref="A337:F337"/>
    <mergeCell ref="A338:B338"/>
    <mergeCell ref="D338:E338"/>
    <mergeCell ref="A353:B353"/>
    <mergeCell ref="D353:E353"/>
    <mergeCell ref="A354:B354"/>
    <mergeCell ref="D354:E354"/>
    <mergeCell ref="A355:B355"/>
    <mergeCell ref="D355:E355"/>
    <mergeCell ref="A350:B350"/>
    <mergeCell ref="D350:E350"/>
    <mergeCell ref="A351:B351"/>
    <mergeCell ref="D351:E351"/>
    <mergeCell ref="A352:B352"/>
    <mergeCell ref="D352:E352"/>
    <mergeCell ref="A347:B347"/>
    <mergeCell ref="D347:E347"/>
    <mergeCell ref="A348:B348"/>
    <mergeCell ref="D348:E348"/>
    <mergeCell ref="A349:B349"/>
    <mergeCell ref="D349:E349"/>
    <mergeCell ref="A364:B364"/>
    <mergeCell ref="D364:E364"/>
    <mergeCell ref="A365:B365"/>
    <mergeCell ref="D365:E365"/>
    <mergeCell ref="A366:B366"/>
    <mergeCell ref="D366:E366"/>
    <mergeCell ref="A361:B361"/>
    <mergeCell ref="D361:E361"/>
    <mergeCell ref="A362:B362"/>
    <mergeCell ref="D362:E362"/>
    <mergeCell ref="A363:B363"/>
    <mergeCell ref="D363:E363"/>
    <mergeCell ref="A356:B356"/>
    <mergeCell ref="D356:E356"/>
    <mergeCell ref="A358:F358"/>
    <mergeCell ref="A359:B359"/>
    <mergeCell ref="D359:E359"/>
    <mergeCell ref="A360:B360"/>
    <mergeCell ref="D360:E360"/>
    <mergeCell ref="A377:B377"/>
    <mergeCell ref="D377:E377"/>
    <mergeCell ref="A378:B378"/>
    <mergeCell ref="D378:E378"/>
    <mergeCell ref="A380:F380"/>
    <mergeCell ref="A381:B381"/>
    <mergeCell ref="D381:E381"/>
    <mergeCell ref="A373:F373"/>
    <mergeCell ref="A374:B374"/>
    <mergeCell ref="D374:E374"/>
    <mergeCell ref="A375:B375"/>
    <mergeCell ref="D375:E375"/>
    <mergeCell ref="A376:B376"/>
    <mergeCell ref="D376:E376"/>
    <mergeCell ref="A368:F368"/>
    <mergeCell ref="A369:B369"/>
    <mergeCell ref="D369:E369"/>
    <mergeCell ref="A370:B370"/>
    <mergeCell ref="D370:E370"/>
    <mergeCell ref="A371:B371"/>
    <mergeCell ref="D371:E371"/>
    <mergeCell ref="A388:B388"/>
    <mergeCell ref="D388:E388"/>
    <mergeCell ref="A390:F390"/>
    <mergeCell ref="A391:B391"/>
    <mergeCell ref="D391:E391"/>
    <mergeCell ref="A392:B392"/>
    <mergeCell ref="D392:E392"/>
    <mergeCell ref="A385:B385"/>
    <mergeCell ref="D385:E385"/>
    <mergeCell ref="A386:B386"/>
    <mergeCell ref="D386:E386"/>
    <mergeCell ref="A387:B387"/>
    <mergeCell ref="D387:E387"/>
    <mergeCell ref="A382:B382"/>
    <mergeCell ref="D382:E382"/>
    <mergeCell ref="A383:B383"/>
    <mergeCell ref="D383:E383"/>
    <mergeCell ref="A384:B384"/>
    <mergeCell ref="D384:E384"/>
    <mergeCell ref="A401:B401"/>
    <mergeCell ref="D401:E401"/>
    <mergeCell ref="A402:B402"/>
    <mergeCell ref="D402:E402"/>
    <mergeCell ref="A403:B403"/>
    <mergeCell ref="D403:E403"/>
    <mergeCell ref="A398:B398"/>
    <mergeCell ref="D398:E398"/>
    <mergeCell ref="A399:B399"/>
    <mergeCell ref="D399:E399"/>
    <mergeCell ref="A400:B400"/>
    <mergeCell ref="D400:E400"/>
    <mergeCell ref="A393:B393"/>
    <mergeCell ref="D393:E393"/>
    <mergeCell ref="A395:F395"/>
    <mergeCell ref="A396:B396"/>
    <mergeCell ref="D396:E396"/>
    <mergeCell ref="A397:B397"/>
    <mergeCell ref="D397:E397"/>
    <mergeCell ref="A414:B414"/>
    <mergeCell ref="D414:E414"/>
    <mergeCell ref="A415:B415"/>
    <mergeCell ref="D415:E415"/>
    <mergeCell ref="A417:F417"/>
    <mergeCell ref="A418:B418"/>
    <mergeCell ref="D418:E418"/>
    <mergeCell ref="A409:B409"/>
    <mergeCell ref="D409:E409"/>
    <mergeCell ref="A410:B410"/>
    <mergeCell ref="D410:E410"/>
    <mergeCell ref="A412:F412"/>
    <mergeCell ref="A413:B413"/>
    <mergeCell ref="D413:E413"/>
    <mergeCell ref="A404:B404"/>
    <mergeCell ref="D404:E404"/>
    <mergeCell ref="A405:B405"/>
    <mergeCell ref="D405:E405"/>
    <mergeCell ref="A407:F407"/>
    <mergeCell ref="A408:B408"/>
    <mergeCell ref="D408:E408"/>
    <mergeCell ref="A427:B427"/>
    <mergeCell ref="D427:E427"/>
    <mergeCell ref="A429:F429"/>
    <mergeCell ref="A430:B430"/>
    <mergeCell ref="D430:E430"/>
    <mergeCell ref="A431:B431"/>
    <mergeCell ref="D431:E431"/>
    <mergeCell ref="A423:F423"/>
    <mergeCell ref="A424:B424"/>
    <mergeCell ref="D424:E424"/>
    <mergeCell ref="A425:B425"/>
    <mergeCell ref="D425:E425"/>
    <mergeCell ref="A426:B426"/>
    <mergeCell ref="D426:E426"/>
    <mergeCell ref="A419:B419"/>
    <mergeCell ref="D419:E419"/>
    <mergeCell ref="A420:B420"/>
    <mergeCell ref="D420:E420"/>
    <mergeCell ref="A421:B421"/>
    <mergeCell ref="D421:E421"/>
    <mergeCell ref="A440:B440"/>
    <mergeCell ref="D440:E440"/>
    <mergeCell ref="A441:B441"/>
    <mergeCell ref="D441:E441"/>
    <mergeCell ref="A442:B442"/>
    <mergeCell ref="D442:E442"/>
    <mergeCell ref="A435:B435"/>
    <mergeCell ref="D435:E435"/>
    <mergeCell ref="A436:B436"/>
    <mergeCell ref="D436:E436"/>
    <mergeCell ref="A438:F438"/>
    <mergeCell ref="A439:B439"/>
    <mergeCell ref="D439:E439"/>
    <mergeCell ref="A432:B432"/>
    <mergeCell ref="D432:E432"/>
    <mergeCell ref="A433:B433"/>
    <mergeCell ref="D433:E433"/>
    <mergeCell ref="A434:B434"/>
    <mergeCell ref="D434:E434"/>
    <mergeCell ref="A449:B449"/>
    <mergeCell ref="D449:E449"/>
    <mergeCell ref="A450:B450"/>
    <mergeCell ref="D450:E450"/>
    <mergeCell ref="A451:B451"/>
    <mergeCell ref="D451:E451"/>
    <mergeCell ref="A446:B446"/>
    <mergeCell ref="D446:E446"/>
    <mergeCell ref="A447:B447"/>
    <mergeCell ref="D447:E447"/>
    <mergeCell ref="A448:B448"/>
    <mergeCell ref="D448:E448"/>
    <mergeCell ref="A443:B443"/>
    <mergeCell ref="D443:E443"/>
    <mergeCell ref="A444:B444"/>
    <mergeCell ref="D444:E444"/>
    <mergeCell ref="A445:B445"/>
    <mergeCell ref="D445:E445"/>
    <mergeCell ref="A458:B458"/>
    <mergeCell ref="D458:E458"/>
    <mergeCell ref="A460:F460"/>
    <mergeCell ref="A461:B461"/>
    <mergeCell ref="D461:E461"/>
    <mergeCell ref="A462:B462"/>
    <mergeCell ref="D462:E462"/>
    <mergeCell ref="A455:B455"/>
    <mergeCell ref="D455:E455"/>
    <mergeCell ref="A456:B456"/>
    <mergeCell ref="D456:E456"/>
    <mergeCell ref="A457:B457"/>
    <mergeCell ref="D457:E457"/>
    <mergeCell ref="A452:B452"/>
    <mergeCell ref="D452:E452"/>
    <mergeCell ref="A453:B453"/>
    <mergeCell ref="D453:E453"/>
    <mergeCell ref="A454:B454"/>
    <mergeCell ref="D454:E454"/>
    <mergeCell ref="A469:B469"/>
    <mergeCell ref="D469:E469"/>
    <mergeCell ref="A470:B470"/>
    <mergeCell ref="D470:E470"/>
    <mergeCell ref="A471:B471"/>
    <mergeCell ref="D471:E471"/>
    <mergeCell ref="A466:B466"/>
    <mergeCell ref="D466:E466"/>
    <mergeCell ref="A467:B467"/>
    <mergeCell ref="D467:E467"/>
    <mergeCell ref="A468:B468"/>
    <mergeCell ref="D468:E468"/>
    <mergeCell ref="A463:B463"/>
    <mergeCell ref="D463:E463"/>
    <mergeCell ref="A464:B464"/>
    <mergeCell ref="D464:E464"/>
    <mergeCell ref="A465:B465"/>
    <mergeCell ref="D465:E465"/>
    <mergeCell ref="A480:B480"/>
    <mergeCell ref="D480:E480"/>
    <mergeCell ref="A481:B481"/>
    <mergeCell ref="D481:E481"/>
    <mergeCell ref="A482:B482"/>
    <mergeCell ref="D482:E482"/>
    <mergeCell ref="A477:B477"/>
    <mergeCell ref="D477:E477"/>
    <mergeCell ref="A478:B478"/>
    <mergeCell ref="D478:E478"/>
    <mergeCell ref="A479:B479"/>
    <mergeCell ref="D479:E479"/>
    <mergeCell ref="A473:F473"/>
    <mergeCell ref="A474:B474"/>
    <mergeCell ref="D474:E474"/>
    <mergeCell ref="A475:B475"/>
    <mergeCell ref="D475:E475"/>
    <mergeCell ref="A476:B476"/>
    <mergeCell ref="D476:E476"/>
    <mergeCell ref="A492:F492"/>
    <mergeCell ref="A493:B493"/>
    <mergeCell ref="D493:E493"/>
    <mergeCell ref="A494:B494"/>
    <mergeCell ref="D494:E494"/>
    <mergeCell ref="A495:B495"/>
    <mergeCell ref="D495:E495"/>
    <mergeCell ref="A487:F487"/>
    <mergeCell ref="A488:B488"/>
    <mergeCell ref="D488:E488"/>
    <mergeCell ref="A489:B489"/>
    <mergeCell ref="D489:E489"/>
    <mergeCell ref="A490:B490"/>
    <mergeCell ref="D490:E490"/>
    <mergeCell ref="A483:B483"/>
    <mergeCell ref="D483:E483"/>
    <mergeCell ref="A484:B484"/>
    <mergeCell ref="D484:E484"/>
    <mergeCell ref="A485:B485"/>
    <mergeCell ref="D485:E485"/>
    <mergeCell ref="A502:B502"/>
    <mergeCell ref="D502:E502"/>
    <mergeCell ref="A503:B503"/>
    <mergeCell ref="D503:E503"/>
    <mergeCell ref="A504:B504"/>
    <mergeCell ref="D504:E504"/>
    <mergeCell ref="A499:B499"/>
    <mergeCell ref="D499:E499"/>
    <mergeCell ref="A500:B500"/>
    <mergeCell ref="D500:E500"/>
    <mergeCell ref="A501:B501"/>
    <mergeCell ref="D501:E501"/>
    <mergeCell ref="A496:B496"/>
    <mergeCell ref="D496:E496"/>
    <mergeCell ref="A497:B497"/>
    <mergeCell ref="D497:E497"/>
    <mergeCell ref="A498:B498"/>
    <mergeCell ref="D498:E498"/>
    <mergeCell ref="A515:B515"/>
    <mergeCell ref="D515:E515"/>
    <mergeCell ref="A516:B516"/>
    <mergeCell ref="D516:E516"/>
    <mergeCell ref="A517:B517"/>
    <mergeCell ref="D517:E517"/>
    <mergeCell ref="A510:B510"/>
    <mergeCell ref="D510:E510"/>
    <mergeCell ref="A512:F512"/>
    <mergeCell ref="A513:B513"/>
    <mergeCell ref="D513:E513"/>
    <mergeCell ref="A514:B514"/>
    <mergeCell ref="D514:E514"/>
    <mergeCell ref="A506:F506"/>
    <mergeCell ref="A507:B507"/>
    <mergeCell ref="D507:E507"/>
    <mergeCell ref="A508:B508"/>
    <mergeCell ref="D508:E508"/>
    <mergeCell ref="A509:B509"/>
    <mergeCell ref="D509:E509"/>
    <mergeCell ref="A526:B526"/>
    <mergeCell ref="D526:E526"/>
    <mergeCell ref="A527:B527"/>
    <mergeCell ref="D527:E527"/>
    <mergeCell ref="A528:B528"/>
    <mergeCell ref="D528:E528"/>
    <mergeCell ref="A523:B523"/>
    <mergeCell ref="D523:E523"/>
    <mergeCell ref="A524:B524"/>
    <mergeCell ref="D524:E524"/>
    <mergeCell ref="A525:B525"/>
    <mergeCell ref="D525:E525"/>
    <mergeCell ref="A518:B518"/>
    <mergeCell ref="D518:E518"/>
    <mergeCell ref="A520:F520"/>
    <mergeCell ref="A521:B521"/>
    <mergeCell ref="D521:E521"/>
    <mergeCell ref="A522:B522"/>
    <mergeCell ref="D522:E522"/>
    <mergeCell ref="A537:B537"/>
    <mergeCell ref="D537:E537"/>
    <mergeCell ref="A538:B538"/>
    <mergeCell ref="D538:E538"/>
    <mergeCell ref="A539:B539"/>
    <mergeCell ref="D539:E539"/>
    <mergeCell ref="A532:B532"/>
    <mergeCell ref="D532:E532"/>
    <mergeCell ref="A534:F534"/>
    <mergeCell ref="A535:B535"/>
    <mergeCell ref="D535:E535"/>
    <mergeCell ref="A536:B536"/>
    <mergeCell ref="D536:E536"/>
    <mergeCell ref="A529:B529"/>
    <mergeCell ref="D529:E529"/>
    <mergeCell ref="A530:B530"/>
    <mergeCell ref="D530:E530"/>
    <mergeCell ref="A531:B531"/>
    <mergeCell ref="D531:E531"/>
    <mergeCell ref="A546:B546"/>
    <mergeCell ref="D546:E546"/>
    <mergeCell ref="A548:F548"/>
    <mergeCell ref="A549:B549"/>
    <mergeCell ref="D549:E549"/>
    <mergeCell ref="A550:B550"/>
    <mergeCell ref="D550:E550"/>
    <mergeCell ref="A543:B543"/>
    <mergeCell ref="D543:E543"/>
    <mergeCell ref="A544:B544"/>
    <mergeCell ref="D544:E544"/>
    <mergeCell ref="A545:B545"/>
    <mergeCell ref="D545:E545"/>
    <mergeCell ref="A540:B540"/>
    <mergeCell ref="D540:E540"/>
    <mergeCell ref="A541:B541"/>
    <mergeCell ref="D541:E541"/>
    <mergeCell ref="A542:B542"/>
    <mergeCell ref="D542:E542"/>
    <mergeCell ref="A557:B557"/>
    <mergeCell ref="D557:E557"/>
    <mergeCell ref="A558:B558"/>
    <mergeCell ref="D558:E558"/>
    <mergeCell ref="A559:B559"/>
    <mergeCell ref="D559:E559"/>
    <mergeCell ref="A554:B554"/>
    <mergeCell ref="D554:E554"/>
    <mergeCell ref="A555:B555"/>
    <mergeCell ref="D555:E555"/>
    <mergeCell ref="A556:B556"/>
    <mergeCell ref="D556:E556"/>
    <mergeCell ref="A551:B551"/>
    <mergeCell ref="D551:E551"/>
    <mergeCell ref="A552:B552"/>
    <mergeCell ref="D552:E552"/>
    <mergeCell ref="A553:B553"/>
    <mergeCell ref="D553:E553"/>
    <mergeCell ref="A569:F569"/>
    <mergeCell ref="A570:B570"/>
    <mergeCell ref="D570:E570"/>
    <mergeCell ref="A571:B571"/>
    <mergeCell ref="D571:E571"/>
    <mergeCell ref="A572:B572"/>
    <mergeCell ref="D572:E572"/>
    <mergeCell ref="A565:B565"/>
    <mergeCell ref="D565:E565"/>
    <mergeCell ref="A566:B566"/>
    <mergeCell ref="D566:E566"/>
    <mergeCell ref="A567:B567"/>
    <mergeCell ref="D567:E567"/>
    <mergeCell ref="A561:F561"/>
    <mergeCell ref="A562:B562"/>
    <mergeCell ref="D562:E562"/>
    <mergeCell ref="A563:B563"/>
    <mergeCell ref="D563:E563"/>
    <mergeCell ref="A564:B564"/>
    <mergeCell ref="D564:E564"/>
    <mergeCell ref="A581:B581"/>
    <mergeCell ref="D581:E581"/>
    <mergeCell ref="A582:B582"/>
    <mergeCell ref="D582:E582"/>
    <mergeCell ref="A583:B583"/>
    <mergeCell ref="D583:E583"/>
    <mergeCell ref="A576:B576"/>
    <mergeCell ref="D576:E576"/>
    <mergeCell ref="A578:F578"/>
    <mergeCell ref="A579:B579"/>
    <mergeCell ref="D579:E579"/>
    <mergeCell ref="A580:B580"/>
    <mergeCell ref="D580:E580"/>
    <mergeCell ref="A573:B573"/>
    <mergeCell ref="D573:E573"/>
    <mergeCell ref="A574:B574"/>
    <mergeCell ref="D574:E574"/>
    <mergeCell ref="A575:B575"/>
    <mergeCell ref="D575:E575"/>
    <mergeCell ref="A592:B592"/>
    <mergeCell ref="D592:E592"/>
    <mergeCell ref="A593:B593"/>
    <mergeCell ref="D593:E593"/>
    <mergeCell ref="A594:B594"/>
    <mergeCell ref="D594:E594"/>
    <mergeCell ref="A589:B589"/>
    <mergeCell ref="D589:E589"/>
    <mergeCell ref="A590:B590"/>
    <mergeCell ref="D590:E590"/>
    <mergeCell ref="A591:B591"/>
    <mergeCell ref="D591:E591"/>
    <mergeCell ref="A584:B584"/>
    <mergeCell ref="D584:E584"/>
    <mergeCell ref="A585:B585"/>
    <mergeCell ref="D585:E585"/>
    <mergeCell ref="A587:F587"/>
    <mergeCell ref="A588:B588"/>
    <mergeCell ref="D588:E588"/>
    <mergeCell ref="A601:B601"/>
    <mergeCell ref="D601:E601"/>
    <mergeCell ref="A603:F603"/>
    <mergeCell ref="A604:B604"/>
    <mergeCell ref="D604:E604"/>
    <mergeCell ref="A605:B605"/>
    <mergeCell ref="D605:E605"/>
    <mergeCell ref="A598:B598"/>
    <mergeCell ref="D598:E598"/>
    <mergeCell ref="A599:B599"/>
    <mergeCell ref="D599:E599"/>
    <mergeCell ref="A600:B600"/>
    <mergeCell ref="D600:E600"/>
    <mergeCell ref="A595:B595"/>
    <mergeCell ref="D595:E595"/>
    <mergeCell ref="A596:B596"/>
    <mergeCell ref="D596:E596"/>
    <mergeCell ref="A597:B597"/>
    <mergeCell ref="D597:E597"/>
    <mergeCell ref="A612:B612"/>
    <mergeCell ref="D612:E612"/>
    <mergeCell ref="A613:B613"/>
    <mergeCell ref="D613:E613"/>
    <mergeCell ref="A614:B614"/>
    <mergeCell ref="D614:E614"/>
    <mergeCell ref="A609:B609"/>
    <mergeCell ref="D609:E609"/>
    <mergeCell ref="A610:B610"/>
    <mergeCell ref="D610:E610"/>
    <mergeCell ref="A611:B611"/>
    <mergeCell ref="D611:E611"/>
    <mergeCell ref="A606:B606"/>
    <mergeCell ref="D606:E606"/>
    <mergeCell ref="A607:B607"/>
    <mergeCell ref="D607:E607"/>
    <mergeCell ref="A608:B608"/>
    <mergeCell ref="D608:E608"/>
    <mergeCell ref="A623:B623"/>
    <mergeCell ref="D623:E623"/>
    <mergeCell ref="A624:B624"/>
    <mergeCell ref="D624:E624"/>
    <mergeCell ref="A625:B625"/>
    <mergeCell ref="D625:E625"/>
    <mergeCell ref="A620:B620"/>
    <mergeCell ref="D620:E620"/>
    <mergeCell ref="A621:B621"/>
    <mergeCell ref="D621:E621"/>
    <mergeCell ref="A622:B622"/>
    <mergeCell ref="D622:E622"/>
    <mergeCell ref="A615:B615"/>
    <mergeCell ref="D615:E615"/>
    <mergeCell ref="A617:F617"/>
    <mergeCell ref="A618:B618"/>
    <mergeCell ref="D618:E618"/>
    <mergeCell ref="A619:B619"/>
    <mergeCell ref="D619:E619"/>
    <mergeCell ref="A635:F635"/>
    <mergeCell ref="A636:B636"/>
    <mergeCell ref="D636:E636"/>
    <mergeCell ref="A637:B637"/>
    <mergeCell ref="D637:E637"/>
    <mergeCell ref="A638:B638"/>
    <mergeCell ref="D638:E638"/>
    <mergeCell ref="A630:F630"/>
    <mergeCell ref="A631:B631"/>
    <mergeCell ref="D631:E631"/>
    <mergeCell ref="A632:B632"/>
    <mergeCell ref="D632:E632"/>
    <mergeCell ref="A633:B633"/>
    <mergeCell ref="D633:E633"/>
    <mergeCell ref="A626:B626"/>
    <mergeCell ref="D626:E626"/>
    <mergeCell ref="A627:B627"/>
    <mergeCell ref="D627:E627"/>
    <mergeCell ref="A628:B628"/>
    <mergeCell ref="D628:E628"/>
    <mergeCell ref="A646:F646"/>
    <mergeCell ref="A647:B647"/>
    <mergeCell ref="D647:E647"/>
    <mergeCell ref="A648:B648"/>
    <mergeCell ref="D648:E648"/>
    <mergeCell ref="A649:B649"/>
    <mergeCell ref="D649:E649"/>
    <mergeCell ref="A642:B642"/>
    <mergeCell ref="D642:E642"/>
    <mergeCell ref="A643:B643"/>
    <mergeCell ref="D643:E643"/>
    <mergeCell ref="A644:B644"/>
    <mergeCell ref="D644:E644"/>
    <mergeCell ref="A639:B639"/>
    <mergeCell ref="D639:E639"/>
    <mergeCell ref="A640:B640"/>
    <mergeCell ref="D640:E640"/>
    <mergeCell ref="A641:B641"/>
    <mergeCell ref="D641:E641"/>
    <mergeCell ref="A659:F659"/>
    <mergeCell ref="A660:B660"/>
    <mergeCell ref="D660:E660"/>
    <mergeCell ref="A661:B661"/>
    <mergeCell ref="D661:E661"/>
    <mergeCell ref="A662:B662"/>
    <mergeCell ref="D662:E662"/>
    <mergeCell ref="A655:B655"/>
    <mergeCell ref="D655:E655"/>
    <mergeCell ref="A656:B656"/>
    <mergeCell ref="D656:E656"/>
    <mergeCell ref="A657:B657"/>
    <mergeCell ref="D657:E657"/>
    <mergeCell ref="A651:F651"/>
    <mergeCell ref="A652:B652"/>
    <mergeCell ref="D652:E652"/>
    <mergeCell ref="A653:B653"/>
    <mergeCell ref="D653:E653"/>
    <mergeCell ref="A654:B654"/>
    <mergeCell ref="D654:E654"/>
    <mergeCell ref="A669:B669"/>
    <mergeCell ref="D669:E669"/>
    <mergeCell ref="A670:B670"/>
    <mergeCell ref="D670:E670"/>
    <mergeCell ref="A671:B671"/>
    <mergeCell ref="D671:E671"/>
    <mergeCell ref="A666:B666"/>
    <mergeCell ref="D666:E666"/>
    <mergeCell ref="A667:B667"/>
    <mergeCell ref="D667:E667"/>
    <mergeCell ref="A668:B668"/>
    <mergeCell ref="D668:E668"/>
    <mergeCell ref="A663:B663"/>
    <mergeCell ref="D663:E663"/>
    <mergeCell ref="A664:B664"/>
    <mergeCell ref="D664:E664"/>
    <mergeCell ref="A665:B665"/>
    <mergeCell ref="D665:E665"/>
    <mergeCell ref="A678:B678"/>
    <mergeCell ref="D678:E678"/>
    <mergeCell ref="A680:F680"/>
    <mergeCell ref="A681:B681"/>
    <mergeCell ref="D681:E681"/>
    <mergeCell ref="A682:B682"/>
    <mergeCell ref="D682:E682"/>
    <mergeCell ref="A675:B675"/>
    <mergeCell ref="D675:E675"/>
    <mergeCell ref="A676:B676"/>
    <mergeCell ref="D676:E676"/>
    <mergeCell ref="A677:B677"/>
    <mergeCell ref="D677:E677"/>
    <mergeCell ref="A672:B672"/>
    <mergeCell ref="D672:E672"/>
    <mergeCell ref="A673:B673"/>
    <mergeCell ref="D673:E673"/>
    <mergeCell ref="A674:B674"/>
    <mergeCell ref="D674:E674"/>
    <mergeCell ref="A689:B689"/>
    <mergeCell ref="D689:E689"/>
    <mergeCell ref="A690:B690"/>
    <mergeCell ref="D690:E690"/>
    <mergeCell ref="A691:B691"/>
    <mergeCell ref="D691:E691"/>
    <mergeCell ref="A686:B686"/>
    <mergeCell ref="D686:E686"/>
    <mergeCell ref="A687:B687"/>
    <mergeCell ref="D687:E687"/>
    <mergeCell ref="A688:B688"/>
    <mergeCell ref="D688:E688"/>
    <mergeCell ref="A683:B683"/>
    <mergeCell ref="D683:E683"/>
    <mergeCell ref="A684:B684"/>
    <mergeCell ref="D684:E684"/>
    <mergeCell ref="A685:B685"/>
    <mergeCell ref="D685:E685"/>
    <mergeCell ref="A699:F699"/>
    <mergeCell ref="A700:B700"/>
    <mergeCell ref="D700:E700"/>
    <mergeCell ref="A701:B701"/>
    <mergeCell ref="D701:E701"/>
    <mergeCell ref="A702:B702"/>
    <mergeCell ref="D702:E702"/>
    <mergeCell ref="A695:B695"/>
    <mergeCell ref="D695:E695"/>
    <mergeCell ref="A696:B696"/>
    <mergeCell ref="D696:E696"/>
    <mergeCell ref="A697:B697"/>
    <mergeCell ref="D697:E697"/>
    <mergeCell ref="A692:B692"/>
    <mergeCell ref="D692:E692"/>
    <mergeCell ref="A693:B693"/>
    <mergeCell ref="D693:E693"/>
    <mergeCell ref="A694:B694"/>
    <mergeCell ref="D694:E694"/>
    <mergeCell ref="A709:B709"/>
    <mergeCell ref="D709:E709"/>
    <mergeCell ref="A710:B710"/>
    <mergeCell ref="D710:E710"/>
    <mergeCell ref="A711:B711"/>
    <mergeCell ref="D711:E711"/>
    <mergeCell ref="A706:B706"/>
    <mergeCell ref="D706:E706"/>
    <mergeCell ref="A707:B707"/>
    <mergeCell ref="D707:E707"/>
    <mergeCell ref="A708:B708"/>
    <mergeCell ref="D708:E708"/>
    <mergeCell ref="A703:B703"/>
    <mergeCell ref="D703:E703"/>
    <mergeCell ref="A704:B704"/>
    <mergeCell ref="D704:E704"/>
    <mergeCell ref="A705:B705"/>
    <mergeCell ref="D705:E705"/>
    <mergeCell ref="A721:F721"/>
    <mergeCell ref="A722:B722"/>
    <mergeCell ref="D722:E722"/>
    <mergeCell ref="A723:B723"/>
    <mergeCell ref="D723:E723"/>
    <mergeCell ref="A724:B724"/>
    <mergeCell ref="D724:E724"/>
    <mergeCell ref="A716:F716"/>
    <mergeCell ref="A717:B717"/>
    <mergeCell ref="D717:E717"/>
    <mergeCell ref="A718:B718"/>
    <mergeCell ref="D718:E718"/>
    <mergeCell ref="A719:B719"/>
    <mergeCell ref="D719:E719"/>
    <mergeCell ref="A712:B712"/>
    <mergeCell ref="D712:E712"/>
    <mergeCell ref="A713:B713"/>
    <mergeCell ref="D713:E713"/>
    <mergeCell ref="A714:B714"/>
    <mergeCell ref="D714:E714"/>
    <mergeCell ref="A731:B731"/>
    <mergeCell ref="D731:E731"/>
    <mergeCell ref="A732:B732"/>
    <mergeCell ref="D732:E732"/>
    <mergeCell ref="A733:B733"/>
    <mergeCell ref="D733:E733"/>
    <mergeCell ref="A728:B728"/>
    <mergeCell ref="D728:E728"/>
    <mergeCell ref="A729:B729"/>
    <mergeCell ref="D729:E729"/>
    <mergeCell ref="A730:B730"/>
    <mergeCell ref="D730:E730"/>
    <mergeCell ref="A725:B725"/>
    <mergeCell ref="D725:E725"/>
    <mergeCell ref="A726:B726"/>
    <mergeCell ref="D726:E726"/>
    <mergeCell ref="A727:B727"/>
    <mergeCell ref="D727:E727"/>
    <mergeCell ref="A742:B742"/>
    <mergeCell ref="D742:E742"/>
    <mergeCell ref="A743:B743"/>
    <mergeCell ref="D743:E743"/>
    <mergeCell ref="A744:B744"/>
    <mergeCell ref="D744:E744"/>
    <mergeCell ref="A738:F738"/>
    <mergeCell ref="A739:B739"/>
    <mergeCell ref="D739:E739"/>
    <mergeCell ref="A740:B740"/>
    <mergeCell ref="D740:E740"/>
    <mergeCell ref="A741:B741"/>
    <mergeCell ref="D741:E741"/>
    <mergeCell ref="A734:B734"/>
    <mergeCell ref="D734:E734"/>
    <mergeCell ref="A735:B735"/>
    <mergeCell ref="D735:E735"/>
    <mergeCell ref="A736:B736"/>
    <mergeCell ref="D736:E736"/>
    <mergeCell ref="A751:B751"/>
    <mergeCell ref="D751:E751"/>
    <mergeCell ref="A753:F753"/>
    <mergeCell ref="A754:B754"/>
    <mergeCell ref="D754:E754"/>
    <mergeCell ref="A755:B755"/>
    <mergeCell ref="D755:E755"/>
    <mergeCell ref="A748:B748"/>
    <mergeCell ref="D748:E748"/>
    <mergeCell ref="A749:B749"/>
    <mergeCell ref="D749:E749"/>
    <mergeCell ref="A750:B750"/>
    <mergeCell ref="D750:E750"/>
    <mergeCell ref="A745:B745"/>
    <mergeCell ref="D745:E745"/>
    <mergeCell ref="A746:B746"/>
    <mergeCell ref="D746:E746"/>
    <mergeCell ref="A747:B747"/>
    <mergeCell ref="D747:E747"/>
    <mergeCell ref="A762:B762"/>
    <mergeCell ref="D762:E762"/>
    <mergeCell ref="A763:B763"/>
    <mergeCell ref="D763:E763"/>
    <mergeCell ref="A765:F765"/>
    <mergeCell ref="A766:B766"/>
    <mergeCell ref="D766:E766"/>
    <mergeCell ref="A759:B759"/>
    <mergeCell ref="D759:E759"/>
    <mergeCell ref="A760:B760"/>
    <mergeCell ref="D760:E760"/>
    <mergeCell ref="A761:B761"/>
    <mergeCell ref="D761:E761"/>
    <mergeCell ref="A756:B756"/>
    <mergeCell ref="D756:E756"/>
    <mergeCell ref="A757:B757"/>
    <mergeCell ref="D757:E757"/>
    <mergeCell ref="A758:B758"/>
    <mergeCell ref="D758:E758"/>
    <mergeCell ref="A773:B773"/>
    <mergeCell ref="D773:E773"/>
    <mergeCell ref="A774:B774"/>
    <mergeCell ref="D774:E774"/>
    <mergeCell ref="A775:B775"/>
    <mergeCell ref="D775:E775"/>
    <mergeCell ref="A770:B770"/>
    <mergeCell ref="D770:E770"/>
    <mergeCell ref="A771:B771"/>
    <mergeCell ref="D771:E771"/>
    <mergeCell ref="A772:B772"/>
    <mergeCell ref="D772:E772"/>
    <mergeCell ref="A767:B767"/>
    <mergeCell ref="D767:E767"/>
    <mergeCell ref="A768:B768"/>
    <mergeCell ref="D768:E768"/>
    <mergeCell ref="A769:B769"/>
    <mergeCell ref="D769:E769"/>
    <mergeCell ref="A784:B784"/>
    <mergeCell ref="D784:E784"/>
    <mergeCell ref="A785:B785"/>
    <mergeCell ref="D785:E785"/>
    <mergeCell ref="A786:B786"/>
    <mergeCell ref="D786:E786"/>
    <mergeCell ref="A779:B779"/>
    <mergeCell ref="D779:E779"/>
    <mergeCell ref="A780:B780"/>
    <mergeCell ref="D780:E780"/>
    <mergeCell ref="A782:F782"/>
    <mergeCell ref="A783:B783"/>
    <mergeCell ref="D783:E783"/>
    <mergeCell ref="A776:B776"/>
    <mergeCell ref="D776:E776"/>
    <mergeCell ref="A777:B777"/>
    <mergeCell ref="D777:E777"/>
    <mergeCell ref="A778:B778"/>
    <mergeCell ref="D778:E778"/>
    <mergeCell ref="A794:F794"/>
    <mergeCell ref="A795:B795"/>
    <mergeCell ref="D795:E795"/>
    <mergeCell ref="A796:B796"/>
    <mergeCell ref="D796:E796"/>
    <mergeCell ref="A797:B797"/>
    <mergeCell ref="D797:E797"/>
    <mergeCell ref="A790:B790"/>
    <mergeCell ref="D790:E790"/>
    <mergeCell ref="A791:B791"/>
    <mergeCell ref="D791:E791"/>
    <mergeCell ref="A792:B792"/>
    <mergeCell ref="D792:E792"/>
    <mergeCell ref="A787:B787"/>
    <mergeCell ref="D787:E787"/>
    <mergeCell ref="A788:B788"/>
    <mergeCell ref="D788:E788"/>
    <mergeCell ref="A789:B789"/>
    <mergeCell ref="D789:E789"/>
    <mergeCell ref="A804:B804"/>
    <mergeCell ref="D804:E804"/>
    <mergeCell ref="A805:B805"/>
    <mergeCell ref="D805:E805"/>
    <mergeCell ref="A806:B806"/>
    <mergeCell ref="D806:E806"/>
    <mergeCell ref="A801:B801"/>
    <mergeCell ref="D801:E801"/>
    <mergeCell ref="A802:B802"/>
    <mergeCell ref="D802:E802"/>
    <mergeCell ref="A803:B803"/>
    <mergeCell ref="D803:E803"/>
    <mergeCell ref="A798:B798"/>
    <mergeCell ref="D798:E798"/>
    <mergeCell ref="A799:B799"/>
    <mergeCell ref="D799:E799"/>
    <mergeCell ref="A800:B800"/>
    <mergeCell ref="D800:E800"/>
    <mergeCell ref="A815:B815"/>
    <mergeCell ref="D815:E815"/>
    <mergeCell ref="A816:B816"/>
    <mergeCell ref="D816:E816"/>
    <mergeCell ref="A817:B817"/>
    <mergeCell ref="D817:E817"/>
    <mergeCell ref="A812:B812"/>
    <mergeCell ref="D812:E812"/>
    <mergeCell ref="A813:B813"/>
    <mergeCell ref="D813:E813"/>
    <mergeCell ref="A814:B814"/>
    <mergeCell ref="D814:E814"/>
    <mergeCell ref="A807:B807"/>
    <mergeCell ref="D807:E807"/>
    <mergeCell ref="A809:F809"/>
    <mergeCell ref="A810:B810"/>
    <mergeCell ref="D810:E810"/>
    <mergeCell ref="A811:B811"/>
    <mergeCell ref="D811:E811"/>
    <mergeCell ref="A826:B826"/>
    <mergeCell ref="D826:E826"/>
    <mergeCell ref="A827:B827"/>
    <mergeCell ref="D827:E827"/>
    <mergeCell ref="A828:B828"/>
    <mergeCell ref="D828:E828"/>
    <mergeCell ref="A821:B821"/>
    <mergeCell ref="D821:E821"/>
    <mergeCell ref="A822:B822"/>
    <mergeCell ref="D822:E822"/>
    <mergeCell ref="A824:F824"/>
    <mergeCell ref="A825:B825"/>
    <mergeCell ref="D825:E825"/>
    <mergeCell ref="A818:B818"/>
    <mergeCell ref="D818:E818"/>
    <mergeCell ref="A819:B819"/>
    <mergeCell ref="D819:E819"/>
    <mergeCell ref="A820:B820"/>
    <mergeCell ref="D820:E820"/>
    <mergeCell ref="A835:B835"/>
    <mergeCell ref="D835:E835"/>
    <mergeCell ref="A836:B836"/>
    <mergeCell ref="D836:E836"/>
    <mergeCell ref="A838:F838"/>
    <mergeCell ref="A839:B839"/>
    <mergeCell ref="D839:E839"/>
    <mergeCell ref="A832:B832"/>
    <mergeCell ref="D832:E832"/>
    <mergeCell ref="A833:B833"/>
    <mergeCell ref="D833:E833"/>
    <mergeCell ref="A834:B834"/>
    <mergeCell ref="D834:E834"/>
    <mergeCell ref="A829:B829"/>
    <mergeCell ref="D829:E829"/>
    <mergeCell ref="A830:B830"/>
    <mergeCell ref="D830:E830"/>
    <mergeCell ref="A831:B831"/>
    <mergeCell ref="D831:E831"/>
    <mergeCell ref="A846:B846"/>
    <mergeCell ref="D846:E846"/>
    <mergeCell ref="A847:B847"/>
    <mergeCell ref="D847:E847"/>
    <mergeCell ref="A848:B848"/>
    <mergeCell ref="D848:E848"/>
    <mergeCell ref="A843:B843"/>
    <mergeCell ref="D843:E843"/>
    <mergeCell ref="A844:B844"/>
    <mergeCell ref="D844:E844"/>
    <mergeCell ref="A845:B845"/>
    <mergeCell ref="D845:E845"/>
    <mergeCell ref="A840:B840"/>
    <mergeCell ref="D840:E840"/>
    <mergeCell ref="A841:B841"/>
    <mergeCell ref="D841:E841"/>
    <mergeCell ref="A842:B842"/>
    <mergeCell ref="D842:E842"/>
    <mergeCell ref="A857:B857"/>
    <mergeCell ref="D857:E857"/>
    <mergeCell ref="A858:B858"/>
    <mergeCell ref="D858:E858"/>
    <mergeCell ref="A859:B859"/>
    <mergeCell ref="D859:E859"/>
    <mergeCell ref="A854:B854"/>
    <mergeCell ref="D854:E854"/>
    <mergeCell ref="A855:B855"/>
    <mergeCell ref="D855:E855"/>
    <mergeCell ref="A856:B856"/>
    <mergeCell ref="D856:E856"/>
    <mergeCell ref="A850:F850"/>
    <mergeCell ref="A851:B851"/>
    <mergeCell ref="D851:E851"/>
    <mergeCell ref="A852:B852"/>
    <mergeCell ref="D852:E852"/>
    <mergeCell ref="A853:B853"/>
    <mergeCell ref="D853:E853"/>
    <mergeCell ref="A870:B870"/>
    <mergeCell ref="D870:E870"/>
    <mergeCell ref="A871:B871"/>
    <mergeCell ref="D871:E871"/>
    <mergeCell ref="A872:B872"/>
    <mergeCell ref="D872:E872"/>
    <mergeCell ref="A865:B865"/>
    <mergeCell ref="D865:E865"/>
    <mergeCell ref="A866:B866"/>
    <mergeCell ref="D866:E866"/>
    <mergeCell ref="A868:F868"/>
    <mergeCell ref="A869:B869"/>
    <mergeCell ref="D869:E869"/>
    <mergeCell ref="A860:B860"/>
    <mergeCell ref="D860:E860"/>
    <mergeCell ref="A861:B861"/>
    <mergeCell ref="D861:E861"/>
    <mergeCell ref="A863:F863"/>
    <mergeCell ref="A864:B864"/>
    <mergeCell ref="D864:E864"/>
    <mergeCell ref="A881:B881"/>
    <mergeCell ref="D881:E881"/>
    <mergeCell ref="A882:B882"/>
    <mergeCell ref="D882:E882"/>
    <mergeCell ref="A883:B883"/>
    <mergeCell ref="D883:E883"/>
    <mergeCell ref="A876:B876"/>
    <mergeCell ref="D876:E876"/>
    <mergeCell ref="A877:B877"/>
    <mergeCell ref="D877:E877"/>
    <mergeCell ref="A879:F879"/>
    <mergeCell ref="A880:B880"/>
    <mergeCell ref="D880:E880"/>
    <mergeCell ref="A873:B873"/>
    <mergeCell ref="D873:E873"/>
    <mergeCell ref="A874:B874"/>
    <mergeCell ref="D874:E874"/>
    <mergeCell ref="A875:B875"/>
    <mergeCell ref="D875:E875"/>
    <mergeCell ref="A892:B892"/>
    <mergeCell ref="D892:E892"/>
    <mergeCell ref="A893:B893"/>
    <mergeCell ref="D893:E893"/>
    <mergeCell ref="A894:B894"/>
    <mergeCell ref="D894:E894"/>
    <mergeCell ref="A887:B887"/>
    <mergeCell ref="D887:E887"/>
    <mergeCell ref="A888:B888"/>
    <mergeCell ref="D888:E888"/>
    <mergeCell ref="A890:F890"/>
    <mergeCell ref="A891:B891"/>
    <mergeCell ref="D891:E891"/>
    <mergeCell ref="A884:B884"/>
    <mergeCell ref="D884:E884"/>
    <mergeCell ref="A885:B885"/>
    <mergeCell ref="D885:E885"/>
    <mergeCell ref="A886:B886"/>
    <mergeCell ref="D886:E886"/>
    <mergeCell ref="A903:B903"/>
    <mergeCell ref="D903:E903"/>
    <mergeCell ref="A904:B904"/>
    <mergeCell ref="D904:E904"/>
    <mergeCell ref="A905:B905"/>
    <mergeCell ref="D905:E905"/>
    <mergeCell ref="A898:B898"/>
    <mergeCell ref="D898:E898"/>
    <mergeCell ref="A899:B899"/>
    <mergeCell ref="D899:E899"/>
    <mergeCell ref="A901:F901"/>
    <mergeCell ref="A902:B902"/>
    <mergeCell ref="D902:E902"/>
    <mergeCell ref="A895:B895"/>
    <mergeCell ref="D895:E895"/>
    <mergeCell ref="A896:B896"/>
    <mergeCell ref="D896:E896"/>
    <mergeCell ref="A897:B897"/>
    <mergeCell ref="D897:E897"/>
    <mergeCell ref="A914:B914"/>
    <mergeCell ref="D914:E914"/>
    <mergeCell ref="A915:B915"/>
    <mergeCell ref="D915:E915"/>
    <mergeCell ref="A916:B916"/>
    <mergeCell ref="D916:E916"/>
    <mergeCell ref="A909:B909"/>
    <mergeCell ref="D909:E909"/>
    <mergeCell ref="A910:B910"/>
    <mergeCell ref="D910:E910"/>
    <mergeCell ref="A912:F912"/>
    <mergeCell ref="A913:B913"/>
    <mergeCell ref="D913:E913"/>
    <mergeCell ref="A906:B906"/>
    <mergeCell ref="D906:E906"/>
    <mergeCell ref="A907:B907"/>
    <mergeCell ref="D907:E907"/>
    <mergeCell ref="A908:B908"/>
    <mergeCell ref="D908:E908"/>
    <mergeCell ref="A926:F926"/>
    <mergeCell ref="A927:B927"/>
    <mergeCell ref="D927:E927"/>
    <mergeCell ref="A928:B928"/>
    <mergeCell ref="D928:E928"/>
    <mergeCell ref="A929:B929"/>
    <mergeCell ref="D929:E929"/>
    <mergeCell ref="A921:F921"/>
    <mergeCell ref="A922:B922"/>
    <mergeCell ref="D922:E922"/>
    <mergeCell ref="A923:B923"/>
    <mergeCell ref="D923:E923"/>
    <mergeCell ref="A924:B924"/>
    <mergeCell ref="D924:E924"/>
    <mergeCell ref="A917:B917"/>
    <mergeCell ref="D917:E917"/>
    <mergeCell ref="A918:B918"/>
    <mergeCell ref="D918:E918"/>
    <mergeCell ref="A919:B919"/>
    <mergeCell ref="D919:E919"/>
    <mergeCell ref="A938:B938"/>
    <mergeCell ref="D938:E938"/>
    <mergeCell ref="A939:B939"/>
    <mergeCell ref="D939:E939"/>
    <mergeCell ref="A940:B940"/>
    <mergeCell ref="D940:E940"/>
    <mergeCell ref="A935:B935"/>
    <mergeCell ref="D935:E935"/>
    <mergeCell ref="A936:B936"/>
    <mergeCell ref="D936:E936"/>
    <mergeCell ref="A937:B937"/>
    <mergeCell ref="D937:E937"/>
    <mergeCell ref="A931:F931"/>
    <mergeCell ref="A932:B932"/>
    <mergeCell ref="D932:E932"/>
    <mergeCell ref="A933:B933"/>
    <mergeCell ref="D933:E933"/>
    <mergeCell ref="A934:B934"/>
    <mergeCell ref="D934:E934"/>
    <mergeCell ref="A949:B949"/>
    <mergeCell ref="D949:E949"/>
    <mergeCell ref="A950:B950"/>
    <mergeCell ref="D950:E950"/>
    <mergeCell ref="A951:B951"/>
    <mergeCell ref="D951:E951"/>
    <mergeCell ref="A945:F945"/>
    <mergeCell ref="A946:B946"/>
    <mergeCell ref="D946:E946"/>
    <mergeCell ref="A947:B947"/>
    <mergeCell ref="D947:E947"/>
    <mergeCell ref="A948:B948"/>
    <mergeCell ref="D948:E948"/>
    <mergeCell ref="A941:B941"/>
    <mergeCell ref="D941:E941"/>
    <mergeCell ref="A942:B942"/>
    <mergeCell ref="D942:E942"/>
    <mergeCell ref="A943:B943"/>
    <mergeCell ref="D943:E943"/>
    <mergeCell ref="A958:B958"/>
    <mergeCell ref="D958:E958"/>
    <mergeCell ref="A959:B959"/>
    <mergeCell ref="D959:E959"/>
    <mergeCell ref="A960:B960"/>
    <mergeCell ref="D960:E960"/>
    <mergeCell ref="A955:B955"/>
    <mergeCell ref="D955:E955"/>
    <mergeCell ref="A956:B956"/>
    <mergeCell ref="D956:E956"/>
    <mergeCell ref="A957:B957"/>
    <mergeCell ref="D957:E957"/>
    <mergeCell ref="A952:B952"/>
    <mergeCell ref="D952:E952"/>
    <mergeCell ref="A953:B953"/>
    <mergeCell ref="D953:E953"/>
    <mergeCell ref="A954:B954"/>
    <mergeCell ref="D954:E954"/>
    <mergeCell ref="A969:B969"/>
    <mergeCell ref="D969:E969"/>
    <mergeCell ref="A971:F971"/>
    <mergeCell ref="A972:B972"/>
    <mergeCell ref="D972:E972"/>
    <mergeCell ref="A973:B973"/>
    <mergeCell ref="D973:E973"/>
    <mergeCell ref="A966:B966"/>
    <mergeCell ref="D966:E966"/>
    <mergeCell ref="A967:B967"/>
    <mergeCell ref="D967:E967"/>
    <mergeCell ref="A968:B968"/>
    <mergeCell ref="D968:E968"/>
    <mergeCell ref="A962:F962"/>
    <mergeCell ref="A963:B963"/>
    <mergeCell ref="D963:E963"/>
    <mergeCell ref="A964:B964"/>
    <mergeCell ref="D964:E964"/>
    <mergeCell ref="A965:B965"/>
    <mergeCell ref="D965:E965"/>
    <mergeCell ref="A980:B980"/>
    <mergeCell ref="D980:E980"/>
    <mergeCell ref="A981:B981"/>
    <mergeCell ref="D981:E981"/>
    <mergeCell ref="A982:B982"/>
    <mergeCell ref="D982:E982"/>
    <mergeCell ref="A977:B977"/>
    <mergeCell ref="D977:E977"/>
    <mergeCell ref="A978:B978"/>
    <mergeCell ref="D978:E978"/>
    <mergeCell ref="A979:B979"/>
    <mergeCell ref="D979:E979"/>
    <mergeCell ref="A974:B974"/>
    <mergeCell ref="D974:E974"/>
    <mergeCell ref="A975:B975"/>
    <mergeCell ref="D975:E975"/>
    <mergeCell ref="A976:B976"/>
    <mergeCell ref="D976:E976"/>
    <mergeCell ref="A990:F990"/>
    <mergeCell ref="A991:B991"/>
    <mergeCell ref="D991:E991"/>
    <mergeCell ref="A992:B992"/>
    <mergeCell ref="D992:E992"/>
    <mergeCell ref="A993:B993"/>
    <mergeCell ref="D993:E993"/>
    <mergeCell ref="A986:B986"/>
    <mergeCell ref="D986:E986"/>
    <mergeCell ref="A987:B987"/>
    <mergeCell ref="D987:E987"/>
    <mergeCell ref="A988:B988"/>
    <mergeCell ref="D988:E988"/>
    <mergeCell ref="A983:B983"/>
    <mergeCell ref="D983:E983"/>
    <mergeCell ref="A984:B984"/>
    <mergeCell ref="D984:E984"/>
    <mergeCell ref="A985:B985"/>
    <mergeCell ref="D985:E985"/>
    <mergeCell ref="A1000:B1000"/>
    <mergeCell ref="D1000:E1000"/>
    <mergeCell ref="A1001:B1001"/>
    <mergeCell ref="D1001:E1001"/>
    <mergeCell ref="A1002:B1002"/>
    <mergeCell ref="D1002:E1002"/>
    <mergeCell ref="A997:B997"/>
    <mergeCell ref="D997:E997"/>
    <mergeCell ref="A998:B998"/>
    <mergeCell ref="D998:E998"/>
    <mergeCell ref="A999:B999"/>
    <mergeCell ref="D999:E999"/>
    <mergeCell ref="A994:B994"/>
    <mergeCell ref="D994:E994"/>
    <mergeCell ref="A995:B995"/>
    <mergeCell ref="D995:E995"/>
    <mergeCell ref="A996:B996"/>
    <mergeCell ref="D996:E996"/>
    <mergeCell ref="A1011:B1011"/>
    <mergeCell ref="D1011:E1011"/>
    <mergeCell ref="A1012:B1012"/>
    <mergeCell ref="D1012:E1012"/>
    <mergeCell ref="A1013:B1013"/>
    <mergeCell ref="D1013:E1013"/>
    <mergeCell ref="A1006:B1006"/>
    <mergeCell ref="D1006:E1006"/>
    <mergeCell ref="A1008:F1008"/>
    <mergeCell ref="A1009:B1009"/>
    <mergeCell ref="D1009:E1009"/>
    <mergeCell ref="A1010:B1010"/>
    <mergeCell ref="D1010:E1010"/>
    <mergeCell ref="A1003:B1003"/>
    <mergeCell ref="D1003:E1003"/>
    <mergeCell ref="A1004:B1004"/>
    <mergeCell ref="D1004:E1004"/>
    <mergeCell ref="A1005:B1005"/>
    <mergeCell ref="D1005:E1005"/>
    <mergeCell ref="A1022:B1022"/>
    <mergeCell ref="D1022:E1022"/>
    <mergeCell ref="A1023:B1023"/>
    <mergeCell ref="D1023:E1023"/>
    <mergeCell ref="A1024:B1024"/>
    <mergeCell ref="D1024:E1024"/>
    <mergeCell ref="A1017:B1017"/>
    <mergeCell ref="D1017:E1017"/>
    <mergeCell ref="A1019:F1019"/>
    <mergeCell ref="A1020:B1020"/>
    <mergeCell ref="D1020:E1020"/>
    <mergeCell ref="A1021:B1021"/>
    <mergeCell ref="D1021:E1021"/>
    <mergeCell ref="A1014:B1014"/>
    <mergeCell ref="D1014:E1014"/>
    <mergeCell ref="A1015:B1015"/>
    <mergeCell ref="D1015:E1015"/>
    <mergeCell ref="A1016:B1016"/>
    <mergeCell ref="D1016:E1016"/>
    <mergeCell ref="A1033:B1033"/>
    <mergeCell ref="D1033:E1033"/>
    <mergeCell ref="A1034:B1034"/>
    <mergeCell ref="D1034:E1034"/>
    <mergeCell ref="A1035:B1035"/>
    <mergeCell ref="D1035:E1035"/>
    <mergeCell ref="A1029:F1029"/>
    <mergeCell ref="A1030:B1030"/>
    <mergeCell ref="D1030:E1030"/>
    <mergeCell ref="A1031:B1031"/>
    <mergeCell ref="D1031:E1031"/>
    <mergeCell ref="A1032:B1032"/>
    <mergeCell ref="D1032:E1032"/>
    <mergeCell ref="A1025:B1025"/>
    <mergeCell ref="D1025:E1025"/>
    <mergeCell ref="A1026:B1026"/>
    <mergeCell ref="D1026:E1026"/>
    <mergeCell ref="A1027:B1027"/>
    <mergeCell ref="D1027:E1027"/>
    <mergeCell ref="A1044:B1044"/>
    <mergeCell ref="D1044:E1044"/>
    <mergeCell ref="A1045:B1045"/>
    <mergeCell ref="D1045:E1045"/>
    <mergeCell ref="A1046:B1046"/>
    <mergeCell ref="D1046:E1046"/>
    <mergeCell ref="A1039:B1039"/>
    <mergeCell ref="D1039:E1039"/>
    <mergeCell ref="A1041:F1041"/>
    <mergeCell ref="A1042:B1042"/>
    <mergeCell ref="D1042:E1042"/>
    <mergeCell ref="A1043:B1043"/>
    <mergeCell ref="D1043:E1043"/>
    <mergeCell ref="A1036:B1036"/>
    <mergeCell ref="D1036:E1036"/>
    <mergeCell ref="A1037:B1037"/>
    <mergeCell ref="D1037:E1037"/>
    <mergeCell ref="A1038:B1038"/>
    <mergeCell ref="D1038:E1038"/>
    <mergeCell ref="A1055:B1055"/>
    <mergeCell ref="D1055:E1055"/>
    <mergeCell ref="A1056:B1056"/>
    <mergeCell ref="D1056:E1056"/>
    <mergeCell ref="A1057:B1057"/>
    <mergeCell ref="D1057:E1057"/>
    <mergeCell ref="A1050:B1050"/>
    <mergeCell ref="D1050:E1050"/>
    <mergeCell ref="A1051:B1051"/>
    <mergeCell ref="D1051:E1051"/>
    <mergeCell ref="A1053:F1053"/>
    <mergeCell ref="A1054:B1054"/>
    <mergeCell ref="D1054:E1054"/>
    <mergeCell ref="A1047:B1047"/>
    <mergeCell ref="D1047:E1047"/>
    <mergeCell ref="A1048:B1048"/>
    <mergeCell ref="D1048:E1048"/>
    <mergeCell ref="A1049:B1049"/>
    <mergeCell ref="D1049:E1049"/>
    <mergeCell ref="A1066:B1066"/>
    <mergeCell ref="D1066:E1066"/>
    <mergeCell ref="A1067:B1067"/>
    <mergeCell ref="D1067:E1067"/>
    <mergeCell ref="A1068:B1068"/>
    <mergeCell ref="D1068:E1068"/>
    <mergeCell ref="A1061:B1061"/>
    <mergeCell ref="D1061:E1061"/>
    <mergeCell ref="A1063:F1063"/>
    <mergeCell ref="A1064:B1064"/>
    <mergeCell ref="D1064:E1064"/>
    <mergeCell ref="A1065:B1065"/>
    <mergeCell ref="D1065:E1065"/>
    <mergeCell ref="A1058:B1058"/>
    <mergeCell ref="D1058:E1058"/>
    <mergeCell ref="A1059:B1059"/>
    <mergeCell ref="D1059:E1059"/>
    <mergeCell ref="A1060:B1060"/>
    <mergeCell ref="D1060:E1060"/>
    <mergeCell ref="A1077:B1077"/>
    <mergeCell ref="D1077:E1077"/>
    <mergeCell ref="A1078:B1078"/>
    <mergeCell ref="D1078:E1078"/>
    <mergeCell ref="A1080:F1080"/>
    <mergeCell ref="A1081:B1081"/>
    <mergeCell ref="D1081:E1081"/>
    <mergeCell ref="A1072:B1072"/>
    <mergeCell ref="D1072:E1072"/>
    <mergeCell ref="A1073:B1073"/>
    <mergeCell ref="D1073:E1073"/>
    <mergeCell ref="A1075:F1075"/>
    <mergeCell ref="A1076:B1076"/>
    <mergeCell ref="D1076:E1076"/>
    <mergeCell ref="A1069:B1069"/>
    <mergeCell ref="D1069:E1069"/>
    <mergeCell ref="A1070:B1070"/>
    <mergeCell ref="D1070:E1070"/>
    <mergeCell ref="A1071:B1071"/>
    <mergeCell ref="D1071:E1071"/>
    <mergeCell ref="A1088:B1088"/>
    <mergeCell ref="D1088:E1088"/>
    <mergeCell ref="A1090:F1090"/>
    <mergeCell ref="A1091:B1091"/>
    <mergeCell ref="D1091:E1091"/>
    <mergeCell ref="A1092:B1092"/>
    <mergeCell ref="D1092:E1092"/>
    <mergeCell ref="A1085:B1085"/>
    <mergeCell ref="D1085:E1085"/>
    <mergeCell ref="A1086:B1086"/>
    <mergeCell ref="D1086:E1086"/>
    <mergeCell ref="A1087:B1087"/>
    <mergeCell ref="D1087:E1087"/>
    <mergeCell ref="A1082:B1082"/>
    <mergeCell ref="D1082:E1082"/>
    <mergeCell ref="A1083:B1083"/>
    <mergeCell ref="D1083:E1083"/>
    <mergeCell ref="A1084:B1084"/>
    <mergeCell ref="D1084:E1084"/>
    <mergeCell ref="A1099:B1099"/>
    <mergeCell ref="D1099:E1099"/>
    <mergeCell ref="A1100:B1100"/>
    <mergeCell ref="D1100:E1100"/>
    <mergeCell ref="A1102:F1102"/>
    <mergeCell ref="A1103:B1103"/>
    <mergeCell ref="D1103:E1103"/>
    <mergeCell ref="A1096:B1096"/>
    <mergeCell ref="D1096:E1096"/>
    <mergeCell ref="A1097:B1097"/>
    <mergeCell ref="D1097:E1097"/>
    <mergeCell ref="A1098:B1098"/>
    <mergeCell ref="D1098:E1098"/>
    <mergeCell ref="A1093:B1093"/>
    <mergeCell ref="D1093:E1093"/>
    <mergeCell ref="A1094:B1094"/>
    <mergeCell ref="D1094:E1094"/>
    <mergeCell ref="A1095:B1095"/>
    <mergeCell ref="D1095:E1095"/>
    <mergeCell ref="A1112:B1112"/>
    <mergeCell ref="D1112:E1112"/>
    <mergeCell ref="A1113:B1113"/>
    <mergeCell ref="D1113:E1113"/>
    <mergeCell ref="A1114:B1114"/>
    <mergeCell ref="D1114:E1114"/>
    <mergeCell ref="A1107:B1107"/>
    <mergeCell ref="D1107:E1107"/>
    <mergeCell ref="A1108:B1108"/>
    <mergeCell ref="D1108:E1108"/>
    <mergeCell ref="A1110:F1110"/>
    <mergeCell ref="A1111:B1111"/>
    <mergeCell ref="D1111:E1111"/>
    <mergeCell ref="A1104:B1104"/>
    <mergeCell ref="D1104:E1104"/>
    <mergeCell ref="A1105:B1105"/>
    <mergeCell ref="D1105:E1105"/>
    <mergeCell ref="A1106:B1106"/>
    <mergeCell ref="D1106:E1106"/>
    <mergeCell ref="A1123:B1123"/>
    <mergeCell ref="D1123:E1123"/>
    <mergeCell ref="A1124:B1124"/>
    <mergeCell ref="D1124:E1124"/>
    <mergeCell ref="A1125:B1125"/>
    <mergeCell ref="D1125:E1125"/>
    <mergeCell ref="A1118:B1118"/>
    <mergeCell ref="D1118:E1118"/>
    <mergeCell ref="A1119:B1119"/>
    <mergeCell ref="D1119:E1119"/>
    <mergeCell ref="A1121:F1121"/>
    <mergeCell ref="A1122:B1122"/>
    <mergeCell ref="D1122:E1122"/>
    <mergeCell ref="A1115:B1115"/>
    <mergeCell ref="D1115:E1115"/>
    <mergeCell ref="A1116:B1116"/>
    <mergeCell ref="D1116:E1116"/>
    <mergeCell ref="A1117:B1117"/>
    <mergeCell ref="D1117:E1117"/>
    <mergeCell ref="A1135:F1135"/>
    <mergeCell ref="A1136:B1136"/>
    <mergeCell ref="D1136:E1136"/>
    <mergeCell ref="A1137:B1137"/>
    <mergeCell ref="D1137:E1137"/>
    <mergeCell ref="A1138:B1138"/>
    <mergeCell ref="D1138:E1138"/>
    <mergeCell ref="A1131:B1131"/>
    <mergeCell ref="D1131:E1131"/>
    <mergeCell ref="A1132:B1132"/>
    <mergeCell ref="D1132:E1132"/>
    <mergeCell ref="A1133:B1133"/>
    <mergeCell ref="D1133:E1133"/>
    <mergeCell ref="A1127:F1127"/>
    <mergeCell ref="A1128:B1128"/>
    <mergeCell ref="D1128:E1128"/>
    <mergeCell ref="A1129:B1129"/>
    <mergeCell ref="D1129:E1129"/>
    <mergeCell ref="A1130:B1130"/>
    <mergeCell ref="D1130:E1130"/>
    <mergeCell ref="A1147:B1147"/>
    <mergeCell ref="D1147:E1147"/>
    <mergeCell ref="A1148:B1148"/>
    <mergeCell ref="D1148:E1148"/>
    <mergeCell ref="A1149:B1149"/>
    <mergeCell ref="D1149:E1149"/>
    <mergeCell ref="A1144:B1144"/>
    <mergeCell ref="D1144:E1144"/>
    <mergeCell ref="A1145:B1145"/>
    <mergeCell ref="D1145:E1145"/>
    <mergeCell ref="A1146:B1146"/>
    <mergeCell ref="D1146:E1146"/>
    <mergeCell ref="A1139:B1139"/>
    <mergeCell ref="D1139:E1139"/>
    <mergeCell ref="A1141:F1141"/>
    <mergeCell ref="A1142:B1142"/>
    <mergeCell ref="D1142:E1142"/>
    <mergeCell ref="A1143:B1143"/>
    <mergeCell ref="D1143:E1143"/>
    <mergeCell ref="A1158:B1158"/>
    <mergeCell ref="D1158:E1158"/>
    <mergeCell ref="A1159:B1159"/>
    <mergeCell ref="D1159:E1159"/>
    <mergeCell ref="A1160:B1160"/>
    <mergeCell ref="D1160:E1160"/>
    <mergeCell ref="A1155:B1155"/>
    <mergeCell ref="D1155:E1155"/>
    <mergeCell ref="A1156:B1156"/>
    <mergeCell ref="D1156:E1156"/>
    <mergeCell ref="A1157:B1157"/>
    <mergeCell ref="D1157:E1157"/>
    <mergeCell ref="A1150:B1150"/>
    <mergeCell ref="D1150:E1150"/>
    <mergeCell ref="A1151:B1151"/>
    <mergeCell ref="D1151:E1151"/>
    <mergeCell ref="A1153:F1153"/>
    <mergeCell ref="A1154:B1154"/>
    <mergeCell ref="D1154:E1154"/>
    <mergeCell ref="A1168:F1168"/>
    <mergeCell ref="A1169:B1169"/>
    <mergeCell ref="D1169:E1169"/>
    <mergeCell ref="A1170:B1170"/>
    <mergeCell ref="D1170:E1170"/>
    <mergeCell ref="A1171:B1171"/>
    <mergeCell ref="D1171:E1171"/>
    <mergeCell ref="A1164:B1164"/>
    <mergeCell ref="D1164:E1164"/>
    <mergeCell ref="A1165:B1165"/>
    <mergeCell ref="D1165:E1165"/>
    <mergeCell ref="A1166:B1166"/>
    <mergeCell ref="D1166:E1166"/>
    <mergeCell ref="A1161:B1161"/>
    <mergeCell ref="D1161:E1161"/>
    <mergeCell ref="A1162:B1162"/>
    <mergeCell ref="D1162:E1162"/>
    <mergeCell ref="A1163:B1163"/>
    <mergeCell ref="D1163:E1163"/>
    <mergeCell ref="A1179:F1179"/>
    <mergeCell ref="A1180:B1180"/>
    <mergeCell ref="D1180:E1180"/>
    <mergeCell ref="A1181:B1181"/>
    <mergeCell ref="D1181:E1181"/>
    <mergeCell ref="A1182:B1182"/>
    <mergeCell ref="D1182:E1182"/>
    <mergeCell ref="A1175:B1175"/>
    <mergeCell ref="D1175:E1175"/>
    <mergeCell ref="A1176:B1176"/>
    <mergeCell ref="D1176:E1176"/>
    <mergeCell ref="A1177:B1177"/>
    <mergeCell ref="D1177:E1177"/>
    <mergeCell ref="A1172:B1172"/>
    <mergeCell ref="D1172:E1172"/>
    <mergeCell ref="A1173:B1173"/>
    <mergeCell ref="D1173:E1173"/>
    <mergeCell ref="A1174:B1174"/>
    <mergeCell ref="D1174:E1174"/>
    <mergeCell ref="A1191:B1191"/>
    <mergeCell ref="D1191:E1191"/>
    <mergeCell ref="A1192:B1192"/>
    <mergeCell ref="D1192:E1192"/>
    <mergeCell ref="A1193:B1193"/>
    <mergeCell ref="D1193:E1193"/>
    <mergeCell ref="A1186:B1186"/>
    <mergeCell ref="D1186:E1186"/>
    <mergeCell ref="A1187:B1187"/>
    <mergeCell ref="D1187:E1187"/>
    <mergeCell ref="A1189:F1189"/>
    <mergeCell ref="A1190:B1190"/>
    <mergeCell ref="D1190:E1190"/>
    <mergeCell ref="A1183:B1183"/>
    <mergeCell ref="D1183:E1183"/>
    <mergeCell ref="A1184:B1184"/>
    <mergeCell ref="D1184:E1184"/>
    <mergeCell ref="A1185:B1185"/>
    <mergeCell ref="D1185:E1185"/>
    <mergeCell ref="A1201:F1201"/>
    <mergeCell ref="A1202:B1202"/>
    <mergeCell ref="D1202:E1202"/>
    <mergeCell ref="A1203:B1203"/>
    <mergeCell ref="D1203:E1203"/>
    <mergeCell ref="A1204:B1204"/>
    <mergeCell ref="D1204:E1204"/>
    <mergeCell ref="A1197:B1197"/>
    <mergeCell ref="D1197:E1197"/>
    <mergeCell ref="A1198:B1198"/>
    <mergeCell ref="D1198:E1198"/>
    <mergeCell ref="A1199:B1199"/>
    <mergeCell ref="D1199:E1199"/>
    <mergeCell ref="A1194:B1194"/>
    <mergeCell ref="D1194:E1194"/>
    <mergeCell ref="A1195:B1195"/>
    <mergeCell ref="D1195:E1195"/>
    <mergeCell ref="A1196:B1196"/>
    <mergeCell ref="D1196:E1196"/>
    <mergeCell ref="A1218:F1218"/>
    <mergeCell ref="A1219:B1219"/>
    <mergeCell ref="D1219:E1219"/>
    <mergeCell ref="A1221:F1221"/>
    <mergeCell ref="A1215:F1215"/>
    <mergeCell ref="A1216:B1216"/>
    <mergeCell ref="D1216:E1216"/>
    <mergeCell ref="A1210:B1210"/>
    <mergeCell ref="D1210:E1210"/>
    <mergeCell ref="A1212:F1212"/>
    <mergeCell ref="A1213:B1213"/>
    <mergeCell ref="D1213:E1213"/>
    <mergeCell ref="A1205:B1205"/>
    <mergeCell ref="D1205:E1205"/>
    <mergeCell ref="A1207:F1207"/>
    <mergeCell ref="A1208:B1208"/>
    <mergeCell ref="D1208:E1208"/>
    <mergeCell ref="A1209:B1209"/>
    <mergeCell ref="D1209:E1209"/>
    <mergeCell ref="A1234:B1234"/>
    <mergeCell ref="D1234:E1234"/>
    <mergeCell ref="A1235:B1235"/>
    <mergeCell ref="D1235:E1235"/>
    <mergeCell ref="A1236:B1236"/>
    <mergeCell ref="D1236:E1236"/>
    <mergeCell ref="A1230:F1230"/>
    <mergeCell ref="A1231:B1231"/>
    <mergeCell ref="D1231:E1231"/>
    <mergeCell ref="A1233:F1233"/>
    <mergeCell ref="A1225:B1225"/>
    <mergeCell ref="D1225:E1225"/>
    <mergeCell ref="A1227:F1227"/>
    <mergeCell ref="A1228:B1228"/>
    <mergeCell ref="D1228:E1228"/>
    <mergeCell ref="A1222:B1222"/>
    <mergeCell ref="D1222:E1222"/>
    <mergeCell ref="A1224:F1224"/>
    <mergeCell ref="A1243:B1243"/>
    <mergeCell ref="D1243:E1243"/>
    <mergeCell ref="A1244:B1244"/>
    <mergeCell ref="D1244:E1244"/>
    <mergeCell ref="A1245:B1245"/>
    <mergeCell ref="D1245:E1245"/>
    <mergeCell ref="A1240:B1240"/>
    <mergeCell ref="D1240:E1240"/>
    <mergeCell ref="A1241:B1241"/>
    <mergeCell ref="D1241:E1241"/>
    <mergeCell ref="A1242:B1242"/>
    <mergeCell ref="D1242:E1242"/>
    <mergeCell ref="A1237:B1237"/>
    <mergeCell ref="D1237:E1237"/>
    <mergeCell ref="A1238:B1238"/>
    <mergeCell ref="D1238:E1238"/>
    <mergeCell ref="A1239:B1239"/>
    <mergeCell ref="D1239:E1239"/>
    <mergeCell ref="A1252:B1252"/>
    <mergeCell ref="D1252:E1252"/>
    <mergeCell ref="A1253:B1253"/>
    <mergeCell ref="D1253:E1253"/>
    <mergeCell ref="A1254:B1254"/>
    <mergeCell ref="D1254:E1254"/>
    <mergeCell ref="A1249:B1249"/>
    <mergeCell ref="D1249:E1249"/>
    <mergeCell ref="A1250:B1250"/>
    <mergeCell ref="D1250:E1250"/>
    <mergeCell ref="A1251:B1251"/>
    <mergeCell ref="D1251:E1251"/>
    <mergeCell ref="A1246:B1246"/>
    <mergeCell ref="D1246:E1246"/>
    <mergeCell ref="A1247:B1247"/>
    <mergeCell ref="D1247:E1247"/>
    <mergeCell ref="A1248:B1248"/>
    <mergeCell ref="D1248:E1248"/>
    <mergeCell ref="A1264:B1264"/>
    <mergeCell ref="D1264:E1264"/>
    <mergeCell ref="E1265:F1265"/>
    <mergeCell ref="A1261:B1261"/>
    <mergeCell ref="D1261:E1261"/>
    <mergeCell ref="A1262:B1262"/>
    <mergeCell ref="D1262:E1262"/>
    <mergeCell ref="A1263:B1263"/>
    <mergeCell ref="D1263:E1263"/>
    <mergeCell ref="A1258:B1258"/>
    <mergeCell ref="D1258:E1258"/>
    <mergeCell ref="A1259:B1259"/>
    <mergeCell ref="D1259:E1259"/>
    <mergeCell ref="A1260:B1260"/>
    <mergeCell ref="D1260:E1260"/>
    <mergeCell ref="A1255:B1255"/>
    <mergeCell ref="D1255:E1255"/>
    <mergeCell ref="A1256:B1256"/>
    <mergeCell ref="D1256:E1256"/>
    <mergeCell ref="A1257:B1257"/>
    <mergeCell ref="D1257:E1257"/>
  </mergeCells>
  <pageMargins left="1.1811023622047245" right="0.59055118110236227" top="0.39370078740157483" bottom="0.39370078740157483" header="0.19685039370078741" footer="0.19685039370078741"/>
  <pageSetup scale="80" pageOrder="overThenDown" orientation="portrait" verticalDpi="0" r:id="rId1"/>
  <headerFooter>
    <oddFooter>&amp;R&amp;P</oddFooter>
  </headerFooter>
  <rowBreaks count="4" manualBreakCount="4">
    <brk id="51" max="16383" man="1"/>
    <brk id="411" max="16383" man="1"/>
    <brk id="459" max="16383" man="1"/>
    <brk id="118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Normal="100" workbookViewId="0">
      <selection activeCell="L14" sqref="L14"/>
    </sheetView>
  </sheetViews>
  <sheetFormatPr defaultColWidth="9.140625" defaultRowHeight="15" x14ac:dyDescent="0.25"/>
  <cols>
    <col min="1" max="1" width="10.7109375" style="1" customWidth="1"/>
    <col min="2" max="2" width="48.28515625" style="4" customWidth="1"/>
    <col min="3" max="3" width="10.28515625" style="1" customWidth="1"/>
    <col min="4" max="5" width="11.140625" style="1" customWidth="1"/>
    <col min="6" max="6" width="14.85546875" style="1" customWidth="1"/>
    <col min="7" max="7" width="12.5703125" style="1" customWidth="1"/>
    <col min="8" max="8" width="11.42578125" style="1" customWidth="1"/>
    <col min="9" max="9" width="12" style="1" customWidth="1"/>
    <col min="10" max="10" width="9.140625" style="1" customWidth="1"/>
    <col min="11" max="16384" width="9.140625" style="1"/>
  </cols>
  <sheetData>
    <row r="1" spans="1:17" x14ac:dyDescent="0.25">
      <c r="A1" s="1" t="s">
        <v>0</v>
      </c>
      <c r="H1" s="174" t="s">
        <v>391</v>
      </c>
      <c r="I1" s="174"/>
    </row>
    <row r="2" spans="1:17" x14ac:dyDescent="0.25">
      <c r="F2" s="174" t="s">
        <v>392</v>
      </c>
      <c r="G2" s="174"/>
      <c r="H2" s="174"/>
      <c r="I2" s="174"/>
    </row>
    <row r="3" spans="1:17" x14ac:dyDescent="0.25">
      <c r="I3" s="150" t="s">
        <v>676</v>
      </c>
      <c r="N3" s="28"/>
      <c r="O3" s="28"/>
      <c r="P3" s="28"/>
      <c r="Q3" s="28"/>
    </row>
    <row r="4" spans="1:17" ht="18.75" x14ac:dyDescent="0.3">
      <c r="A4" s="178" t="s">
        <v>417</v>
      </c>
      <c r="B4" s="178"/>
      <c r="C4" s="178"/>
      <c r="D4" s="178"/>
      <c r="E4" s="178"/>
      <c r="F4" s="178"/>
      <c r="G4" s="178"/>
      <c r="H4" s="178"/>
      <c r="I4" s="178"/>
    </row>
    <row r="6" spans="1:17" ht="18.75" x14ac:dyDescent="0.3">
      <c r="A6" s="31" t="s">
        <v>393</v>
      </c>
    </row>
    <row r="7" spans="1:17" s="4" customFormat="1" ht="57" x14ac:dyDescent="0.25">
      <c r="A7" s="29" t="s">
        <v>5</v>
      </c>
      <c r="B7" s="176" t="s">
        <v>383</v>
      </c>
      <c r="C7" s="176"/>
      <c r="D7" s="176"/>
      <c r="E7" s="176"/>
      <c r="F7" s="176"/>
      <c r="G7" s="29" t="s">
        <v>418</v>
      </c>
      <c r="H7" s="29" t="s">
        <v>394</v>
      </c>
      <c r="I7" s="143" t="s">
        <v>686</v>
      </c>
    </row>
    <row r="8" spans="1:17" x14ac:dyDescent="0.25">
      <c r="A8" s="13" t="s">
        <v>395</v>
      </c>
      <c r="B8" s="201" t="s">
        <v>396</v>
      </c>
      <c r="C8" s="201"/>
      <c r="D8" s="201"/>
      <c r="E8" s="201"/>
      <c r="F8" s="201"/>
      <c r="G8" s="15">
        <f>78000+23758</f>
        <v>101758</v>
      </c>
      <c r="H8" s="148"/>
      <c r="I8" s="15">
        <f>G8+H8</f>
        <v>101758</v>
      </c>
    </row>
    <row r="9" spans="1:17" x14ac:dyDescent="0.25">
      <c r="A9" s="13" t="s">
        <v>86</v>
      </c>
      <c r="B9" s="201" t="s">
        <v>90</v>
      </c>
      <c r="C9" s="201"/>
      <c r="D9" s="201"/>
      <c r="E9" s="201"/>
      <c r="F9" s="201"/>
      <c r="G9" s="15">
        <v>1762542</v>
      </c>
      <c r="H9" s="15">
        <v>39193</v>
      </c>
      <c r="I9" s="15">
        <f>G9+H9</f>
        <v>1801735</v>
      </c>
    </row>
    <row r="10" spans="1:17" x14ac:dyDescent="0.25">
      <c r="A10" s="13" t="s">
        <v>397</v>
      </c>
      <c r="B10" s="201" t="s">
        <v>398</v>
      </c>
      <c r="C10" s="201"/>
      <c r="D10" s="201"/>
      <c r="E10" s="201"/>
      <c r="F10" s="201"/>
      <c r="G10" s="15">
        <f>1100+1000</f>
        <v>2100</v>
      </c>
      <c r="H10" s="15"/>
      <c r="I10" s="15">
        <f>G10+H10</f>
        <v>2100</v>
      </c>
    </row>
    <row r="11" spans="1:17" x14ac:dyDescent="0.25">
      <c r="A11" s="13" t="s">
        <v>116</v>
      </c>
      <c r="B11" s="201" t="s">
        <v>118</v>
      </c>
      <c r="C11" s="201"/>
      <c r="D11" s="201"/>
      <c r="E11" s="201"/>
      <c r="F11" s="201"/>
      <c r="G11" s="32">
        <v>440514</v>
      </c>
      <c r="H11" s="15"/>
      <c r="I11" s="15">
        <f>G11+H11</f>
        <v>440514</v>
      </c>
    </row>
    <row r="12" spans="1:17" x14ac:dyDescent="0.25">
      <c r="A12" s="11"/>
      <c r="B12" s="202" t="s">
        <v>399</v>
      </c>
      <c r="C12" s="202"/>
      <c r="D12" s="202"/>
      <c r="E12" s="202"/>
      <c r="F12" s="202"/>
      <c r="G12" s="14">
        <f>SUM(G8:G11)</f>
        <v>2306914</v>
      </c>
      <c r="H12" s="14">
        <f>SUM(H8:H11)</f>
        <v>39193</v>
      </c>
      <c r="I12" s="14">
        <f>SUM(I8:I11)</f>
        <v>2346107</v>
      </c>
    </row>
    <row r="14" spans="1:17" ht="18.75" x14ac:dyDescent="0.3">
      <c r="A14" s="31" t="s">
        <v>400</v>
      </c>
      <c r="B14" s="33"/>
    </row>
    <row r="15" spans="1:17" s="4" customFormat="1" x14ac:dyDescent="0.25">
      <c r="A15" s="176" t="s">
        <v>401</v>
      </c>
      <c r="B15" s="176" t="s">
        <v>402</v>
      </c>
      <c r="C15" s="176" t="s">
        <v>123</v>
      </c>
      <c r="D15" s="176"/>
      <c r="E15" s="176"/>
      <c r="F15" s="176"/>
      <c r="G15" s="176"/>
      <c r="H15" s="176" t="s">
        <v>403</v>
      </c>
      <c r="I15" s="177" t="s">
        <v>679</v>
      </c>
    </row>
    <row r="16" spans="1:17" ht="42.75" x14ac:dyDescent="0.25">
      <c r="A16" s="176"/>
      <c r="B16" s="176"/>
      <c r="C16" s="34" t="s">
        <v>404</v>
      </c>
      <c r="D16" s="34" t="s">
        <v>84</v>
      </c>
      <c r="E16" s="34" t="s">
        <v>518</v>
      </c>
      <c r="F16" s="34" t="s">
        <v>420</v>
      </c>
      <c r="G16" s="35" t="s">
        <v>419</v>
      </c>
      <c r="H16" s="176"/>
      <c r="I16" s="177"/>
    </row>
    <row r="17" spans="1:9" x14ac:dyDescent="0.25">
      <c r="A17" s="36" t="s">
        <v>405</v>
      </c>
      <c r="B17" s="46" t="s">
        <v>406</v>
      </c>
      <c r="C17" s="79">
        <f>SUM(C18:C28)</f>
        <v>78000</v>
      </c>
      <c r="D17" s="79">
        <f t="shared" ref="D17:F17" si="0">SUM(D18:D28)</f>
        <v>0</v>
      </c>
      <c r="E17" s="79"/>
      <c r="F17" s="79">
        <f t="shared" si="0"/>
        <v>47229</v>
      </c>
      <c r="G17" s="53">
        <f>SUM(C17:F17)+23758</f>
        <v>148987</v>
      </c>
      <c r="H17" s="79">
        <v>0</v>
      </c>
      <c r="I17" s="107">
        <f>G17+H17</f>
        <v>148987</v>
      </c>
    </row>
    <row r="18" spans="1:9" ht="38.25" x14ac:dyDescent="0.25">
      <c r="A18" s="36"/>
      <c r="B18" s="111" t="s">
        <v>430</v>
      </c>
      <c r="C18" s="84">
        <v>4183</v>
      </c>
      <c r="D18" s="84"/>
      <c r="E18" s="84"/>
      <c r="F18" s="84"/>
      <c r="G18" s="80">
        <f t="shared" ref="G18:G21" si="1">SUM(C18:F18)</f>
        <v>4183</v>
      </c>
      <c r="H18" s="112"/>
      <c r="I18" s="113">
        <f t="shared" ref="I18:I33" si="2">G18+H18</f>
        <v>4183</v>
      </c>
    </row>
    <row r="19" spans="1:9" ht="25.5" x14ac:dyDescent="0.25">
      <c r="A19" s="36"/>
      <c r="B19" s="111" t="s">
        <v>431</v>
      </c>
      <c r="C19" s="84"/>
      <c r="D19" s="84"/>
      <c r="E19" s="84"/>
      <c r="F19" s="84">
        <v>30000</v>
      </c>
      <c r="G19" s="80">
        <v>15341</v>
      </c>
      <c r="H19" s="149">
        <v>-2995</v>
      </c>
      <c r="I19" s="113">
        <f t="shared" si="2"/>
        <v>12346</v>
      </c>
    </row>
    <row r="20" spans="1:9" ht="25.5" x14ac:dyDescent="0.25">
      <c r="A20" s="36"/>
      <c r="B20" s="111" t="s">
        <v>432</v>
      </c>
      <c r="C20" s="84">
        <v>28240</v>
      </c>
      <c r="D20" s="84"/>
      <c r="E20" s="84"/>
      <c r="F20" s="84">
        <v>17206</v>
      </c>
      <c r="G20" s="80">
        <v>72665</v>
      </c>
      <c r="H20" s="149">
        <v>2995</v>
      </c>
      <c r="I20" s="113">
        <f t="shared" si="2"/>
        <v>75660</v>
      </c>
    </row>
    <row r="21" spans="1:9" ht="25.5" x14ac:dyDescent="0.25">
      <c r="A21" s="36"/>
      <c r="B21" s="111" t="s">
        <v>433</v>
      </c>
      <c r="C21" s="84">
        <v>2800</v>
      </c>
      <c r="D21" s="84"/>
      <c r="E21" s="84"/>
      <c r="F21" s="84"/>
      <c r="G21" s="80">
        <f t="shared" si="1"/>
        <v>2800</v>
      </c>
      <c r="H21" s="149"/>
      <c r="I21" s="113">
        <f t="shared" si="2"/>
        <v>2800</v>
      </c>
    </row>
    <row r="22" spans="1:9" ht="51" x14ac:dyDescent="0.25">
      <c r="A22" s="36"/>
      <c r="B22" s="111" t="s">
        <v>434</v>
      </c>
      <c r="C22" s="84">
        <v>477</v>
      </c>
      <c r="D22" s="84"/>
      <c r="E22" s="84"/>
      <c r="F22" s="84">
        <v>23</v>
      </c>
      <c r="G22" s="80">
        <v>490</v>
      </c>
      <c r="H22" s="149"/>
      <c r="I22" s="113">
        <f t="shared" si="2"/>
        <v>490</v>
      </c>
    </row>
    <row r="23" spans="1:9" ht="25.5" x14ac:dyDescent="0.25">
      <c r="A23" s="36"/>
      <c r="B23" s="111" t="s">
        <v>536</v>
      </c>
      <c r="C23" s="84">
        <v>25000</v>
      </c>
      <c r="D23" s="84"/>
      <c r="E23" s="84"/>
      <c r="F23" s="84"/>
      <c r="G23" s="80">
        <v>34454</v>
      </c>
      <c r="H23" s="149"/>
      <c r="I23" s="113">
        <f t="shared" si="2"/>
        <v>34454</v>
      </c>
    </row>
    <row r="24" spans="1:9" ht="27.75" customHeight="1" x14ac:dyDescent="0.25">
      <c r="A24" s="36"/>
      <c r="B24" s="111" t="s">
        <v>508</v>
      </c>
      <c r="C24" s="84">
        <v>15000</v>
      </c>
      <c r="D24" s="84"/>
      <c r="E24" s="84"/>
      <c r="F24" s="84"/>
      <c r="G24" s="80">
        <v>836</v>
      </c>
      <c r="H24" s="149"/>
      <c r="I24" s="113">
        <f t="shared" si="2"/>
        <v>836</v>
      </c>
    </row>
    <row r="25" spans="1:9" ht="36.75" customHeight="1" x14ac:dyDescent="0.25">
      <c r="A25" s="36"/>
      <c r="B25" s="111" t="s">
        <v>535</v>
      </c>
      <c r="C25" s="84">
        <v>0</v>
      </c>
      <c r="D25" s="84"/>
      <c r="E25" s="84"/>
      <c r="F25" s="84"/>
      <c r="G25" s="80">
        <v>695</v>
      </c>
      <c r="H25" s="149"/>
      <c r="I25" s="113">
        <f t="shared" si="2"/>
        <v>695</v>
      </c>
    </row>
    <row r="26" spans="1:9" ht="27.75" customHeight="1" x14ac:dyDescent="0.25">
      <c r="A26" s="36"/>
      <c r="B26" s="111" t="s">
        <v>537</v>
      </c>
      <c r="C26" s="84">
        <v>0</v>
      </c>
      <c r="D26" s="84"/>
      <c r="E26" s="84"/>
      <c r="F26" s="84"/>
      <c r="G26" s="80">
        <v>15000</v>
      </c>
      <c r="H26" s="149"/>
      <c r="I26" s="113">
        <f t="shared" si="2"/>
        <v>15000</v>
      </c>
    </row>
    <row r="27" spans="1:9" ht="27.75" customHeight="1" x14ac:dyDescent="0.25">
      <c r="A27" s="36"/>
      <c r="B27" s="111" t="s">
        <v>538</v>
      </c>
      <c r="C27" s="84">
        <v>0</v>
      </c>
      <c r="D27" s="84"/>
      <c r="E27" s="84"/>
      <c r="F27" s="84"/>
      <c r="G27" s="80">
        <v>2400</v>
      </c>
      <c r="H27" s="149"/>
      <c r="I27" s="113">
        <f t="shared" si="2"/>
        <v>2400</v>
      </c>
    </row>
    <row r="28" spans="1:9" ht="38.25" x14ac:dyDescent="0.25">
      <c r="A28" s="36"/>
      <c r="B28" s="111" t="s">
        <v>509</v>
      </c>
      <c r="C28" s="84">
        <v>2300</v>
      </c>
      <c r="D28" s="84"/>
      <c r="E28" s="84"/>
      <c r="F28" s="84"/>
      <c r="G28" s="80">
        <v>123</v>
      </c>
      <c r="H28" s="112"/>
      <c r="I28" s="113">
        <f t="shared" si="2"/>
        <v>123</v>
      </c>
    </row>
    <row r="29" spans="1:9" x14ac:dyDescent="0.25">
      <c r="A29" s="36" t="s">
        <v>407</v>
      </c>
      <c r="B29" s="46" t="s">
        <v>408</v>
      </c>
      <c r="C29" s="79">
        <f>C30+C31</f>
        <v>0</v>
      </c>
      <c r="D29" s="79">
        <f>D30+D31</f>
        <v>1762542</v>
      </c>
      <c r="E29" s="79"/>
      <c r="F29" s="79">
        <f>F30+F31</f>
        <v>216801</v>
      </c>
      <c r="G29" s="53">
        <f>SUM(C29:F29)</f>
        <v>1979343</v>
      </c>
      <c r="H29" s="53">
        <f>SUM(H30:H31)</f>
        <v>39193</v>
      </c>
      <c r="I29" s="107">
        <f t="shared" si="2"/>
        <v>2018536</v>
      </c>
    </row>
    <row r="30" spans="1:9" ht="15" customHeight="1" x14ac:dyDescent="0.25">
      <c r="A30" s="45"/>
      <c r="B30" s="102" t="s">
        <v>409</v>
      </c>
      <c r="C30" s="84"/>
      <c r="D30" s="84">
        <v>1239912</v>
      </c>
      <c r="E30" s="84"/>
      <c r="F30" s="84">
        <v>216801</v>
      </c>
      <c r="G30" s="84">
        <f>SUM(C30:F30)</f>
        <v>1456713</v>
      </c>
      <c r="H30" s="84"/>
      <c r="I30" s="84">
        <f t="shared" si="2"/>
        <v>1456713</v>
      </c>
    </row>
    <row r="31" spans="1:9" ht="26.25" customHeight="1" x14ac:dyDescent="0.25">
      <c r="A31" s="45"/>
      <c r="B31" s="102" t="s">
        <v>410</v>
      </c>
      <c r="C31" s="84"/>
      <c r="D31" s="84">
        <v>522630</v>
      </c>
      <c r="E31" s="84"/>
      <c r="F31" s="84"/>
      <c r="G31" s="84">
        <f>SUM(C31:F31)</f>
        <v>522630</v>
      </c>
      <c r="H31" s="108">
        <v>39193</v>
      </c>
      <c r="I31" s="84">
        <f t="shared" si="2"/>
        <v>561823</v>
      </c>
    </row>
    <row r="32" spans="1:9" x14ac:dyDescent="0.25">
      <c r="A32" s="36" t="s">
        <v>411</v>
      </c>
      <c r="B32" s="110" t="s">
        <v>412</v>
      </c>
      <c r="C32" s="79"/>
      <c r="D32" s="79"/>
      <c r="E32" s="79">
        <f>1100+1000</f>
        <v>2100</v>
      </c>
      <c r="F32" s="79">
        <v>176484</v>
      </c>
      <c r="G32" s="53">
        <f>SUM(C32:F32)</f>
        <v>178584</v>
      </c>
      <c r="H32" s="109"/>
      <c r="I32" s="107">
        <f t="shared" si="2"/>
        <v>178584</v>
      </c>
    </row>
    <row r="33" spans="1:11" hidden="1" x14ac:dyDescent="0.25">
      <c r="A33" s="40" t="s">
        <v>435</v>
      </c>
      <c r="B33" s="114" t="s">
        <v>151</v>
      </c>
      <c r="C33" s="115"/>
      <c r="D33" s="115"/>
      <c r="E33" s="115"/>
      <c r="F33" s="115"/>
      <c r="G33" s="56">
        <f>SUM(C33:F33)</f>
        <v>0</v>
      </c>
      <c r="H33" s="59"/>
      <c r="I33" s="116">
        <f t="shared" si="2"/>
        <v>0</v>
      </c>
    </row>
    <row r="34" spans="1:11" x14ac:dyDescent="0.25">
      <c r="A34" s="39"/>
      <c r="B34" s="97" t="s">
        <v>413</v>
      </c>
      <c r="C34" s="52">
        <f t="shared" ref="C34:I34" si="3">C17+C29+C32+C33</f>
        <v>78000</v>
      </c>
      <c r="D34" s="52">
        <f>D17+D29+D32+D33</f>
        <v>1762542</v>
      </c>
      <c r="E34" s="52">
        <f>E17+E29+E32+E33</f>
        <v>2100</v>
      </c>
      <c r="F34" s="52">
        <f t="shared" si="3"/>
        <v>440514</v>
      </c>
      <c r="G34" s="52">
        <f>G17+G29+G32+G33</f>
        <v>2306914</v>
      </c>
      <c r="H34" s="52">
        <f t="shared" si="3"/>
        <v>39193</v>
      </c>
      <c r="I34" s="52">
        <f t="shared" si="3"/>
        <v>2346107</v>
      </c>
    </row>
    <row r="36" spans="1:11" ht="18.75" x14ac:dyDescent="0.3">
      <c r="A36" s="180" t="s">
        <v>126</v>
      </c>
      <c r="B36" s="180"/>
      <c r="C36" s="17"/>
      <c r="D36" s="17"/>
      <c r="E36" s="17"/>
      <c r="F36" s="17"/>
      <c r="G36" s="17"/>
      <c r="H36" s="30"/>
      <c r="I36" s="30" t="s">
        <v>127</v>
      </c>
      <c r="K36" s="17"/>
    </row>
  </sheetData>
  <mergeCells count="15">
    <mergeCell ref="H15:H16"/>
    <mergeCell ref="I15:I16"/>
    <mergeCell ref="A36:B36"/>
    <mergeCell ref="B10:F10"/>
    <mergeCell ref="B11:F11"/>
    <mergeCell ref="B12:F12"/>
    <mergeCell ref="A15:A16"/>
    <mergeCell ref="B15:B16"/>
    <mergeCell ref="C15:G15"/>
    <mergeCell ref="B9:F9"/>
    <mergeCell ref="H1:I1"/>
    <mergeCell ref="F2:I2"/>
    <mergeCell ref="A4:I4"/>
    <mergeCell ref="B7:F7"/>
    <mergeCell ref="B8:F8"/>
  </mergeCells>
  <printOptions horizontalCentered="1"/>
  <pageMargins left="0.78740157480314965" right="0.78740157480314965" top="1.1811023622047245" bottom="0.59055118110236227" header="0.19685039370078741" footer="0.19685039370078741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92"/>
  <sheetViews>
    <sheetView showGridLines="0" tabSelected="1" zoomScale="90" zoomScaleNormal="90" workbookViewId="0">
      <selection activeCell="I34" sqref="I34"/>
    </sheetView>
  </sheetViews>
  <sheetFormatPr defaultRowHeight="15.75" x14ac:dyDescent="0.25"/>
  <cols>
    <col min="1" max="1" width="2.7109375" style="131" customWidth="1"/>
    <col min="2" max="2" width="63.7109375" style="131" customWidth="1"/>
    <col min="3" max="3" width="12" style="131" customWidth="1"/>
    <col min="4" max="4" width="5.85546875" style="131" customWidth="1"/>
    <col min="5" max="5" width="5" style="131" customWidth="1"/>
    <col min="6" max="6" width="17" style="131" customWidth="1"/>
    <col min="7" max="256" width="9.140625" style="131"/>
    <col min="257" max="257" width="2.7109375" style="131" customWidth="1"/>
    <col min="258" max="258" width="66" style="131" customWidth="1"/>
    <col min="259" max="259" width="12" style="131" customWidth="1"/>
    <col min="260" max="260" width="5.85546875" style="131" customWidth="1"/>
    <col min="261" max="261" width="5.5703125" style="131" customWidth="1"/>
    <col min="262" max="262" width="17" style="131" customWidth="1"/>
    <col min="263" max="512" width="9.140625" style="131"/>
    <col min="513" max="513" width="2.7109375" style="131" customWidth="1"/>
    <col min="514" max="514" width="66" style="131" customWidth="1"/>
    <col min="515" max="515" width="12" style="131" customWidth="1"/>
    <col min="516" max="516" width="5.85546875" style="131" customWidth="1"/>
    <col min="517" max="517" width="5.5703125" style="131" customWidth="1"/>
    <col min="518" max="518" width="17" style="131" customWidth="1"/>
    <col min="519" max="768" width="9.140625" style="131"/>
    <col min="769" max="769" width="2.7109375" style="131" customWidth="1"/>
    <col min="770" max="770" width="66" style="131" customWidth="1"/>
    <col min="771" max="771" width="12" style="131" customWidth="1"/>
    <col min="772" max="772" width="5.85546875" style="131" customWidth="1"/>
    <col min="773" max="773" width="5.5703125" style="131" customWidth="1"/>
    <col min="774" max="774" width="17" style="131" customWidth="1"/>
    <col min="775" max="1024" width="9.140625" style="131"/>
    <col min="1025" max="1025" width="2.7109375" style="131" customWidth="1"/>
    <col min="1026" max="1026" width="66" style="131" customWidth="1"/>
    <col min="1027" max="1027" width="12" style="131" customWidth="1"/>
    <col min="1028" max="1028" width="5.85546875" style="131" customWidth="1"/>
    <col min="1029" max="1029" width="5.5703125" style="131" customWidth="1"/>
    <col min="1030" max="1030" width="17" style="131" customWidth="1"/>
    <col min="1031" max="1280" width="9.140625" style="131"/>
    <col min="1281" max="1281" width="2.7109375" style="131" customWidth="1"/>
    <col min="1282" max="1282" width="66" style="131" customWidth="1"/>
    <col min="1283" max="1283" width="12" style="131" customWidth="1"/>
    <col min="1284" max="1284" width="5.85546875" style="131" customWidth="1"/>
    <col min="1285" max="1285" width="5.5703125" style="131" customWidth="1"/>
    <col min="1286" max="1286" width="17" style="131" customWidth="1"/>
    <col min="1287" max="1536" width="9.140625" style="131"/>
    <col min="1537" max="1537" width="2.7109375" style="131" customWidth="1"/>
    <col min="1538" max="1538" width="66" style="131" customWidth="1"/>
    <col min="1539" max="1539" width="12" style="131" customWidth="1"/>
    <col min="1540" max="1540" width="5.85546875" style="131" customWidth="1"/>
    <col min="1541" max="1541" width="5.5703125" style="131" customWidth="1"/>
    <col min="1542" max="1542" width="17" style="131" customWidth="1"/>
    <col min="1543" max="1792" width="9.140625" style="131"/>
    <col min="1793" max="1793" width="2.7109375" style="131" customWidth="1"/>
    <col min="1794" max="1794" width="66" style="131" customWidth="1"/>
    <col min="1795" max="1795" width="12" style="131" customWidth="1"/>
    <col min="1796" max="1796" width="5.85546875" style="131" customWidth="1"/>
    <col min="1797" max="1797" width="5.5703125" style="131" customWidth="1"/>
    <col min="1798" max="1798" width="17" style="131" customWidth="1"/>
    <col min="1799" max="2048" width="9.140625" style="131"/>
    <col min="2049" max="2049" width="2.7109375" style="131" customWidth="1"/>
    <col min="2050" max="2050" width="66" style="131" customWidth="1"/>
    <col min="2051" max="2051" width="12" style="131" customWidth="1"/>
    <col min="2052" max="2052" width="5.85546875" style="131" customWidth="1"/>
    <col min="2053" max="2053" width="5.5703125" style="131" customWidth="1"/>
    <col min="2054" max="2054" width="17" style="131" customWidth="1"/>
    <col min="2055" max="2304" width="9.140625" style="131"/>
    <col min="2305" max="2305" width="2.7109375" style="131" customWidth="1"/>
    <col min="2306" max="2306" width="66" style="131" customWidth="1"/>
    <col min="2307" max="2307" width="12" style="131" customWidth="1"/>
    <col min="2308" max="2308" width="5.85546875" style="131" customWidth="1"/>
    <col min="2309" max="2309" width="5.5703125" style="131" customWidth="1"/>
    <col min="2310" max="2310" width="17" style="131" customWidth="1"/>
    <col min="2311" max="2560" width="9.140625" style="131"/>
    <col min="2561" max="2561" width="2.7109375" style="131" customWidth="1"/>
    <col min="2562" max="2562" width="66" style="131" customWidth="1"/>
    <col min="2563" max="2563" width="12" style="131" customWidth="1"/>
    <col min="2564" max="2564" width="5.85546875" style="131" customWidth="1"/>
    <col min="2565" max="2565" width="5.5703125" style="131" customWidth="1"/>
    <col min="2566" max="2566" width="17" style="131" customWidth="1"/>
    <col min="2567" max="2816" width="9.140625" style="131"/>
    <col min="2817" max="2817" width="2.7109375" style="131" customWidth="1"/>
    <col min="2818" max="2818" width="66" style="131" customWidth="1"/>
    <col min="2819" max="2819" width="12" style="131" customWidth="1"/>
    <col min="2820" max="2820" width="5.85546875" style="131" customWidth="1"/>
    <col min="2821" max="2821" width="5.5703125" style="131" customWidth="1"/>
    <col min="2822" max="2822" width="17" style="131" customWidth="1"/>
    <col min="2823" max="3072" width="9.140625" style="131"/>
    <col min="3073" max="3073" width="2.7109375" style="131" customWidth="1"/>
    <col min="3074" max="3074" width="66" style="131" customWidth="1"/>
    <col min="3075" max="3075" width="12" style="131" customWidth="1"/>
    <col min="3076" max="3076" width="5.85546875" style="131" customWidth="1"/>
    <col min="3077" max="3077" width="5.5703125" style="131" customWidth="1"/>
    <col min="3078" max="3078" width="17" style="131" customWidth="1"/>
    <col min="3079" max="3328" width="9.140625" style="131"/>
    <col min="3329" max="3329" width="2.7109375" style="131" customWidth="1"/>
    <col min="3330" max="3330" width="66" style="131" customWidth="1"/>
    <col min="3331" max="3331" width="12" style="131" customWidth="1"/>
    <col min="3332" max="3332" width="5.85546875" style="131" customWidth="1"/>
    <col min="3333" max="3333" width="5.5703125" style="131" customWidth="1"/>
    <col min="3334" max="3334" width="17" style="131" customWidth="1"/>
    <col min="3335" max="3584" width="9.140625" style="131"/>
    <col min="3585" max="3585" width="2.7109375" style="131" customWidth="1"/>
    <col min="3586" max="3586" width="66" style="131" customWidth="1"/>
    <col min="3587" max="3587" width="12" style="131" customWidth="1"/>
    <col min="3588" max="3588" width="5.85546875" style="131" customWidth="1"/>
    <col min="3589" max="3589" width="5.5703125" style="131" customWidth="1"/>
    <col min="3590" max="3590" width="17" style="131" customWidth="1"/>
    <col min="3591" max="3840" width="9.140625" style="131"/>
    <col min="3841" max="3841" width="2.7109375" style="131" customWidth="1"/>
    <col min="3842" max="3842" width="66" style="131" customWidth="1"/>
    <col min="3843" max="3843" width="12" style="131" customWidth="1"/>
    <col min="3844" max="3844" width="5.85546875" style="131" customWidth="1"/>
    <col min="3845" max="3845" width="5.5703125" style="131" customWidth="1"/>
    <col min="3846" max="3846" width="17" style="131" customWidth="1"/>
    <col min="3847" max="4096" width="9.140625" style="131"/>
    <col min="4097" max="4097" width="2.7109375" style="131" customWidth="1"/>
    <col min="4098" max="4098" width="66" style="131" customWidth="1"/>
    <col min="4099" max="4099" width="12" style="131" customWidth="1"/>
    <col min="4100" max="4100" width="5.85546875" style="131" customWidth="1"/>
    <col min="4101" max="4101" width="5.5703125" style="131" customWidth="1"/>
    <col min="4102" max="4102" width="17" style="131" customWidth="1"/>
    <col min="4103" max="4352" width="9.140625" style="131"/>
    <col min="4353" max="4353" width="2.7109375" style="131" customWidth="1"/>
    <col min="4354" max="4354" width="66" style="131" customWidth="1"/>
    <col min="4355" max="4355" width="12" style="131" customWidth="1"/>
    <col min="4356" max="4356" width="5.85546875" style="131" customWidth="1"/>
    <col min="4357" max="4357" width="5.5703125" style="131" customWidth="1"/>
    <col min="4358" max="4358" width="17" style="131" customWidth="1"/>
    <col min="4359" max="4608" width="9.140625" style="131"/>
    <col min="4609" max="4609" width="2.7109375" style="131" customWidth="1"/>
    <col min="4610" max="4610" width="66" style="131" customWidth="1"/>
    <col min="4611" max="4611" width="12" style="131" customWidth="1"/>
    <col min="4612" max="4612" width="5.85546875" style="131" customWidth="1"/>
    <col min="4613" max="4613" width="5.5703125" style="131" customWidth="1"/>
    <col min="4614" max="4614" width="17" style="131" customWidth="1"/>
    <col min="4615" max="4864" width="9.140625" style="131"/>
    <col min="4865" max="4865" width="2.7109375" style="131" customWidth="1"/>
    <col min="4866" max="4866" width="66" style="131" customWidth="1"/>
    <col min="4867" max="4867" width="12" style="131" customWidth="1"/>
    <col min="4868" max="4868" width="5.85546875" style="131" customWidth="1"/>
    <col min="4869" max="4869" width="5.5703125" style="131" customWidth="1"/>
    <col min="4870" max="4870" width="17" style="131" customWidth="1"/>
    <col min="4871" max="5120" width="9.140625" style="131"/>
    <col min="5121" max="5121" width="2.7109375" style="131" customWidth="1"/>
    <col min="5122" max="5122" width="66" style="131" customWidth="1"/>
    <col min="5123" max="5123" width="12" style="131" customWidth="1"/>
    <col min="5124" max="5124" width="5.85546875" style="131" customWidth="1"/>
    <col min="5125" max="5125" width="5.5703125" style="131" customWidth="1"/>
    <col min="5126" max="5126" width="17" style="131" customWidth="1"/>
    <col min="5127" max="5376" width="9.140625" style="131"/>
    <col min="5377" max="5377" width="2.7109375" style="131" customWidth="1"/>
    <col min="5378" max="5378" width="66" style="131" customWidth="1"/>
    <col min="5379" max="5379" width="12" style="131" customWidth="1"/>
    <col min="5380" max="5380" width="5.85546875" style="131" customWidth="1"/>
    <col min="5381" max="5381" width="5.5703125" style="131" customWidth="1"/>
    <col min="5382" max="5382" width="17" style="131" customWidth="1"/>
    <col min="5383" max="5632" width="9.140625" style="131"/>
    <col min="5633" max="5633" width="2.7109375" style="131" customWidth="1"/>
    <col min="5634" max="5634" width="66" style="131" customWidth="1"/>
    <col min="5635" max="5635" width="12" style="131" customWidth="1"/>
    <col min="5636" max="5636" width="5.85546875" style="131" customWidth="1"/>
    <col min="5637" max="5637" width="5.5703125" style="131" customWidth="1"/>
    <col min="5638" max="5638" width="17" style="131" customWidth="1"/>
    <col min="5639" max="5888" width="9.140625" style="131"/>
    <col min="5889" max="5889" width="2.7109375" style="131" customWidth="1"/>
    <col min="5890" max="5890" width="66" style="131" customWidth="1"/>
    <col min="5891" max="5891" width="12" style="131" customWidth="1"/>
    <col min="5892" max="5892" width="5.85546875" style="131" customWidth="1"/>
    <col min="5893" max="5893" width="5.5703125" style="131" customWidth="1"/>
    <col min="5894" max="5894" width="17" style="131" customWidth="1"/>
    <col min="5895" max="6144" width="9.140625" style="131"/>
    <col min="6145" max="6145" width="2.7109375" style="131" customWidth="1"/>
    <col min="6146" max="6146" width="66" style="131" customWidth="1"/>
    <col min="6147" max="6147" width="12" style="131" customWidth="1"/>
    <col min="6148" max="6148" width="5.85546875" style="131" customWidth="1"/>
    <col min="6149" max="6149" width="5.5703125" style="131" customWidth="1"/>
    <col min="6150" max="6150" width="17" style="131" customWidth="1"/>
    <col min="6151" max="6400" width="9.140625" style="131"/>
    <col min="6401" max="6401" width="2.7109375" style="131" customWidth="1"/>
    <col min="6402" max="6402" width="66" style="131" customWidth="1"/>
    <col min="6403" max="6403" width="12" style="131" customWidth="1"/>
    <col min="6404" max="6404" width="5.85546875" style="131" customWidth="1"/>
    <col min="6405" max="6405" width="5.5703125" style="131" customWidth="1"/>
    <col min="6406" max="6406" width="17" style="131" customWidth="1"/>
    <col min="6407" max="6656" width="9.140625" style="131"/>
    <col min="6657" max="6657" width="2.7109375" style="131" customWidth="1"/>
    <col min="6658" max="6658" width="66" style="131" customWidth="1"/>
    <col min="6659" max="6659" width="12" style="131" customWidth="1"/>
    <col min="6660" max="6660" width="5.85546875" style="131" customWidth="1"/>
    <col min="6661" max="6661" width="5.5703125" style="131" customWidth="1"/>
    <col min="6662" max="6662" width="17" style="131" customWidth="1"/>
    <col min="6663" max="6912" width="9.140625" style="131"/>
    <col min="6913" max="6913" width="2.7109375" style="131" customWidth="1"/>
    <col min="6914" max="6914" width="66" style="131" customWidth="1"/>
    <col min="6915" max="6915" width="12" style="131" customWidth="1"/>
    <col min="6916" max="6916" width="5.85546875" style="131" customWidth="1"/>
    <col min="6917" max="6917" width="5.5703125" style="131" customWidth="1"/>
    <col min="6918" max="6918" width="17" style="131" customWidth="1"/>
    <col min="6919" max="7168" width="9.140625" style="131"/>
    <col min="7169" max="7169" width="2.7109375" style="131" customWidth="1"/>
    <col min="7170" max="7170" width="66" style="131" customWidth="1"/>
    <col min="7171" max="7171" width="12" style="131" customWidth="1"/>
    <col min="7172" max="7172" width="5.85546875" style="131" customWidth="1"/>
    <col min="7173" max="7173" width="5.5703125" style="131" customWidth="1"/>
    <col min="7174" max="7174" width="17" style="131" customWidth="1"/>
    <col min="7175" max="7424" width="9.140625" style="131"/>
    <col min="7425" max="7425" width="2.7109375" style="131" customWidth="1"/>
    <col min="7426" max="7426" width="66" style="131" customWidth="1"/>
    <col min="7427" max="7427" width="12" style="131" customWidth="1"/>
    <col min="7428" max="7428" width="5.85546875" style="131" customWidth="1"/>
    <col min="7429" max="7429" width="5.5703125" style="131" customWidth="1"/>
    <col min="7430" max="7430" width="17" style="131" customWidth="1"/>
    <col min="7431" max="7680" width="9.140625" style="131"/>
    <col min="7681" max="7681" width="2.7109375" style="131" customWidth="1"/>
    <col min="7682" max="7682" width="66" style="131" customWidth="1"/>
    <col min="7683" max="7683" width="12" style="131" customWidth="1"/>
    <col min="7684" max="7684" width="5.85546875" style="131" customWidth="1"/>
    <col min="7685" max="7685" width="5.5703125" style="131" customWidth="1"/>
    <col min="7686" max="7686" width="17" style="131" customWidth="1"/>
    <col min="7687" max="7936" width="9.140625" style="131"/>
    <col min="7937" max="7937" width="2.7109375" style="131" customWidth="1"/>
    <col min="7938" max="7938" width="66" style="131" customWidth="1"/>
    <col min="7939" max="7939" width="12" style="131" customWidth="1"/>
    <col min="7940" max="7940" width="5.85546875" style="131" customWidth="1"/>
    <col min="7941" max="7941" width="5.5703125" style="131" customWidth="1"/>
    <col min="7942" max="7942" width="17" style="131" customWidth="1"/>
    <col min="7943" max="8192" width="9.140625" style="131"/>
    <col min="8193" max="8193" width="2.7109375" style="131" customWidth="1"/>
    <col min="8194" max="8194" width="66" style="131" customWidth="1"/>
    <col min="8195" max="8195" width="12" style="131" customWidth="1"/>
    <col min="8196" max="8196" width="5.85546875" style="131" customWidth="1"/>
    <col min="8197" max="8197" width="5.5703125" style="131" customWidth="1"/>
    <col min="8198" max="8198" width="17" style="131" customWidth="1"/>
    <col min="8199" max="8448" width="9.140625" style="131"/>
    <col min="8449" max="8449" width="2.7109375" style="131" customWidth="1"/>
    <col min="8450" max="8450" width="66" style="131" customWidth="1"/>
    <col min="8451" max="8451" width="12" style="131" customWidth="1"/>
    <col min="8452" max="8452" width="5.85546875" style="131" customWidth="1"/>
    <col min="8453" max="8453" width="5.5703125" style="131" customWidth="1"/>
    <col min="8454" max="8454" width="17" style="131" customWidth="1"/>
    <col min="8455" max="8704" width="9.140625" style="131"/>
    <col min="8705" max="8705" width="2.7109375" style="131" customWidth="1"/>
    <col min="8706" max="8706" width="66" style="131" customWidth="1"/>
    <col min="8707" max="8707" width="12" style="131" customWidth="1"/>
    <col min="8708" max="8708" width="5.85546875" style="131" customWidth="1"/>
    <col min="8709" max="8709" width="5.5703125" style="131" customWidth="1"/>
    <col min="8710" max="8710" width="17" style="131" customWidth="1"/>
    <col min="8711" max="8960" width="9.140625" style="131"/>
    <col min="8961" max="8961" width="2.7109375" style="131" customWidth="1"/>
    <col min="8962" max="8962" width="66" style="131" customWidth="1"/>
    <col min="8963" max="8963" width="12" style="131" customWidth="1"/>
    <col min="8964" max="8964" width="5.85546875" style="131" customWidth="1"/>
    <col min="8965" max="8965" width="5.5703125" style="131" customWidth="1"/>
    <col min="8966" max="8966" width="17" style="131" customWidth="1"/>
    <col min="8967" max="9216" width="9.140625" style="131"/>
    <col min="9217" max="9217" width="2.7109375" style="131" customWidth="1"/>
    <col min="9218" max="9218" width="66" style="131" customWidth="1"/>
    <col min="9219" max="9219" width="12" style="131" customWidth="1"/>
    <col min="9220" max="9220" width="5.85546875" style="131" customWidth="1"/>
    <col min="9221" max="9221" width="5.5703125" style="131" customWidth="1"/>
    <col min="9222" max="9222" width="17" style="131" customWidth="1"/>
    <col min="9223" max="9472" width="9.140625" style="131"/>
    <col min="9473" max="9473" width="2.7109375" style="131" customWidth="1"/>
    <col min="9474" max="9474" width="66" style="131" customWidth="1"/>
    <col min="9475" max="9475" width="12" style="131" customWidth="1"/>
    <col min="9476" max="9476" width="5.85546875" style="131" customWidth="1"/>
    <col min="9477" max="9477" width="5.5703125" style="131" customWidth="1"/>
    <col min="9478" max="9478" width="17" style="131" customWidth="1"/>
    <col min="9479" max="9728" width="9.140625" style="131"/>
    <col min="9729" max="9729" width="2.7109375" style="131" customWidth="1"/>
    <col min="9730" max="9730" width="66" style="131" customWidth="1"/>
    <col min="9731" max="9731" width="12" style="131" customWidth="1"/>
    <col min="9732" max="9732" width="5.85546875" style="131" customWidth="1"/>
    <col min="9733" max="9733" width="5.5703125" style="131" customWidth="1"/>
    <col min="9734" max="9734" width="17" style="131" customWidth="1"/>
    <col min="9735" max="9984" width="9.140625" style="131"/>
    <col min="9985" max="9985" width="2.7109375" style="131" customWidth="1"/>
    <col min="9986" max="9986" width="66" style="131" customWidth="1"/>
    <col min="9987" max="9987" width="12" style="131" customWidth="1"/>
    <col min="9988" max="9988" width="5.85546875" style="131" customWidth="1"/>
    <col min="9989" max="9989" width="5.5703125" style="131" customWidth="1"/>
    <col min="9990" max="9990" width="17" style="131" customWidth="1"/>
    <col min="9991" max="10240" width="9.140625" style="131"/>
    <col min="10241" max="10241" width="2.7109375" style="131" customWidth="1"/>
    <col min="10242" max="10242" width="66" style="131" customWidth="1"/>
    <col min="10243" max="10243" width="12" style="131" customWidth="1"/>
    <col min="10244" max="10244" width="5.85546875" style="131" customWidth="1"/>
    <col min="10245" max="10245" width="5.5703125" style="131" customWidth="1"/>
    <col min="10246" max="10246" width="17" style="131" customWidth="1"/>
    <col min="10247" max="10496" width="9.140625" style="131"/>
    <col min="10497" max="10497" width="2.7109375" style="131" customWidth="1"/>
    <col min="10498" max="10498" width="66" style="131" customWidth="1"/>
    <col min="10499" max="10499" width="12" style="131" customWidth="1"/>
    <col min="10500" max="10500" width="5.85546875" style="131" customWidth="1"/>
    <col min="10501" max="10501" width="5.5703125" style="131" customWidth="1"/>
    <col min="10502" max="10502" width="17" style="131" customWidth="1"/>
    <col min="10503" max="10752" width="9.140625" style="131"/>
    <col min="10753" max="10753" width="2.7109375" style="131" customWidth="1"/>
    <col min="10754" max="10754" width="66" style="131" customWidth="1"/>
    <col min="10755" max="10755" width="12" style="131" customWidth="1"/>
    <col min="10756" max="10756" width="5.85546875" style="131" customWidth="1"/>
    <col min="10757" max="10757" width="5.5703125" style="131" customWidth="1"/>
    <col min="10758" max="10758" width="17" style="131" customWidth="1"/>
    <col min="10759" max="11008" width="9.140625" style="131"/>
    <col min="11009" max="11009" width="2.7109375" style="131" customWidth="1"/>
    <col min="11010" max="11010" width="66" style="131" customWidth="1"/>
    <col min="11011" max="11011" width="12" style="131" customWidth="1"/>
    <col min="11012" max="11012" width="5.85546875" style="131" customWidth="1"/>
    <col min="11013" max="11013" width="5.5703125" style="131" customWidth="1"/>
    <col min="11014" max="11014" width="17" style="131" customWidth="1"/>
    <col min="11015" max="11264" width="9.140625" style="131"/>
    <col min="11265" max="11265" width="2.7109375" style="131" customWidth="1"/>
    <col min="11266" max="11266" width="66" style="131" customWidth="1"/>
    <col min="11267" max="11267" width="12" style="131" customWidth="1"/>
    <col min="11268" max="11268" width="5.85546875" style="131" customWidth="1"/>
    <col min="11269" max="11269" width="5.5703125" style="131" customWidth="1"/>
    <col min="11270" max="11270" width="17" style="131" customWidth="1"/>
    <col min="11271" max="11520" width="9.140625" style="131"/>
    <col min="11521" max="11521" width="2.7109375" style="131" customWidth="1"/>
    <col min="11522" max="11522" width="66" style="131" customWidth="1"/>
    <col min="11523" max="11523" width="12" style="131" customWidth="1"/>
    <col min="11524" max="11524" width="5.85546875" style="131" customWidth="1"/>
    <col min="11525" max="11525" width="5.5703125" style="131" customWidth="1"/>
    <col min="11526" max="11526" width="17" style="131" customWidth="1"/>
    <col min="11527" max="11776" width="9.140625" style="131"/>
    <col min="11777" max="11777" width="2.7109375" style="131" customWidth="1"/>
    <col min="11778" max="11778" width="66" style="131" customWidth="1"/>
    <col min="11779" max="11779" width="12" style="131" customWidth="1"/>
    <col min="11780" max="11780" width="5.85546875" style="131" customWidth="1"/>
    <col min="11781" max="11781" width="5.5703125" style="131" customWidth="1"/>
    <col min="11782" max="11782" width="17" style="131" customWidth="1"/>
    <col min="11783" max="12032" width="9.140625" style="131"/>
    <col min="12033" max="12033" width="2.7109375" style="131" customWidth="1"/>
    <col min="12034" max="12034" width="66" style="131" customWidth="1"/>
    <col min="12035" max="12035" width="12" style="131" customWidth="1"/>
    <col min="12036" max="12036" width="5.85546875" style="131" customWidth="1"/>
    <col min="12037" max="12037" width="5.5703125" style="131" customWidth="1"/>
    <col min="12038" max="12038" width="17" style="131" customWidth="1"/>
    <col min="12039" max="12288" width="9.140625" style="131"/>
    <col min="12289" max="12289" width="2.7109375" style="131" customWidth="1"/>
    <col min="12290" max="12290" width="66" style="131" customWidth="1"/>
    <col min="12291" max="12291" width="12" style="131" customWidth="1"/>
    <col min="12292" max="12292" width="5.85546875" style="131" customWidth="1"/>
    <col min="12293" max="12293" width="5.5703125" style="131" customWidth="1"/>
    <col min="12294" max="12294" width="17" style="131" customWidth="1"/>
    <col min="12295" max="12544" width="9.140625" style="131"/>
    <col min="12545" max="12545" width="2.7109375" style="131" customWidth="1"/>
    <col min="12546" max="12546" width="66" style="131" customWidth="1"/>
    <col min="12547" max="12547" width="12" style="131" customWidth="1"/>
    <col min="12548" max="12548" width="5.85546875" style="131" customWidth="1"/>
    <col min="12549" max="12549" width="5.5703125" style="131" customWidth="1"/>
    <col min="12550" max="12550" width="17" style="131" customWidth="1"/>
    <col min="12551" max="12800" width="9.140625" style="131"/>
    <col min="12801" max="12801" width="2.7109375" style="131" customWidth="1"/>
    <col min="12802" max="12802" width="66" style="131" customWidth="1"/>
    <col min="12803" max="12803" width="12" style="131" customWidth="1"/>
    <col min="12804" max="12804" width="5.85546875" style="131" customWidth="1"/>
    <col min="12805" max="12805" width="5.5703125" style="131" customWidth="1"/>
    <col min="12806" max="12806" width="17" style="131" customWidth="1"/>
    <col min="12807" max="13056" width="9.140625" style="131"/>
    <col min="13057" max="13057" width="2.7109375" style="131" customWidth="1"/>
    <col min="13058" max="13058" width="66" style="131" customWidth="1"/>
    <col min="13059" max="13059" width="12" style="131" customWidth="1"/>
    <col min="13060" max="13060" width="5.85546875" style="131" customWidth="1"/>
    <col min="13061" max="13061" width="5.5703125" style="131" customWidth="1"/>
    <col min="13062" max="13062" width="17" style="131" customWidth="1"/>
    <col min="13063" max="13312" width="9.140625" style="131"/>
    <col min="13313" max="13313" width="2.7109375" style="131" customWidth="1"/>
    <col min="13314" max="13314" width="66" style="131" customWidth="1"/>
    <col min="13315" max="13315" width="12" style="131" customWidth="1"/>
    <col min="13316" max="13316" width="5.85546875" style="131" customWidth="1"/>
    <col min="13317" max="13317" width="5.5703125" style="131" customWidth="1"/>
    <col min="13318" max="13318" width="17" style="131" customWidth="1"/>
    <col min="13319" max="13568" width="9.140625" style="131"/>
    <col min="13569" max="13569" width="2.7109375" style="131" customWidth="1"/>
    <col min="13570" max="13570" width="66" style="131" customWidth="1"/>
    <col min="13571" max="13571" width="12" style="131" customWidth="1"/>
    <col min="13572" max="13572" width="5.85546875" style="131" customWidth="1"/>
    <col min="13573" max="13573" width="5.5703125" style="131" customWidth="1"/>
    <col min="13574" max="13574" width="17" style="131" customWidth="1"/>
    <col min="13575" max="13824" width="9.140625" style="131"/>
    <col min="13825" max="13825" width="2.7109375" style="131" customWidth="1"/>
    <col min="13826" max="13826" width="66" style="131" customWidth="1"/>
    <col min="13827" max="13827" width="12" style="131" customWidth="1"/>
    <col min="13828" max="13828" width="5.85546875" style="131" customWidth="1"/>
    <col min="13829" max="13829" width="5.5703125" style="131" customWidth="1"/>
    <col min="13830" max="13830" width="17" style="131" customWidth="1"/>
    <col min="13831" max="14080" width="9.140625" style="131"/>
    <col min="14081" max="14081" width="2.7109375" style="131" customWidth="1"/>
    <col min="14082" max="14082" width="66" style="131" customWidth="1"/>
    <col min="14083" max="14083" width="12" style="131" customWidth="1"/>
    <col min="14084" max="14084" width="5.85546875" style="131" customWidth="1"/>
    <col min="14085" max="14085" width="5.5703125" style="131" customWidth="1"/>
    <col min="14086" max="14086" width="17" style="131" customWidth="1"/>
    <col min="14087" max="14336" width="9.140625" style="131"/>
    <col min="14337" max="14337" width="2.7109375" style="131" customWidth="1"/>
    <col min="14338" max="14338" width="66" style="131" customWidth="1"/>
    <col min="14339" max="14339" width="12" style="131" customWidth="1"/>
    <col min="14340" max="14340" width="5.85546875" style="131" customWidth="1"/>
    <col min="14341" max="14341" width="5.5703125" style="131" customWidth="1"/>
    <col min="14342" max="14342" width="17" style="131" customWidth="1"/>
    <col min="14343" max="14592" width="9.140625" style="131"/>
    <col min="14593" max="14593" width="2.7109375" style="131" customWidth="1"/>
    <col min="14594" max="14594" width="66" style="131" customWidth="1"/>
    <col min="14595" max="14595" width="12" style="131" customWidth="1"/>
    <col min="14596" max="14596" width="5.85546875" style="131" customWidth="1"/>
    <col min="14597" max="14597" width="5.5703125" style="131" customWidth="1"/>
    <col min="14598" max="14598" width="17" style="131" customWidth="1"/>
    <col min="14599" max="14848" width="9.140625" style="131"/>
    <col min="14849" max="14849" width="2.7109375" style="131" customWidth="1"/>
    <col min="14850" max="14850" width="66" style="131" customWidth="1"/>
    <col min="14851" max="14851" width="12" style="131" customWidth="1"/>
    <col min="14852" max="14852" width="5.85546875" style="131" customWidth="1"/>
    <col min="14853" max="14853" width="5.5703125" style="131" customWidth="1"/>
    <col min="14854" max="14854" width="17" style="131" customWidth="1"/>
    <col min="14855" max="15104" width="9.140625" style="131"/>
    <col min="15105" max="15105" width="2.7109375" style="131" customWidth="1"/>
    <col min="15106" max="15106" width="66" style="131" customWidth="1"/>
    <col min="15107" max="15107" width="12" style="131" customWidth="1"/>
    <col min="15108" max="15108" width="5.85546875" style="131" customWidth="1"/>
    <col min="15109" max="15109" width="5.5703125" style="131" customWidth="1"/>
    <col min="15110" max="15110" width="17" style="131" customWidth="1"/>
    <col min="15111" max="15360" width="9.140625" style="131"/>
    <col min="15361" max="15361" width="2.7109375" style="131" customWidth="1"/>
    <col min="15362" max="15362" width="66" style="131" customWidth="1"/>
    <col min="15363" max="15363" width="12" style="131" customWidth="1"/>
    <col min="15364" max="15364" width="5.85546875" style="131" customWidth="1"/>
    <col min="15365" max="15365" width="5.5703125" style="131" customWidth="1"/>
    <col min="15366" max="15366" width="17" style="131" customWidth="1"/>
    <col min="15367" max="15616" width="9.140625" style="131"/>
    <col min="15617" max="15617" width="2.7109375" style="131" customWidth="1"/>
    <col min="15618" max="15618" width="66" style="131" customWidth="1"/>
    <col min="15619" max="15619" width="12" style="131" customWidth="1"/>
    <col min="15620" max="15620" width="5.85546875" style="131" customWidth="1"/>
    <col min="15621" max="15621" width="5.5703125" style="131" customWidth="1"/>
    <col min="15622" max="15622" width="17" style="131" customWidth="1"/>
    <col min="15623" max="15872" width="9.140625" style="131"/>
    <col min="15873" max="15873" width="2.7109375" style="131" customWidth="1"/>
    <col min="15874" max="15874" width="66" style="131" customWidth="1"/>
    <col min="15875" max="15875" width="12" style="131" customWidth="1"/>
    <col min="15876" max="15876" width="5.85546875" style="131" customWidth="1"/>
    <col min="15877" max="15877" width="5.5703125" style="131" customWidth="1"/>
    <col min="15878" max="15878" width="17" style="131" customWidth="1"/>
    <col min="15879" max="16128" width="9.140625" style="131"/>
    <col min="16129" max="16129" width="2.7109375" style="131" customWidth="1"/>
    <col min="16130" max="16130" width="66" style="131" customWidth="1"/>
    <col min="16131" max="16131" width="12" style="131" customWidth="1"/>
    <col min="16132" max="16132" width="5.85546875" style="131" customWidth="1"/>
    <col min="16133" max="16133" width="5.5703125" style="131" customWidth="1"/>
    <col min="16134" max="16134" width="17" style="131" customWidth="1"/>
    <col min="16135" max="16384" width="9.140625" style="131"/>
  </cols>
  <sheetData>
    <row r="1" spans="1:6" x14ac:dyDescent="0.25">
      <c r="A1" s="131" t="s">
        <v>0</v>
      </c>
      <c r="F1" s="133" t="s">
        <v>473</v>
      </c>
    </row>
    <row r="2" spans="1:6" x14ac:dyDescent="0.25">
      <c r="F2" s="134" t="s">
        <v>390</v>
      </c>
    </row>
    <row r="3" spans="1:6" x14ac:dyDescent="0.25">
      <c r="A3" s="146"/>
      <c r="B3" s="146"/>
      <c r="C3" s="146"/>
      <c r="D3" s="146"/>
      <c r="E3" s="146"/>
      <c r="F3" s="134" t="s">
        <v>678</v>
      </c>
    </row>
    <row r="4" spans="1:6" x14ac:dyDescent="0.25">
      <c r="A4" s="146"/>
      <c r="B4" s="146"/>
      <c r="C4" s="146"/>
      <c r="D4" s="146"/>
      <c r="E4" s="146"/>
      <c r="F4" s="146"/>
    </row>
    <row r="5" spans="1:6" ht="44.25" customHeight="1" x14ac:dyDescent="0.25">
      <c r="A5" s="146"/>
      <c r="B5" s="203" t="s">
        <v>474</v>
      </c>
      <c r="C5" s="204"/>
      <c r="D5" s="204"/>
      <c r="E5" s="204"/>
      <c r="F5" s="204"/>
    </row>
    <row r="6" spans="1:6" ht="31.5" customHeight="1" x14ac:dyDescent="0.25">
      <c r="A6" s="205" t="s">
        <v>383</v>
      </c>
      <c r="B6" s="206"/>
      <c r="C6" s="147" t="s">
        <v>444</v>
      </c>
      <c r="D6" s="205" t="s">
        <v>475</v>
      </c>
      <c r="E6" s="206"/>
      <c r="F6" s="147" t="s">
        <v>675</v>
      </c>
    </row>
    <row r="7" spans="1:6" ht="15.75" customHeight="1" x14ac:dyDescent="0.25">
      <c r="A7" s="183" t="s">
        <v>445</v>
      </c>
      <c r="B7" s="207"/>
      <c r="C7" s="207"/>
      <c r="D7" s="207"/>
      <c r="E7" s="207"/>
      <c r="F7" s="207"/>
    </row>
    <row r="8" spans="1:6" ht="15.75" customHeight="1" x14ac:dyDescent="0.25">
      <c r="A8" s="183" t="s">
        <v>446</v>
      </c>
      <c r="B8" s="207"/>
      <c r="C8" s="137">
        <v>16308</v>
      </c>
      <c r="D8" s="208">
        <v>0</v>
      </c>
      <c r="E8" s="208"/>
      <c r="F8" s="137">
        <v>16308</v>
      </c>
    </row>
    <row r="9" spans="1:6" ht="15.75" customHeight="1" x14ac:dyDescent="0.25">
      <c r="A9" s="188" t="s">
        <v>450</v>
      </c>
      <c r="B9" s="207"/>
      <c r="C9" s="138">
        <v>16308</v>
      </c>
      <c r="D9" s="209">
        <v>0</v>
      </c>
      <c r="E9" s="209"/>
      <c r="F9" s="138">
        <v>16308</v>
      </c>
    </row>
    <row r="10" spans="1:6" ht="15.75" customHeight="1" x14ac:dyDescent="0.25">
      <c r="A10" s="188" t="s">
        <v>451</v>
      </c>
      <c r="B10" s="207"/>
      <c r="C10" s="138">
        <v>16308</v>
      </c>
      <c r="D10" s="209">
        <v>0</v>
      </c>
      <c r="E10" s="209"/>
      <c r="F10" s="138">
        <v>16308</v>
      </c>
    </row>
    <row r="11" spans="1:6" ht="14.25" customHeight="1" x14ac:dyDescent="0.25"/>
    <row r="12" spans="1:6" ht="15.75" customHeight="1" x14ac:dyDescent="0.25">
      <c r="A12" s="183" t="s">
        <v>455</v>
      </c>
      <c r="B12" s="207"/>
      <c r="C12" s="207"/>
      <c r="D12" s="207"/>
      <c r="E12" s="207"/>
      <c r="F12" s="207"/>
    </row>
    <row r="13" spans="1:6" ht="15.75" customHeight="1" x14ac:dyDescent="0.25">
      <c r="A13" s="183" t="s">
        <v>446</v>
      </c>
      <c r="B13" s="207"/>
      <c r="C13" s="137">
        <v>16308</v>
      </c>
      <c r="D13" s="208">
        <v>0</v>
      </c>
      <c r="E13" s="208"/>
      <c r="F13" s="137">
        <v>16308</v>
      </c>
    </row>
    <row r="14" spans="1:6" ht="15.75" customHeight="1" x14ac:dyDescent="0.25">
      <c r="A14" s="188" t="s">
        <v>450</v>
      </c>
      <c r="B14" s="207"/>
      <c r="C14" s="138">
        <v>16308</v>
      </c>
      <c r="D14" s="209">
        <v>0</v>
      </c>
      <c r="E14" s="209"/>
      <c r="F14" s="138">
        <v>16308</v>
      </c>
    </row>
    <row r="15" spans="1:6" ht="15.75" customHeight="1" x14ac:dyDescent="0.25">
      <c r="A15" s="188" t="s">
        <v>451</v>
      </c>
      <c r="B15" s="207"/>
      <c r="C15" s="138">
        <v>16308</v>
      </c>
      <c r="D15" s="209">
        <v>0</v>
      </c>
      <c r="E15" s="209"/>
      <c r="F15" s="138">
        <v>16308</v>
      </c>
    </row>
    <row r="16" spans="1:6" ht="14.25" customHeight="1" x14ac:dyDescent="0.25"/>
    <row r="17" spans="1:6" ht="15.75" customHeight="1" x14ac:dyDescent="0.25">
      <c r="A17" s="183" t="s">
        <v>456</v>
      </c>
      <c r="B17" s="207"/>
      <c r="C17" s="207"/>
      <c r="D17" s="207"/>
      <c r="E17" s="207"/>
      <c r="F17" s="207"/>
    </row>
    <row r="18" spans="1:6" ht="15.75" customHeight="1" x14ac:dyDescent="0.25">
      <c r="A18" s="183" t="s">
        <v>446</v>
      </c>
      <c r="B18" s="207"/>
      <c r="C18" s="137">
        <v>123</v>
      </c>
      <c r="D18" s="208">
        <v>0</v>
      </c>
      <c r="E18" s="208"/>
      <c r="F18" s="137">
        <v>123</v>
      </c>
    </row>
    <row r="19" spans="1:6" ht="15.75" customHeight="1" x14ac:dyDescent="0.25">
      <c r="A19" s="188" t="s">
        <v>450</v>
      </c>
      <c r="B19" s="207"/>
      <c r="C19" s="138">
        <v>123</v>
      </c>
      <c r="D19" s="209">
        <v>0</v>
      </c>
      <c r="E19" s="209"/>
      <c r="F19" s="138">
        <v>123</v>
      </c>
    </row>
    <row r="20" spans="1:6" ht="15.75" customHeight="1" x14ac:dyDescent="0.25">
      <c r="A20" s="188" t="s">
        <v>451</v>
      </c>
      <c r="B20" s="207"/>
      <c r="C20" s="138">
        <v>123</v>
      </c>
      <c r="D20" s="209">
        <v>0</v>
      </c>
      <c r="E20" s="209"/>
      <c r="F20" s="138">
        <v>123</v>
      </c>
    </row>
    <row r="21" spans="1:6" ht="14.25" customHeight="1" x14ac:dyDescent="0.25"/>
    <row r="22" spans="1:6" ht="15.75" customHeight="1" x14ac:dyDescent="0.25">
      <c r="A22" s="183" t="s">
        <v>476</v>
      </c>
      <c r="B22" s="207"/>
      <c r="C22" s="207"/>
      <c r="D22" s="207"/>
      <c r="E22" s="207"/>
      <c r="F22" s="207"/>
    </row>
    <row r="23" spans="1:6" ht="15.75" customHeight="1" x14ac:dyDescent="0.25">
      <c r="A23" s="183" t="s">
        <v>446</v>
      </c>
      <c r="B23" s="207"/>
      <c r="C23" s="152">
        <v>123</v>
      </c>
      <c r="D23" s="208">
        <v>0</v>
      </c>
      <c r="E23" s="208"/>
      <c r="F23" s="152">
        <v>123</v>
      </c>
    </row>
    <row r="24" spans="1:6" ht="15.75" customHeight="1" x14ac:dyDescent="0.25">
      <c r="A24" s="188" t="s">
        <v>450</v>
      </c>
      <c r="B24" s="207"/>
      <c r="C24" s="153">
        <v>123</v>
      </c>
      <c r="D24" s="209">
        <v>0</v>
      </c>
      <c r="E24" s="209"/>
      <c r="F24" s="153">
        <v>123</v>
      </c>
    </row>
    <row r="25" spans="1:6" ht="15.75" customHeight="1" x14ac:dyDescent="0.25">
      <c r="A25" s="188" t="s">
        <v>451</v>
      </c>
      <c r="B25" s="207"/>
      <c r="C25" s="153">
        <v>123</v>
      </c>
      <c r="D25" s="209">
        <v>0</v>
      </c>
      <c r="E25" s="209"/>
      <c r="F25" s="153">
        <v>123</v>
      </c>
    </row>
    <row r="26" spans="1:6" ht="14.25" customHeight="1" x14ac:dyDescent="0.25"/>
    <row r="27" spans="1:6" ht="15.75" customHeight="1" x14ac:dyDescent="0.25">
      <c r="A27" s="183" t="s">
        <v>457</v>
      </c>
      <c r="B27" s="207"/>
      <c r="C27" s="207"/>
      <c r="D27" s="207"/>
      <c r="E27" s="207"/>
      <c r="F27" s="207"/>
    </row>
    <row r="28" spans="1:6" ht="15.75" customHeight="1" x14ac:dyDescent="0.25">
      <c r="A28" s="183" t="s">
        <v>446</v>
      </c>
      <c r="B28" s="207"/>
      <c r="C28" s="137">
        <v>1979343</v>
      </c>
      <c r="D28" s="208">
        <v>39193</v>
      </c>
      <c r="E28" s="208"/>
      <c r="F28" s="137">
        <v>2018536</v>
      </c>
    </row>
    <row r="29" spans="1:6" ht="15.75" customHeight="1" x14ac:dyDescent="0.25">
      <c r="A29" s="188" t="s">
        <v>447</v>
      </c>
      <c r="B29" s="207"/>
      <c r="C29" s="138">
        <v>59818</v>
      </c>
      <c r="D29" s="209">
        <v>0</v>
      </c>
      <c r="E29" s="209"/>
      <c r="F29" s="138">
        <v>59818</v>
      </c>
    </row>
    <row r="30" spans="1:6" ht="15.75" customHeight="1" x14ac:dyDescent="0.25">
      <c r="A30" s="188" t="s">
        <v>448</v>
      </c>
      <c r="B30" s="207"/>
      <c r="C30" s="138">
        <f>46464-1200</f>
        <v>45264</v>
      </c>
      <c r="D30" s="209">
        <v>0</v>
      </c>
      <c r="E30" s="210"/>
      <c r="F30" s="138">
        <v>45264</v>
      </c>
    </row>
    <row r="31" spans="1:6" ht="15.75" customHeight="1" x14ac:dyDescent="0.25">
      <c r="A31" s="188" t="s">
        <v>449</v>
      </c>
      <c r="B31" s="207"/>
      <c r="C31" s="138">
        <f>13354+1200</f>
        <v>14554</v>
      </c>
      <c r="D31" s="209">
        <v>0</v>
      </c>
      <c r="E31" s="210"/>
      <c r="F31" s="138">
        <v>14554</v>
      </c>
    </row>
    <row r="32" spans="1:6" ht="15.75" customHeight="1" x14ac:dyDescent="0.25">
      <c r="A32" s="188" t="s">
        <v>450</v>
      </c>
      <c r="B32" s="207"/>
      <c r="C32" s="138">
        <v>1010484</v>
      </c>
      <c r="D32" s="209">
        <v>0</v>
      </c>
      <c r="E32" s="209"/>
      <c r="F32" s="138">
        <v>1010484</v>
      </c>
    </row>
    <row r="33" spans="1:6" ht="15.75" customHeight="1" x14ac:dyDescent="0.25">
      <c r="A33" s="188" t="s">
        <v>451</v>
      </c>
      <c r="B33" s="207"/>
      <c r="C33" s="138">
        <v>999484</v>
      </c>
      <c r="D33" s="209">
        <v>0</v>
      </c>
      <c r="E33" s="209"/>
      <c r="F33" s="138">
        <v>999484</v>
      </c>
    </row>
    <row r="34" spans="1:6" ht="31.5" customHeight="1" x14ac:dyDescent="0.25">
      <c r="A34" s="188" t="s">
        <v>452</v>
      </c>
      <c r="B34" s="207"/>
      <c r="C34" s="138">
        <v>11000</v>
      </c>
      <c r="D34" s="209">
        <v>0</v>
      </c>
      <c r="E34" s="209"/>
      <c r="F34" s="138">
        <v>11000</v>
      </c>
    </row>
    <row r="35" spans="1:6" ht="15.75" customHeight="1" x14ac:dyDescent="0.25">
      <c r="A35" s="188" t="s">
        <v>458</v>
      </c>
      <c r="B35" s="207"/>
      <c r="C35" s="138">
        <v>522630</v>
      </c>
      <c r="D35" s="209">
        <v>39193</v>
      </c>
      <c r="E35" s="209"/>
      <c r="F35" s="138">
        <v>561823</v>
      </c>
    </row>
    <row r="36" spans="1:6" ht="31.5" customHeight="1" x14ac:dyDescent="0.25">
      <c r="A36" s="188" t="s">
        <v>460</v>
      </c>
      <c r="B36" s="207"/>
      <c r="C36" s="138">
        <v>522630</v>
      </c>
      <c r="D36" s="209">
        <v>39193</v>
      </c>
      <c r="E36" s="209"/>
      <c r="F36" s="138">
        <v>561823</v>
      </c>
    </row>
    <row r="37" spans="1:6" ht="15.75" customHeight="1" x14ac:dyDescent="0.25">
      <c r="A37" s="188" t="s">
        <v>453</v>
      </c>
      <c r="B37" s="207"/>
      <c r="C37" s="138">
        <v>386411</v>
      </c>
      <c r="D37" s="209">
        <v>0</v>
      </c>
      <c r="E37" s="209"/>
      <c r="F37" s="138">
        <v>386411</v>
      </c>
    </row>
    <row r="38" spans="1:6" ht="15.75" customHeight="1" x14ac:dyDescent="0.25">
      <c r="A38" s="188" t="s">
        <v>454</v>
      </c>
      <c r="B38" s="207"/>
      <c r="C38" s="138">
        <v>386411</v>
      </c>
      <c r="D38" s="209">
        <v>0</v>
      </c>
      <c r="E38" s="209"/>
      <c r="F38" s="138">
        <v>386411</v>
      </c>
    </row>
    <row r="39" spans="1:6" ht="14.25" customHeight="1" x14ac:dyDescent="0.25"/>
    <row r="40" spans="1:6" ht="15.75" customHeight="1" x14ac:dyDescent="0.25">
      <c r="A40" s="183" t="s">
        <v>477</v>
      </c>
      <c r="B40" s="207"/>
      <c r="C40" s="207"/>
      <c r="D40" s="207"/>
      <c r="E40" s="207"/>
      <c r="F40" s="207"/>
    </row>
    <row r="41" spans="1:6" ht="15.75" customHeight="1" x14ac:dyDescent="0.25">
      <c r="A41" s="183" t="s">
        <v>446</v>
      </c>
      <c r="B41" s="207"/>
      <c r="C41" s="137">
        <v>522630</v>
      </c>
      <c r="D41" s="208">
        <v>39193</v>
      </c>
      <c r="E41" s="208"/>
      <c r="F41" s="137">
        <v>561823</v>
      </c>
    </row>
    <row r="42" spans="1:6" ht="15.75" customHeight="1" x14ac:dyDescent="0.25">
      <c r="A42" s="188" t="s">
        <v>458</v>
      </c>
      <c r="B42" s="207"/>
      <c r="C42" s="138">
        <v>522630</v>
      </c>
      <c r="D42" s="209">
        <v>39193</v>
      </c>
      <c r="E42" s="209"/>
      <c r="F42" s="138">
        <v>561283</v>
      </c>
    </row>
    <row r="43" spans="1:6" ht="31.5" customHeight="1" x14ac:dyDescent="0.25">
      <c r="A43" s="188" t="s">
        <v>460</v>
      </c>
      <c r="B43" s="207"/>
      <c r="C43" s="138">
        <v>522630</v>
      </c>
      <c r="D43" s="209">
        <v>39193</v>
      </c>
      <c r="E43" s="209"/>
      <c r="F43" s="138">
        <v>561283</v>
      </c>
    </row>
    <row r="44" spans="1:6" ht="14.25" customHeight="1" x14ac:dyDescent="0.25"/>
    <row r="45" spans="1:6" ht="15.75" customHeight="1" x14ac:dyDescent="0.25">
      <c r="A45" s="183" t="s">
        <v>461</v>
      </c>
      <c r="B45" s="207"/>
      <c r="C45" s="207"/>
      <c r="D45" s="207"/>
      <c r="E45" s="207"/>
      <c r="F45" s="207"/>
    </row>
    <row r="46" spans="1:6" ht="15.75" customHeight="1" x14ac:dyDescent="0.25">
      <c r="A46" s="183" t="s">
        <v>446</v>
      </c>
      <c r="B46" s="207"/>
      <c r="C46" s="137">
        <v>1456713</v>
      </c>
      <c r="D46" s="208">
        <v>0</v>
      </c>
      <c r="E46" s="208"/>
      <c r="F46" s="137">
        <v>1456713</v>
      </c>
    </row>
    <row r="47" spans="1:6" ht="15.75" customHeight="1" x14ac:dyDescent="0.25">
      <c r="A47" s="188" t="s">
        <v>447</v>
      </c>
      <c r="B47" s="207"/>
      <c r="C47" s="138">
        <v>59818</v>
      </c>
      <c r="D47" s="209">
        <v>0</v>
      </c>
      <c r="E47" s="209"/>
      <c r="F47" s="138">
        <v>59818</v>
      </c>
    </row>
    <row r="48" spans="1:6" ht="15.75" customHeight="1" x14ac:dyDescent="0.25">
      <c r="A48" s="188" t="s">
        <v>448</v>
      </c>
      <c r="B48" s="207"/>
      <c r="C48" s="138">
        <f>46464-1200</f>
        <v>45264</v>
      </c>
      <c r="D48" s="209">
        <v>0</v>
      </c>
      <c r="E48" s="210"/>
      <c r="F48" s="138">
        <v>45264</v>
      </c>
    </row>
    <row r="49" spans="1:6" ht="15.75" customHeight="1" x14ac:dyDescent="0.25">
      <c r="A49" s="188" t="s">
        <v>449</v>
      </c>
      <c r="B49" s="207"/>
      <c r="C49" s="138">
        <f>13354+1200</f>
        <v>14554</v>
      </c>
      <c r="D49" s="209">
        <v>0</v>
      </c>
      <c r="E49" s="210"/>
      <c r="F49" s="138">
        <v>14554</v>
      </c>
    </row>
    <row r="50" spans="1:6" ht="15.75" customHeight="1" x14ac:dyDescent="0.25">
      <c r="A50" s="188" t="s">
        <v>450</v>
      </c>
      <c r="B50" s="207"/>
      <c r="C50" s="138">
        <v>1010484</v>
      </c>
      <c r="D50" s="209">
        <v>0</v>
      </c>
      <c r="E50" s="209"/>
      <c r="F50" s="138">
        <v>1010484</v>
      </c>
    </row>
    <row r="51" spans="1:6" ht="15.75" customHeight="1" x14ac:dyDescent="0.25">
      <c r="A51" s="188" t="s">
        <v>451</v>
      </c>
      <c r="B51" s="207"/>
      <c r="C51" s="138">
        <v>999484</v>
      </c>
      <c r="D51" s="209">
        <v>0</v>
      </c>
      <c r="E51" s="209"/>
      <c r="F51" s="138">
        <v>999484</v>
      </c>
    </row>
    <row r="52" spans="1:6" ht="31.5" customHeight="1" x14ac:dyDescent="0.25">
      <c r="A52" s="188" t="s">
        <v>452</v>
      </c>
      <c r="B52" s="207"/>
      <c r="C52" s="138">
        <v>11000</v>
      </c>
      <c r="D52" s="209">
        <v>0</v>
      </c>
      <c r="E52" s="209"/>
      <c r="F52" s="138">
        <v>11000</v>
      </c>
    </row>
    <row r="53" spans="1:6" ht="15.75" customHeight="1" x14ac:dyDescent="0.25">
      <c r="A53" s="188" t="s">
        <v>453</v>
      </c>
      <c r="B53" s="207"/>
      <c r="C53" s="138">
        <v>386411</v>
      </c>
      <c r="D53" s="209">
        <v>0</v>
      </c>
      <c r="E53" s="209"/>
      <c r="F53" s="138">
        <v>386411</v>
      </c>
    </row>
    <row r="54" spans="1:6" ht="15.75" customHeight="1" x14ac:dyDescent="0.25">
      <c r="A54" s="188" t="s">
        <v>454</v>
      </c>
      <c r="B54" s="207"/>
      <c r="C54" s="138">
        <v>386411</v>
      </c>
      <c r="D54" s="209">
        <v>0</v>
      </c>
      <c r="E54" s="209"/>
      <c r="F54" s="138">
        <v>386411</v>
      </c>
    </row>
    <row r="55" spans="1:6" ht="14.25" customHeight="1" x14ac:dyDescent="0.25"/>
    <row r="56" spans="1:6" ht="15.75" customHeight="1" x14ac:dyDescent="0.25">
      <c r="A56" s="183" t="s">
        <v>462</v>
      </c>
      <c r="B56" s="207"/>
      <c r="C56" s="207"/>
      <c r="D56" s="207"/>
      <c r="E56" s="207"/>
      <c r="F56" s="207"/>
    </row>
    <row r="57" spans="1:6" ht="15.75" customHeight="1" x14ac:dyDescent="0.25">
      <c r="A57" s="183" t="s">
        <v>446</v>
      </c>
      <c r="B57" s="207"/>
      <c r="C57" s="160">
        <v>145584</v>
      </c>
      <c r="D57" s="208">
        <v>0</v>
      </c>
      <c r="E57" s="208"/>
      <c r="F57" s="137">
        <v>145584</v>
      </c>
    </row>
    <row r="58" spans="1:6" ht="15.75" customHeight="1" x14ac:dyDescent="0.25">
      <c r="A58" s="188" t="s">
        <v>450</v>
      </c>
      <c r="B58" s="207"/>
      <c r="C58" s="161">
        <v>16541</v>
      </c>
      <c r="D58" s="209">
        <v>34454</v>
      </c>
      <c r="E58" s="209"/>
      <c r="F58" s="138">
        <v>50995</v>
      </c>
    </row>
    <row r="59" spans="1:6" ht="15.75" customHeight="1" x14ac:dyDescent="0.25">
      <c r="A59" s="188" t="s">
        <v>451</v>
      </c>
      <c r="B59" s="207"/>
      <c r="C59" s="161">
        <v>16541</v>
      </c>
      <c r="D59" s="209">
        <v>34454</v>
      </c>
      <c r="E59" s="209"/>
      <c r="F59" s="138">
        <v>50995</v>
      </c>
    </row>
    <row r="60" spans="1:6" ht="15.75" customHeight="1" x14ac:dyDescent="0.25">
      <c r="A60" s="188" t="s">
        <v>458</v>
      </c>
      <c r="B60" s="207"/>
      <c r="C60" s="161">
        <v>92189</v>
      </c>
      <c r="D60" s="209">
        <v>0</v>
      </c>
      <c r="E60" s="209"/>
      <c r="F60" s="138">
        <v>92189</v>
      </c>
    </row>
    <row r="61" spans="1:6" ht="31.5" customHeight="1" x14ac:dyDescent="0.25">
      <c r="A61" s="188" t="s">
        <v>459</v>
      </c>
      <c r="B61" s="207"/>
      <c r="C61" s="161">
        <v>92189</v>
      </c>
      <c r="D61" s="209">
        <v>0</v>
      </c>
      <c r="E61" s="209"/>
      <c r="F61" s="138">
        <v>92189</v>
      </c>
    </row>
    <row r="62" spans="1:6" ht="15.75" customHeight="1" x14ac:dyDescent="0.25">
      <c r="A62" s="188" t="s">
        <v>453</v>
      </c>
      <c r="B62" s="207"/>
      <c r="C62" s="161">
        <v>36854</v>
      </c>
      <c r="D62" s="209">
        <v>-34454</v>
      </c>
      <c r="E62" s="209"/>
      <c r="F62" s="138">
        <v>2400</v>
      </c>
    </row>
    <row r="63" spans="1:6" ht="15.75" customHeight="1" x14ac:dyDescent="0.25">
      <c r="A63" s="188" t="s">
        <v>454</v>
      </c>
      <c r="B63" s="207"/>
      <c r="C63" s="161">
        <v>36854</v>
      </c>
      <c r="D63" s="209">
        <v>-34454</v>
      </c>
      <c r="E63" s="209"/>
      <c r="F63" s="138">
        <v>2400</v>
      </c>
    </row>
    <row r="64" spans="1:6" ht="14.25" customHeight="1" x14ac:dyDescent="0.25"/>
    <row r="65" spans="1:6" ht="15.75" customHeight="1" x14ac:dyDescent="0.25">
      <c r="A65" s="183" t="s">
        <v>463</v>
      </c>
      <c r="B65" s="207"/>
      <c r="C65" s="207"/>
      <c r="D65" s="207"/>
      <c r="E65" s="207"/>
      <c r="F65" s="207"/>
    </row>
    <row r="66" spans="1:6" ht="15.75" customHeight="1" x14ac:dyDescent="0.25">
      <c r="A66" s="183" t="s">
        <v>446</v>
      </c>
      <c r="B66" s="207"/>
      <c r="C66" s="160">
        <v>53385</v>
      </c>
      <c r="D66" s="208">
        <v>0</v>
      </c>
      <c r="E66" s="208"/>
      <c r="F66" s="137">
        <v>53385</v>
      </c>
    </row>
    <row r="67" spans="1:6" ht="15.75" customHeight="1" x14ac:dyDescent="0.25">
      <c r="A67" s="188" t="s">
        <v>450</v>
      </c>
      <c r="B67" s="207"/>
      <c r="C67" s="161">
        <v>16531</v>
      </c>
      <c r="D67" s="209">
        <v>34454</v>
      </c>
      <c r="E67" s="209"/>
      <c r="F67" s="138">
        <v>50985</v>
      </c>
    </row>
    <row r="68" spans="1:6" ht="15.75" customHeight="1" x14ac:dyDescent="0.25">
      <c r="A68" s="188" t="s">
        <v>451</v>
      </c>
      <c r="B68" s="207"/>
      <c r="C68" s="161">
        <v>16531</v>
      </c>
      <c r="D68" s="209">
        <v>34454</v>
      </c>
      <c r="E68" s="209"/>
      <c r="F68" s="138">
        <v>50985</v>
      </c>
    </row>
    <row r="69" spans="1:6" ht="15.75" customHeight="1" x14ac:dyDescent="0.25">
      <c r="A69" s="188" t="s">
        <v>453</v>
      </c>
      <c r="B69" s="207"/>
      <c r="C69" s="161">
        <v>36854</v>
      </c>
      <c r="D69" s="209">
        <v>-34454</v>
      </c>
      <c r="E69" s="209"/>
      <c r="F69" s="138">
        <v>2400</v>
      </c>
    </row>
    <row r="70" spans="1:6" ht="15.75" customHeight="1" x14ac:dyDescent="0.25">
      <c r="A70" s="188" t="s">
        <v>454</v>
      </c>
      <c r="B70" s="207"/>
      <c r="C70" s="161">
        <v>36854</v>
      </c>
      <c r="D70" s="209">
        <v>-34454</v>
      </c>
      <c r="E70" s="209"/>
      <c r="F70" s="138">
        <v>2400</v>
      </c>
    </row>
    <row r="71" spans="1:6" ht="14.25" customHeight="1" x14ac:dyDescent="0.25"/>
    <row r="72" spans="1:6" ht="15.75" customHeight="1" x14ac:dyDescent="0.25">
      <c r="A72" s="183" t="s">
        <v>478</v>
      </c>
      <c r="B72" s="207"/>
      <c r="C72" s="207"/>
      <c r="D72" s="207"/>
      <c r="E72" s="207"/>
      <c r="F72" s="207"/>
    </row>
    <row r="73" spans="1:6" ht="15.75" customHeight="1" x14ac:dyDescent="0.25">
      <c r="A73" s="183" t="s">
        <v>446</v>
      </c>
      <c r="B73" s="207"/>
      <c r="C73" s="160">
        <v>92199</v>
      </c>
      <c r="D73" s="208">
        <v>0</v>
      </c>
      <c r="E73" s="208"/>
      <c r="F73" s="137">
        <v>92199</v>
      </c>
    </row>
    <row r="74" spans="1:6" ht="15.75" customHeight="1" x14ac:dyDescent="0.25">
      <c r="A74" s="188" t="s">
        <v>450</v>
      </c>
      <c r="B74" s="207"/>
      <c r="C74" s="161">
        <v>10</v>
      </c>
      <c r="D74" s="209">
        <v>0</v>
      </c>
      <c r="E74" s="209"/>
      <c r="F74" s="138">
        <v>10</v>
      </c>
    </row>
    <row r="75" spans="1:6" ht="15.75" customHeight="1" x14ac:dyDescent="0.25">
      <c r="A75" s="188" t="s">
        <v>451</v>
      </c>
      <c r="B75" s="207"/>
      <c r="C75" s="161">
        <v>10</v>
      </c>
      <c r="D75" s="209">
        <v>0</v>
      </c>
      <c r="E75" s="209"/>
      <c r="F75" s="138">
        <v>10</v>
      </c>
    </row>
    <row r="76" spans="1:6" ht="15.75" customHeight="1" x14ac:dyDescent="0.25">
      <c r="A76" s="188" t="s">
        <v>458</v>
      </c>
      <c r="B76" s="207"/>
      <c r="C76" s="161">
        <v>92189</v>
      </c>
      <c r="D76" s="209">
        <v>0</v>
      </c>
      <c r="E76" s="209"/>
      <c r="F76" s="138">
        <v>92189</v>
      </c>
    </row>
    <row r="77" spans="1:6" ht="31.5" customHeight="1" x14ac:dyDescent="0.25">
      <c r="A77" s="188" t="s">
        <v>459</v>
      </c>
      <c r="B77" s="207"/>
      <c r="C77" s="161">
        <v>92189</v>
      </c>
      <c r="D77" s="209">
        <v>0</v>
      </c>
      <c r="E77" s="209"/>
      <c r="F77" s="138">
        <v>92189</v>
      </c>
    </row>
    <row r="78" spans="1:6" ht="14.25" customHeight="1" x14ac:dyDescent="0.25"/>
    <row r="79" spans="1:6" ht="15.75" customHeight="1" x14ac:dyDescent="0.25">
      <c r="A79" s="183" t="s">
        <v>464</v>
      </c>
      <c r="B79" s="207"/>
      <c r="C79" s="207"/>
      <c r="D79" s="207"/>
      <c r="E79" s="207"/>
      <c r="F79" s="207"/>
    </row>
    <row r="80" spans="1:6" ht="15.75" customHeight="1" x14ac:dyDescent="0.25">
      <c r="A80" s="183" t="s">
        <v>446</v>
      </c>
      <c r="B80" s="207"/>
      <c r="C80" s="137">
        <v>1100</v>
      </c>
      <c r="D80" s="208">
        <v>0</v>
      </c>
      <c r="E80" s="210"/>
      <c r="F80" s="137">
        <v>1100</v>
      </c>
    </row>
    <row r="81" spans="1:6" ht="15.75" customHeight="1" x14ac:dyDescent="0.25">
      <c r="A81" s="188" t="s">
        <v>450</v>
      </c>
      <c r="B81" s="207"/>
      <c r="C81" s="138">
        <v>100</v>
      </c>
      <c r="D81" s="209">
        <v>0</v>
      </c>
      <c r="E81" s="210"/>
      <c r="F81" s="138">
        <v>100</v>
      </c>
    </row>
    <row r="82" spans="1:6" ht="15.75" customHeight="1" x14ac:dyDescent="0.25">
      <c r="A82" s="188" t="s">
        <v>451</v>
      </c>
      <c r="B82" s="207"/>
      <c r="C82" s="138">
        <v>100</v>
      </c>
      <c r="D82" s="209">
        <v>0</v>
      </c>
      <c r="E82" s="210"/>
      <c r="F82" s="138">
        <v>100</v>
      </c>
    </row>
    <row r="83" spans="1:6" ht="15.75" customHeight="1" x14ac:dyDescent="0.25">
      <c r="A83" s="188" t="s">
        <v>453</v>
      </c>
      <c r="B83" s="207"/>
      <c r="C83" s="145">
        <v>1000</v>
      </c>
      <c r="D83" s="209">
        <v>0</v>
      </c>
      <c r="E83" s="209"/>
      <c r="F83" s="145">
        <v>1000</v>
      </c>
    </row>
    <row r="84" spans="1:6" ht="15.75" customHeight="1" x14ac:dyDescent="0.25">
      <c r="A84" s="188" t="s">
        <v>454</v>
      </c>
      <c r="B84" s="207"/>
      <c r="C84" s="145">
        <v>1000</v>
      </c>
      <c r="D84" s="209">
        <v>0</v>
      </c>
      <c r="E84" s="209"/>
      <c r="F84" s="145">
        <v>1000</v>
      </c>
    </row>
    <row r="85" spans="1:6" ht="14.25" customHeight="1" x14ac:dyDescent="0.25"/>
    <row r="86" spans="1:6" ht="15.75" customHeight="1" x14ac:dyDescent="0.25">
      <c r="A86" s="183" t="s">
        <v>465</v>
      </c>
      <c r="B86" s="207"/>
      <c r="C86" s="207"/>
      <c r="D86" s="207"/>
      <c r="E86" s="207"/>
      <c r="F86" s="207"/>
    </row>
    <row r="87" spans="1:6" ht="15.75" customHeight="1" x14ac:dyDescent="0.25">
      <c r="A87" s="183" t="s">
        <v>446</v>
      </c>
      <c r="B87" s="207"/>
      <c r="C87" s="152">
        <v>1100</v>
      </c>
      <c r="D87" s="208">
        <v>0</v>
      </c>
      <c r="E87" s="210"/>
      <c r="F87" s="152">
        <v>1100</v>
      </c>
    </row>
    <row r="88" spans="1:6" ht="15.75" customHeight="1" x14ac:dyDescent="0.25">
      <c r="A88" s="188" t="s">
        <v>450</v>
      </c>
      <c r="B88" s="207"/>
      <c r="C88" s="153">
        <v>100</v>
      </c>
      <c r="D88" s="209">
        <v>0</v>
      </c>
      <c r="E88" s="210"/>
      <c r="F88" s="153">
        <v>100</v>
      </c>
    </row>
    <row r="89" spans="1:6" ht="15.75" customHeight="1" x14ac:dyDescent="0.25">
      <c r="A89" s="188" t="s">
        <v>451</v>
      </c>
      <c r="B89" s="207"/>
      <c r="C89" s="153">
        <v>100</v>
      </c>
      <c r="D89" s="209">
        <v>0</v>
      </c>
      <c r="E89" s="210"/>
      <c r="F89" s="153">
        <v>100</v>
      </c>
    </row>
    <row r="90" spans="1:6" ht="15.75" customHeight="1" x14ac:dyDescent="0.25">
      <c r="A90" s="188" t="s">
        <v>453</v>
      </c>
      <c r="B90" s="207"/>
      <c r="C90" s="153">
        <v>1000</v>
      </c>
      <c r="D90" s="209">
        <v>0</v>
      </c>
      <c r="E90" s="209"/>
      <c r="F90" s="153">
        <v>1000</v>
      </c>
    </row>
    <row r="91" spans="1:6" ht="15.75" customHeight="1" x14ac:dyDescent="0.25">
      <c r="A91" s="188" t="s">
        <v>454</v>
      </c>
      <c r="B91" s="207"/>
      <c r="C91" s="153">
        <v>1000</v>
      </c>
      <c r="D91" s="209">
        <v>0</v>
      </c>
      <c r="E91" s="209"/>
      <c r="F91" s="153">
        <v>1000</v>
      </c>
    </row>
    <row r="92" spans="1:6" ht="14.25" customHeight="1" x14ac:dyDescent="0.25"/>
    <row r="93" spans="1:6" ht="15.75" customHeight="1" x14ac:dyDescent="0.25">
      <c r="A93" s="183" t="s">
        <v>466</v>
      </c>
      <c r="B93" s="207"/>
      <c r="C93" s="207"/>
      <c r="D93" s="207"/>
      <c r="E93" s="207"/>
      <c r="F93" s="207"/>
    </row>
    <row r="94" spans="1:6" ht="15.75" customHeight="1" x14ac:dyDescent="0.25">
      <c r="A94" s="183" t="s">
        <v>446</v>
      </c>
      <c r="B94" s="207"/>
      <c r="C94" s="137">
        <v>132252</v>
      </c>
      <c r="D94" s="208">
        <v>0</v>
      </c>
      <c r="E94" s="208"/>
      <c r="F94" s="137">
        <v>132252</v>
      </c>
    </row>
    <row r="95" spans="1:6" ht="15.75" customHeight="1" x14ac:dyDescent="0.25">
      <c r="A95" s="188" t="s">
        <v>447</v>
      </c>
      <c r="B95" s="207"/>
      <c r="C95" s="138">
        <v>2000</v>
      </c>
      <c r="D95" s="209">
        <v>0</v>
      </c>
      <c r="E95" s="209"/>
      <c r="F95" s="138">
        <v>2000</v>
      </c>
    </row>
    <row r="96" spans="1:6" ht="15.75" customHeight="1" x14ac:dyDescent="0.25">
      <c r="A96" s="188" t="s">
        <v>448</v>
      </c>
      <c r="B96" s="207"/>
      <c r="C96" s="138">
        <v>2000</v>
      </c>
      <c r="D96" s="209">
        <v>0</v>
      </c>
      <c r="E96" s="209"/>
      <c r="F96" s="138">
        <v>2000</v>
      </c>
    </row>
    <row r="97" spans="1:6" ht="15.75" customHeight="1" x14ac:dyDescent="0.25">
      <c r="A97" s="188" t="s">
        <v>450</v>
      </c>
      <c r="B97" s="207"/>
      <c r="C97" s="138">
        <v>33894</v>
      </c>
      <c r="D97" s="209">
        <v>0</v>
      </c>
      <c r="E97" s="209"/>
      <c r="F97" s="138">
        <v>33894</v>
      </c>
    </row>
    <row r="98" spans="1:6" ht="15.75" customHeight="1" x14ac:dyDescent="0.25">
      <c r="A98" s="188" t="s">
        <v>451</v>
      </c>
      <c r="B98" s="207"/>
      <c r="C98" s="138">
        <v>26344</v>
      </c>
      <c r="D98" s="209">
        <v>0</v>
      </c>
      <c r="E98" s="209"/>
      <c r="F98" s="138">
        <v>26344</v>
      </c>
    </row>
    <row r="99" spans="1:6" ht="31.5" customHeight="1" x14ac:dyDescent="0.25">
      <c r="A99" s="188" t="s">
        <v>452</v>
      </c>
      <c r="B99" s="207"/>
      <c r="C99" s="138">
        <v>7550</v>
      </c>
      <c r="D99" s="209">
        <v>0</v>
      </c>
      <c r="E99" s="209"/>
      <c r="F99" s="138">
        <v>7550</v>
      </c>
    </row>
    <row r="100" spans="1:6" ht="15.75" customHeight="1" x14ac:dyDescent="0.25">
      <c r="A100" s="188" t="s">
        <v>458</v>
      </c>
      <c r="B100" s="207"/>
      <c r="C100" s="138">
        <v>96358</v>
      </c>
      <c r="D100" s="209">
        <v>0</v>
      </c>
      <c r="E100" s="209"/>
      <c r="F100" s="138">
        <v>96358</v>
      </c>
    </row>
    <row r="101" spans="1:6" ht="31.5" customHeight="1" x14ac:dyDescent="0.25">
      <c r="A101" s="188" t="s">
        <v>459</v>
      </c>
      <c r="B101" s="207"/>
      <c r="C101" s="138">
        <v>96358</v>
      </c>
      <c r="D101" s="209">
        <v>0</v>
      </c>
      <c r="E101" s="209"/>
      <c r="F101" s="138">
        <v>96358</v>
      </c>
    </row>
    <row r="103" spans="1:6" ht="15.75" customHeight="1" x14ac:dyDescent="0.25">
      <c r="A103" s="183" t="s">
        <v>502</v>
      </c>
      <c r="B103" s="207"/>
      <c r="C103" s="207"/>
      <c r="D103" s="207"/>
      <c r="E103" s="207"/>
      <c r="F103" s="207"/>
    </row>
    <row r="104" spans="1:6" ht="15.75" customHeight="1" x14ac:dyDescent="0.25">
      <c r="A104" s="183" t="s">
        <v>446</v>
      </c>
      <c r="B104" s="207"/>
      <c r="C104" s="137">
        <v>99368</v>
      </c>
      <c r="D104" s="208">
        <v>0</v>
      </c>
      <c r="E104" s="208"/>
      <c r="F104" s="137">
        <v>99368</v>
      </c>
    </row>
    <row r="105" spans="1:6" ht="15.75" customHeight="1" x14ac:dyDescent="0.25">
      <c r="A105" s="188" t="s">
        <v>450</v>
      </c>
      <c r="B105" s="207"/>
      <c r="C105" s="138">
        <v>3010</v>
      </c>
      <c r="D105" s="209">
        <v>0</v>
      </c>
      <c r="E105" s="209"/>
      <c r="F105" s="138">
        <v>3010</v>
      </c>
    </row>
    <row r="106" spans="1:6" ht="15.75" customHeight="1" x14ac:dyDescent="0.25">
      <c r="A106" s="188" t="s">
        <v>451</v>
      </c>
      <c r="B106" s="207"/>
      <c r="C106" s="138">
        <v>2010</v>
      </c>
      <c r="D106" s="209">
        <v>0</v>
      </c>
      <c r="E106" s="209"/>
      <c r="F106" s="138">
        <v>2010</v>
      </c>
    </row>
    <row r="107" spans="1:6" ht="31.5" customHeight="1" x14ac:dyDescent="0.25">
      <c r="A107" s="188" t="s">
        <v>452</v>
      </c>
      <c r="B107" s="207"/>
      <c r="C107" s="138">
        <v>1000</v>
      </c>
      <c r="D107" s="209">
        <v>0</v>
      </c>
      <c r="E107" s="209"/>
      <c r="F107" s="138">
        <v>1000</v>
      </c>
    </row>
    <row r="108" spans="1:6" ht="15.75" customHeight="1" x14ac:dyDescent="0.25">
      <c r="A108" s="188" t="s">
        <v>458</v>
      </c>
      <c r="B108" s="207"/>
      <c r="C108" s="138">
        <v>96358</v>
      </c>
      <c r="D108" s="209">
        <v>0</v>
      </c>
      <c r="E108" s="209"/>
      <c r="F108" s="138">
        <v>96358</v>
      </c>
    </row>
    <row r="109" spans="1:6" ht="31.5" customHeight="1" x14ac:dyDescent="0.25">
      <c r="A109" s="188" t="s">
        <v>459</v>
      </c>
      <c r="B109" s="207"/>
      <c r="C109" s="138">
        <v>96358</v>
      </c>
      <c r="D109" s="209">
        <v>0</v>
      </c>
      <c r="E109" s="209"/>
      <c r="F109" s="138">
        <v>96358</v>
      </c>
    </row>
    <row r="111" spans="1:6" ht="15.75" customHeight="1" x14ac:dyDescent="0.25">
      <c r="A111" s="183" t="s">
        <v>503</v>
      </c>
      <c r="B111" s="207"/>
      <c r="C111" s="207"/>
      <c r="D111" s="207"/>
      <c r="E111" s="207"/>
      <c r="F111" s="207"/>
    </row>
    <row r="112" spans="1:6" ht="15.75" customHeight="1" x14ac:dyDescent="0.25">
      <c r="A112" s="183" t="s">
        <v>446</v>
      </c>
      <c r="B112" s="207"/>
      <c r="C112" s="137">
        <v>1589</v>
      </c>
      <c r="D112" s="208">
        <v>0</v>
      </c>
      <c r="E112" s="208"/>
      <c r="F112" s="137">
        <v>1589</v>
      </c>
    </row>
    <row r="113" spans="1:6" ht="15.75" customHeight="1" x14ac:dyDescent="0.25">
      <c r="A113" s="188" t="s">
        <v>450</v>
      </c>
      <c r="B113" s="207"/>
      <c r="C113" s="138">
        <v>1589</v>
      </c>
      <c r="D113" s="209">
        <v>0</v>
      </c>
      <c r="E113" s="209"/>
      <c r="F113" s="138">
        <v>1589</v>
      </c>
    </row>
    <row r="114" spans="1:6" ht="15.75" customHeight="1" x14ac:dyDescent="0.25">
      <c r="A114" s="188" t="s">
        <v>451</v>
      </c>
      <c r="B114" s="207"/>
      <c r="C114" s="138">
        <v>1589</v>
      </c>
      <c r="D114" s="209">
        <v>0</v>
      </c>
      <c r="E114" s="209"/>
      <c r="F114" s="138">
        <v>1589</v>
      </c>
    </row>
    <row r="116" spans="1:6" ht="15.75" customHeight="1" x14ac:dyDescent="0.25">
      <c r="A116" s="183" t="s">
        <v>504</v>
      </c>
      <c r="B116" s="207"/>
      <c r="C116" s="207"/>
      <c r="D116" s="207"/>
      <c r="E116" s="207"/>
      <c r="F116" s="207"/>
    </row>
    <row r="117" spans="1:6" ht="15.75" customHeight="1" x14ac:dyDescent="0.25">
      <c r="A117" s="183" t="s">
        <v>446</v>
      </c>
      <c r="B117" s="207"/>
      <c r="C117" s="137">
        <v>31295</v>
      </c>
      <c r="D117" s="208">
        <v>0</v>
      </c>
      <c r="E117" s="208"/>
      <c r="F117" s="137">
        <v>31295</v>
      </c>
    </row>
    <row r="118" spans="1:6" ht="15.75" customHeight="1" x14ac:dyDescent="0.25">
      <c r="A118" s="188" t="s">
        <v>447</v>
      </c>
      <c r="B118" s="207"/>
      <c r="C118" s="138">
        <v>2000</v>
      </c>
      <c r="D118" s="209">
        <v>0</v>
      </c>
      <c r="E118" s="209"/>
      <c r="F118" s="138">
        <v>2000</v>
      </c>
    </row>
    <row r="119" spans="1:6" ht="15.75" customHeight="1" x14ac:dyDescent="0.25">
      <c r="A119" s="188" t="s">
        <v>448</v>
      </c>
      <c r="B119" s="207"/>
      <c r="C119" s="138">
        <v>2000</v>
      </c>
      <c r="D119" s="209">
        <v>0</v>
      </c>
      <c r="E119" s="209"/>
      <c r="F119" s="138">
        <v>2000</v>
      </c>
    </row>
    <row r="120" spans="1:6" ht="15.75" customHeight="1" x14ac:dyDescent="0.25">
      <c r="A120" s="188" t="s">
        <v>450</v>
      </c>
      <c r="B120" s="207"/>
      <c r="C120" s="138">
        <v>29295</v>
      </c>
      <c r="D120" s="209">
        <v>0</v>
      </c>
      <c r="E120" s="209"/>
      <c r="F120" s="138">
        <v>29295</v>
      </c>
    </row>
    <row r="121" spans="1:6" ht="15.75" customHeight="1" x14ac:dyDescent="0.25">
      <c r="A121" s="188" t="s">
        <v>451</v>
      </c>
      <c r="B121" s="207"/>
      <c r="C121" s="138">
        <v>22745</v>
      </c>
      <c r="D121" s="209">
        <v>0</v>
      </c>
      <c r="E121" s="209"/>
      <c r="F121" s="138">
        <v>22745</v>
      </c>
    </row>
    <row r="122" spans="1:6" ht="31.5" customHeight="1" x14ac:dyDescent="0.25">
      <c r="A122" s="188" t="s">
        <v>452</v>
      </c>
      <c r="B122" s="207"/>
      <c r="C122" s="138">
        <v>6550</v>
      </c>
      <c r="D122" s="209">
        <v>0</v>
      </c>
      <c r="E122" s="209"/>
      <c r="F122" s="138">
        <v>6550</v>
      </c>
    </row>
    <row r="123" spans="1:6" ht="14.25" customHeight="1" x14ac:dyDescent="0.25"/>
    <row r="124" spans="1:6" ht="15.75" customHeight="1" x14ac:dyDescent="0.25">
      <c r="A124" s="183" t="s">
        <v>467</v>
      </c>
      <c r="B124" s="207"/>
      <c r="C124" s="207"/>
      <c r="D124" s="207"/>
      <c r="E124" s="207"/>
      <c r="F124" s="207"/>
    </row>
    <row r="125" spans="1:6" ht="15.75" customHeight="1" x14ac:dyDescent="0.25">
      <c r="A125" s="183" t="s">
        <v>446</v>
      </c>
      <c r="B125" s="207"/>
      <c r="C125" s="137">
        <f>27768+1000</f>
        <v>28768</v>
      </c>
      <c r="D125" s="208">
        <v>0</v>
      </c>
      <c r="E125" s="210"/>
      <c r="F125" s="137">
        <v>28768</v>
      </c>
    </row>
    <row r="126" spans="1:6" ht="15.75" customHeight="1" x14ac:dyDescent="0.25">
      <c r="A126" s="188" t="s">
        <v>450</v>
      </c>
      <c r="B126" s="207"/>
      <c r="C126" s="138">
        <f>13874+1000</f>
        <v>14874</v>
      </c>
      <c r="D126" s="209">
        <v>0</v>
      </c>
      <c r="E126" s="210"/>
      <c r="F126" s="138">
        <v>14874</v>
      </c>
    </row>
    <row r="127" spans="1:6" ht="15.75" customHeight="1" x14ac:dyDescent="0.25">
      <c r="A127" s="188" t="s">
        <v>451</v>
      </c>
      <c r="B127" s="207"/>
      <c r="C127" s="138">
        <f>8272+1000</f>
        <v>9272</v>
      </c>
      <c r="D127" s="209">
        <v>0</v>
      </c>
      <c r="E127" s="210"/>
      <c r="F127" s="138">
        <v>9272</v>
      </c>
    </row>
    <row r="128" spans="1:6" ht="31.5" customHeight="1" x14ac:dyDescent="0.25">
      <c r="A128" s="188" t="s">
        <v>452</v>
      </c>
      <c r="B128" s="207"/>
      <c r="C128" s="138">
        <v>5602</v>
      </c>
      <c r="D128" s="209">
        <v>0</v>
      </c>
      <c r="E128" s="209"/>
      <c r="F128" s="138">
        <v>5602</v>
      </c>
    </row>
    <row r="129" spans="1:6" ht="15.75" customHeight="1" x14ac:dyDescent="0.25">
      <c r="A129" s="188" t="s">
        <v>453</v>
      </c>
      <c r="B129" s="207"/>
      <c r="C129" s="138">
        <v>13894</v>
      </c>
      <c r="D129" s="209">
        <v>0</v>
      </c>
      <c r="E129" s="209"/>
      <c r="F129" s="138">
        <v>13894</v>
      </c>
    </row>
    <row r="130" spans="1:6" ht="15.75" customHeight="1" x14ac:dyDescent="0.25">
      <c r="A130" s="188" t="s">
        <v>454</v>
      </c>
      <c r="B130" s="207"/>
      <c r="C130" s="138">
        <v>13894</v>
      </c>
      <c r="D130" s="209">
        <v>0</v>
      </c>
      <c r="E130" s="209"/>
      <c r="F130" s="138">
        <v>13894</v>
      </c>
    </row>
    <row r="132" spans="1:6" ht="15.75" customHeight="1" x14ac:dyDescent="0.25">
      <c r="A132" s="183" t="s">
        <v>468</v>
      </c>
      <c r="B132" s="207"/>
      <c r="C132" s="207"/>
      <c r="D132" s="207"/>
      <c r="E132" s="207"/>
      <c r="F132" s="207"/>
    </row>
    <row r="133" spans="1:6" ht="15.75" customHeight="1" x14ac:dyDescent="0.25">
      <c r="A133" s="183" t="s">
        <v>446</v>
      </c>
      <c r="B133" s="207"/>
      <c r="C133" s="137">
        <v>5274</v>
      </c>
      <c r="D133" s="208">
        <v>0</v>
      </c>
      <c r="E133" s="208"/>
      <c r="F133" s="137">
        <v>5274</v>
      </c>
    </row>
    <row r="134" spans="1:6" ht="15.75" customHeight="1" x14ac:dyDescent="0.25">
      <c r="A134" s="188" t="s">
        <v>450</v>
      </c>
      <c r="B134" s="207"/>
      <c r="C134" s="138">
        <v>274</v>
      </c>
      <c r="D134" s="209">
        <v>0</v>
      </c>
      <c r="E134" s="209"/>
      <c r="F134" s="138">
        <v>274</v>
      </c>
    </row>
    <row r="135" spans="1:6" ht="31.5" customHeight="1" x14ac:dyDescent="0.25">
      <c r="A135" s="188" t="s">
        <v>452</v>
      </c>
      <c r="B135" s="207"/>
      <c r="C135" s="138">
        <v>274</v>
      </c>
      <c r="D135" s="209">
        <v>0</v>
      </c>
      <c r="E135" s="209"/>
      <c r="F135" s="138">
        <v>274</v>
      </c>
    </row>
    <row r="136" spans="1:6" ht="15.75" customHeight="1" x14ac:dyDescent="0.25">
      <c r="A136" s="188" t="s">
        <v>453</v>
      </c>
      <c r="B136" s="207"/>
      <c r="C136" s="138">
        <v>5000</v>
      </c>
      <c r="D136" s="209">
        <v>0</v>
      </c>
      <c r="E136" s="209"/>
      <c r="F136" s="138">
        <v>5000</v>
      </c>
    </row>
    <row r="137" spans="1:6" ht="15.75" customHeight="1" x14ac:dyDescent="0.25">
      <c r="A137" s="188" t="s">
        <v>454</v>
      </c>
      <c r="B137" s="207"/>
      <c r="C137" s="138">
        <v>5000</v>
      </c>
      <c r="D137" s="209">
        <v>0</v>
      </c>
      <c r="E137" s="209"/>
      <c r="F137" s="138">
        <v>5000</v>
      </c>
    </row>
    <row r="139" spans="1:6" ht="15.75" customHeight="1" x14ac:dyDescent="0.25">
      <c r="A139" s="183" t="s">
        <v>469</v>
      </c>
      <c r="B139" s="207"/>
      <c r="C139" s="207"/>
      <c r="D139" s="207"/>
      <c r="E139" s="207"/>
      <c r="F139" s="207"/>
    </row>
    <row r="140" spans="1:6" ht="15.75" customHeight="1" x14ac:dyDescent="0.25">
      <c r="A140" s="183" t="s">
        <v>446</v>
      </c>
      <c r="B140" s="207"/>
      <c r="C140" s="137">
        <v>7074</v>
      </c>
      <c r="D140" s="208">
        <v>0</v>
      </c>
      <c r="E140" s="208"/>
      <c r="F140" s="137">
        <v>7074</v>
      </c>
    </row>
    <row r="141" spans="1:6" ht="15.75" customHeight="1" x14ac:dyDescent="0.25">
      <c r="A141" s="188" t="s">
        <v>450</v>
      </c>
      <c r="B141" s="207"/>
      <c r="C141" s="138">
        <v>3513</v>
      </c>
      <c r="D141" s="209">
        <v>0</v>
      </c>
      <c r="E141" s="209"/>
      <c r="F141" s="138">
        <v>3513</v>
      </c>
    </row>
    <row r="142" spans="1:6" ht="15.75" customHeight="1" x14ac:dyDescent="0.25">
      <c r="A142" s="188" t="s">
        <v>451</v>
      </c>
      <c r="B142" s="207"/>
      <c r="C142" s="138">
        <v>3185</v>
      </c>
      <c r="D142" s="209">
        <v>0</v>
      </c>
      <c r="E142" s="209"/>
      <c r="F142" s="138">
        <v>3185</v>
      </c>
    </row>
    <row r="143" spans="1:6" ht="31.5" customHeight="1" x14ac:dyDescent="0.25">
      <c r="A143" s="188" t="s">
        <v>452</v>
      </c>
      <c r="B143" s="207"/>
      <c r="C143" s="138">
        <v>328</v>
      </c>
      <c r="D143" s="209">
        <v>0</v>
      </c>
      <c r="E143" s="209"/>
      <c r="F143" s="138">
        <v>328</v>
      </c>
    </row>
    <row r="144" spans="1:6" ht="15.75" customHeight="1" x14ac:dyDescent="0.25">
      <c r="A144" s="188" t="s">
        <v>453</v>
      </c>
      <c r="B144" s="207"/>
      <c r="C144" s="138">
        <v>3561</v>
      </c>
      <c r="D144" s="209">
        <v>0</v>
      </c>
      <c r="E144" s="209"/>
      <c r="F144" s="138">
        <v>3561</v>
      </c>
    </row>
    <row r="145" spans="1:6" ht="15.75" customHeight="1" x14ac:dyDescent="0.25">
      <c r="A145" s="188" t="s">
        <v>454</v>
      </c>
      <c r="B145" s="207"/>
      <c r="C145" s="138">
        <v>3561</v>
      </c>
      <c r="D145" s="209">
        <v>0</v>
      </c>
      <c r="E145" s="209"/>
      <c r="F145" s="138">
        <v>3561</v>
      </c>
    </row>
    <row r="146" spans="1:6" ht="14.25" customHeight="1" x14ac:dyDescent="0.25"/>
    <row r="147" spans="1:6" ht="15.75" customHeight="1" x14ac:dyDescent="0.25">
      <c r="A147" s="183" t="s">
        <v>470</v>
      </c>
      <c r="B147" s="207"/>
      <c r="C147" s="207"/>
      <c r="D147" s="207"/>
      <c r="E147" s="207"/>
      <c r="F147" s="207"/>
    </row>
    <row r="148" spans="1:6" ht="15.75" customHeight="1" x14ac:dyDescent="0.25">
      <c r="A148" s="183" t="s">
        <v>446</v>
      </c>
      <c r="B148" s="207"/>
      <c r="C148" s="137">
        <v>13436</v>
      </c>
      <c r="D148" s="208">
        <v>0</v>
      </c>
      <c r="E148" s="208"/>
      <c r="F148" s="137">
        <v>13436</v>
      </c>
    </row>
    <row r="149" spans="1:6" ht="15.75" customHeight="1" x14ac:dyDescent="0.25">
      <c r="A149" s="188" t="s">
        <v>450</v>
      </c>
      <c r="B149" s="207"/>
      <c r="C149" s="138">
        <v>8103</v>
      </c>
      <c r="D149" s="209">
        <v>0</v>
      </c>
      <c r="E149" s="209"/>
      <c r="F149" s="138">
        <v>8103</v>
      </c>
    </row>
    <row r="150" spans="1:6" ht="15.75" customHeight="1" x14ac:dyDescent="0.25">
      <c r="A150" s="188" t="s">
        <v>451</v>
      </c>
      <c r="B150" s="207"/>
      <c r="C150" s="138">
        <v>3103</v>
      </c>
      <c r="D150" s="209">
        <v>0</v>
      </c>
      <c r="E150" s="209"/>
      <c r="F150" s="138">
        <v>3103</v>
      </c>
    </row>
    <row r="151" spans="1:6" ht="31.5" customHeight="1" x14ac:dyDescent="0.25">
      <c r="A151" s="188" t="s">
        <v>452</v>
      </c>
      <c r="B151" s="207"/>
      <c r="C151" s="138">
        <v>5000</v>
      </c>
      <c r="D151" s="209">
        <v>0</v>
      </c>
      <c r="E151" s="209"/>
      <c r="F151" s="138">
        <v>5000</v>
      </c>
    </row>
    <row r="152" spans="1:6" ht="15.75" customHeight="1" x14ac:dyDescent="0.25">
      <c r="A152" s="188" t="s">
        <v>453</v>
      </c>
      <c r="B152" s="207"/>
      <c r="C152" s="138">
        <v>5333</v>
      </c>
      <c r="D152" s="209">
        <v>0</v>
      </c>
      <c r="E152" s="209"/>
      <c r="F152" s="138">
        <v>5333</v>
      </c>
    </row>
    <row r="153" spans="1:6" ht="15.75" customHeight="1" x14ac:dyDescent="0.25">
      <c r="A153" s="188" t="s">
        <v>454</v>
      </c>
      <c r="B153" s="207"/>
      <c r="C153" s="138">
        <v>5333</v>
      </c>
      <c r="D153" s="209">
        <v>0</v>
      </c>
      <c r="E153" s="209"/>
      <c r="F153" s="138">
        <v>5333</v>
      </c>
    </row>
    <row r="154" spans="1:6" ht="14.25" customHeight="1" x14ac:dyDescent="0.25"/>
    <row r="155" spans="1:6" ht="15.75" customHeight="1" x14ac:dyDescent="0.25">
      <c r="A155" s="183" t="s">
        <v>505</v>
      </c>
      <c r="B155" s="207"/>
      <c r="C155" s="207"/>
      <c r="D155" s="207"/>
      <c r="E155" s="207"/>
      <c r="F155" s="207"/>
    </row>
    <row r="156" spans="1:6" ht="15.75" customHeight="1" x14ac:dyDescent="0.25">
      <c r="A156" s="183" t="s">
        <v>446</v>
      </c>
      <c r="B156" s="207"/>
      <c r="C156" s="137">
        <v>1984</v>
      </c>
      <c r="D156" s="208">
        <v>0</v>
      </c>
      <c r="E156" s="208"/>
      <c r="F156" s="137">
        <v>1984</v>
      </c>
    </row>
    <row r="157" spans="1:6" ht="15.75" customHeight="1" x14ac:dyDescent="0.25">
      <c r="A157" s="188" t="s">
        <v>450</v>
      </c>
      <c r="B157" s="207"/>
      <c r="C157" s="138">
        <v>1984</v>
      </c>
      <c r="D157" s="209">
        <v>0</v>
      </c>
      <c r="E157" s="209"/>
      <c r="F157" s="138">
        <v>1984</v>
      </c>
    </row>
    <row r="158" spans="1:6" ht="15.75" customHeight="1" x14ac:dyDescent="0.25">
      <c r="A158" s="188" t="s">
        <v>451</v>
      </c>
      <c r="B158" s="207"/>
      <c r="C158" s="138">
        <v>1984</v>
      </c>
      <c r="D158" s="209">
        <v>0</v>
      </c>
      <c r="E158" s="209"/>
      <c r="F158" s="138">
        <v>1984</v>
      </c>
    </row>
    <row r="159" spans="1:6" ht="14.25" customHeight="1" x14ac:dyDescent="0.25"/>
    <row r="160" spans="1:6" ht="15.75" customHeight="1" x14ac:dyDescent="0.25">
      <c r="A160" s="183" t="s">
        <v>506</v>
      </c>
      <c r="B160" s="207"/>
      <c r="C160" s="207"/>
      <c r="D160" s="207"/>
      <c r="E160" s="207"/>
      <c r="F160" s="207"/>
    </row>
    <row r="161" spans="1:6" ht="15.75" customHeight="1" x14ac:dyDescent="0.25">
      <c r="A161" s="183" t="s">
        <v>446</v>
      </c>
      <c r="B161" s="207"/>
      <c r="C161" s="137">
        <v>1000</v>
      </c>
      <c r="D161" s="208">
        <v>0</v>
      </c>
      <c r="E161" s="210"/>
      <c r="F161" s="137">
        <v>1000</v>
      </c>
    </row>
    <row r="162" spans="1:6" ht="15.75" customHeight="1" x14ac:dyDescent="0.25">
      <c r="A162" s="188" t="s">
        <v>450</v>
      </c>
      <c r="B162" s="207"/>
      <c r="C162" s="138">
        <v>1000</v>
      </c>
      <c r="D162" s="209">
        <v>0</v>
      </c>
      <c r="E162" s="210"/>
      <c r="F162" s="138">
        <v>1000</v>
      </c>
    </row>
    <row r="163" spans="1:6" ht="15.75" customHeight="1" x14ac:dyDescent="0.25">
      <c r="A163" s="188" t="s">
        <v>451</v>
      </c>
      <c r="B163" s="207"/>
      <c r="C163" s="138">
        <v>1000</v>
      </c>
      <c r="D163" s="209">
        <v>0</v>
      </c>
      <c r="E163" s="210"/>
      <c r="F163" s="138">
        <v>1000</v>
      </c>
    </row>
    <row r="164" spans="1:6" ht="14.25" customHeight="1" x14ac:dyDescent="0.25"/>
    <row r="165" spans="1:6" ht="15.75" customHeight="1" x14ac:dyDescent="0.25">
      <c r="A165" s="183" t="s">
        <v>471</v>
      </c>
      <c r="B165" s="207"/>
      <c r="C165" s="207"/>
      <c r="D165" s="207"/>
      <c r="E165" s="207"/>
      <c r="F165" s="207"/>
    </row>
    <row r="166" spans="1:6" ht="15.75" customHeight="1" x14ac:dyDescent="0.25">
      <c r="A166" s="183" t="s">
        <v>446</v>
      </c>
      <c r="B166" s="207"/>
      <c r="C166" s="137">
        <v>3436</v>
      </c>
      <c r="D166" s="208">
        <v>0</v>
      </c>
      <c r="E166" s="208"/>
      <c r="F166" s="137">
        <v>3436</v>
      </c>
    </row>
    <row r="167" spans="1:6" ht="15.75" customHeight="1" x14ac:dyDescent="0.25">
      <c r="A167" s="188" t="s">
        <v>450</v>
      </c>
      <c r="B167" s="207"/>
      <c r="C167" s="138">
        <v>3436</v>
      </c>
      <c r="D167" s="209">
        <v>0</v>
      </c>
      <c r="E167" s="209"/>
      <c r="F167" s="138">
        <v>3436</v>
      </c>
    </row>
    <row r="168" spans="1:6" ht="15.75" customHeight="1" x14ac:dyDescent="0.25">
      <c r="A168" s="188" t="s">
        <v>451</v>
      </c>
      <c r="B168" s="207"/>
      <c r="C168" s="138">
        <v>11</v>
      </c>
      <c r="D168" s="209">
        <v>0</v>
      </c>
      <c r="E168" s="209"/>
      <c r="F168" s="138">
        <v>11</v>
      </c>
    </row>
    <row r="169" spans="1:6" ht="31.5" customHeight="1" x14ac:dyDescent="0.25">
      <c r="A169" s="188" t="s">
        <v>452</v>
      </c>
      <c r="B169" s="207"/>
      <c r="C169" s="138">
        <v>3425</v>
      </c>
      <c r="D169" s="209">
        <v>0</v>
      </c>
      <c r="E169" s="209"/>
      <c r="F169" s="138">
        <v>3425</v>
      </c>
    </row>
    <row r="170" spans="1:6" ht="14.25" customHeight="1" x14ac:dyDescent="0.25"/>
    <row r="171" spans="1:6" ht="15.75" customHeight="1" x14ac:dyDescent="0.25">
      <c r="A171" s="183" t="s">
        <v>507</v>
      </c>
      <c r="B171" s="207"/>
      <c r="C171" s="207"/>
      <c r="D171" s="207"/>
      <c r="E171" s="207"/>
      <c r="F171" s="207"/>
    </row>
    <row r="172" spans="1:6" ht="15.75" customHeight="1" x14ac:dyDescent="0.25">
      <c r="A172" s="183" t="s">
        <v>446</v>
      </c>
      <c r="B172" s="207"/>
      <c r="C172" s="137">
        <v>3436</v>
      </c>
      <c r="D172" s="208">
        <v>0</v>
      </c>
      <c r="E172" s="208"/>
      <c r="F172" s="137">
        <v>3436</v>
      </c>
    </row>
    <row r="173" spans="1:6" ht="15.75" customHeight="1" x14ac:dyDescent="0.25">
      <c r="A173" s="188" t="s">
        <v>450</v>
      </c>
      <c r="B173" s="207"/>
      <c r="C173" s="138">
        <v>3436</v>
      </c>
      <c r="D173" s="209">
        <v>0</v>
      </c>
      <c r="E173" s="209"/>
      <c r="F173" s="138">
        <v>3436</v>
      </c>
    </row>
    <row r="174" spans="1:6" ht="15.75" customHeight="1" x14ac:dyDescent="0.25">
      <c r="A174" s="188" t="s">
        <v>451</v>
      </c>
      <c r="B174" s="207"/>
      <c r="C174" s="138">
        <v>11</v>
      </c>
      <c r="D174" s="209">
        <v>0</v>
      </c>
      <c r="E174" s="209"/>
      <c r="F174" s="138">
        <v>11</v>
      </c>
    </row>
    <row r="175" spans="1:6" ht="31.5" customHeight="1" x14ac:dyDescent="0.25">
      <c r="A175" s="188" t="s">
        <v>452</v>
      </c>
      <c r="B175" s="207"/>
      <c r="C175" s="138">
        <v>3425</v>
      </c>
      <c r="D175" s="209">
        <v>0</v>
      </c>
      <c r="E175" s="209"/>
      <c r="F175" s="138">
        <v>3425</v>
      </c>
    </row>
    <row r="176" spans="1:6" ht="14.25" customHeight="1" x14ac:dyDescent="0.25"/>
    <row r="177" spans="1:6" ht="15.75" customHeight="1" x14ac:dyDescent="0.25">
      <c r="A177" s="183" t="s">
        <v>472</v>
      </c>
      <c r="B177" s="207"/>
      <c r="C177" s="207"/>
      <c r="D177" s="207"/>
      <c r="E177" s="207"/>
      <c r="F177" s="207"/>
    </row>
    <row r="178" spans="1:6" ht="15.75" customHeight="1" x14ac:dyDescent="0.25">
      <c r="A178" s="183" t="s">
        <v>446</v>
      </c>
      <c r="B178" s="207"/>
      <c r="C178" s="160">
        <v>2306914</v>
      </c>
      <c r="D178" s="208">
        <v>39193</v>
      </c>
      <c r="E178" s="210"/>
      <c r="F178" s="137">
        <v>2346107</v>
      </c>
    </row>
    <row r="179" spans="1:6" ht="15.75" customHeight="1" x14ac:dyDescent="0.25">
      <c r="A179" s="183" t="s">
        <v>447</v>
      </c>
      <c r="B179" s="211"/>
      <c r="C179" s="160">
        <v>61818</v>
      </c>
      <c r="D179" s="208">
        <v>0</v>
      </c>
      <c r="E179" s="208"/>
      <c r="F179" s="144">
        <v>61818</v>
      </c>
    </row>
    <row r="180" spans="1:6" ht="15.75" customHeight="1" x14ac:dyDescent="0.25">
      <c r="A180" s="188" t="s">
        <v>448</v>
      </c>
      <c r="B180" s="207"/>
      <c r="C180" s="161">
        <v>47264</v>
      </c>
      <c r="D180" s="209">
        <v>0</v>
      </c>
      <c r="E180" s="210"/>
      <c r="F180" s="138">
        <v>47264</v>
      </c>
    </row>
    <row r="181" spans="1:6" ht="15.75" customHeight="1" x14ac:dyDescent="0.25">
      <c r="A181" s="188" t="s">
        <v>449</v>
      </c>
      <c r="B181" s="207"/>
      <c r="C181" s="161">
        <v>14554</v>
      </c>
      <c r="D181" s="209">
        <v>0</v>
      </c>
      <c r="E181" s="210"/>
      <c r="F181" s="138">
        <v>14554</v>
      </c>
    </row>
    <row r="182" spans="1:6" ht="15.75" customHeight="1" x14ac:dyDescent="0.25">
      <c r="A182" s="183" t="s">
        <v>450</v>
      </c>
      <c r="B182" s="211"/>
      <c r="C182" s="160">
        <v>1095760</v>
      </c>
      <c r="D182" s="208">
        <v>34454</v>
      </c>
      <c r="E182" s="212"/>
      <c r="F182" s="144">
        <v>1130214</v>
      </c>
    </row>
    <row r="183" spans="1:6" ht="15.75" customHeight="1" x14ac:dyDescent="0.25">
      <c r="A183" s="188" t="s">
        <v>451</v>
      </c>
      <c r="B183" s="207"/>
      <c r="C183" s="161">
        <v>1068183</v>
      </c>
      <c r="D183" s="209">
        <v>34454</v>
      </c>
      <c r="E183" s="210"/>
      <c r="F183" s="138">
        <v>1102637</v>
      </c>
    </row>
    <row r="184" spans="1:6" ht="31.5" customHeight="1" x14ac:dyDescent="0.25">
      <c r="A184" s="188" t="s">
        <v>452</v>
      </c>
      <c r="B184" s="207"/>
      <c r="C184" s="161">
        <v>27577</v>
      </c>
      <c r="D184" s="209">
        <v>0</v>
      </c>
      <c r="E184" s="209"/>
      <c r="F184" s="138">
        <v>27577</v>
      </c>
    </row>
    <row r="185" spans="1:6" ht="15.75" customHeight="1" x14ac:dyDescent="0.25">
      <c r="A185" s="183" t="s">
        <v>458</v>
      </c>
      <c r="B185" s="211"/>
      <c r="C185" s="160">
        <v>711177</v>
      </c>
      <c r="D185" s="208">
        <v>39193</v>
      </c>
      <c r="E185" s="208"/>
      <c r="F185" s="144">
        <v>750370</v>
      </c>
    </row>
    <row r="186" spans="1:6" ht="31.5" customHeight="1" x14ac:dyDescent="0.25">
      <c r="A186" s="188" t="s">
        <v>459</v>
      </c>
      <c r="B186" s="207"/>
      <c r="C186" s="161">
        <v>188547</v>
      </c>
      <c r="D186" s="209">
        <v>0</v>
      </c>
      <c r="E186" s="209"/>
      <c r="F186" s="138">
        <v>188547</v>
      </c>
    </row>
    <row r="187" spans="1:6" ht="31.5" customHeight="1" x14ac:dyDescent="0.25">
      <c r="A187" s="188" t="s">
        <v>460</v>
      </c>
      <c r="B187" s="207"/>
      <c r="C187" s="161">
        <v>522630</v>
      </c>
      <c r="D187" s="209">
        <v>39193</v>
      </c>
      <c r="E187" s="209"/>
      <c r="F187" s="138">
        <v>561823</v>
      </c>
    </row>
    <row r="188" spans="1:6" ht="15.75" customHeight="1" x14ac:dyDescent="0.25">
      <c r="A188" s="183" t="s">
        <v>453</v>
      </c>
      <c r="B188" s="211"/>
      <c r="C188" s="160">
        <v>438159</v>
      </c>
      <c r="D188" s="208">
        <v>-34454</v>
      </c>
      <c r="E188" s="208"/>
      <c r="F188" s="144">
        <v>403705</v>
      </c>
    </row>
    <row r="189" spans="1:6" ht="15.75" customHeight="1" x14ac:dyDescent="0.25">
      <c r="A189" s="188" t="s">
        <v>454</v>
      </c>
      <c r="B189" s="207"/>
      <c r="C189" s="161">
        <v>438159</v>
      </c>
      <c r="D189" s="209">
        <v>-34454</v>
      </c>
      <c r="E189" s="209"/>
      <c r="F189" s="145">
        <v>403705</v>
      </c>
    </row>
    <row r="190" spans="1:6" ht="15.75" customHeight="1" x14ac:dyDescent="0.25">
      <c r="E190" s="213"/>
      <c r="F190" s="214"/>
    </row>
    <row r="191" spans="1:6" ht="18.75" x14ac:dyDescent="0.3">
      <c r="B191" s="135" t="s">
        <v>126</v>
      </c>
      <c r="C191" s="135"/>
      <c r="D191" s="135" t="s">
        <v>127</v>
      </c>
      <c r="E191" s="136"/>
      <c r="F191" s="132"/>
    </row>
    <row r="192" spans="1:6" x14ac:dyDescent="0.25">
      <c r="C192" s="132"/>
      <c r="D192" s="132"/>
      <c r="E192" s="132"/>
      <c r="F192" s="132"/>
    </row>
  </sheetData>
  <mergeCells count="297">
    <mergeCell ref="A188:B188"/>
    <mergeCell ref="D188:E188"/>
    <mergeCell ref="A189:B189"/>
    <mergeCell ref="D189:E189"/>
    <mergeCell ref="E190:F190"/>
    <mergeCell ref="A185:B185"/>
    <mergeCell ref="D185:E185"/>
    <mergeCell ref="A186:B186"/>
    <mergeCell ref="D186:E186"/>
    <mergeCell ref="A187:B187"/>
    <mergeCell ref="D187:E187"/>
    <mergeCell ref="A182:B182"/>
    <mergeCell ref="D182:E182"/>
    <mergeCell ref="A183:B183"/>
    <mergeCell ref="D183:E183"/>
    <mergeCell ref="A184:B184"/>
    <mergeCell ref="D184:E184"/>
    <mergeCell ref="A179:B179"/>
    <mergeCell ref="D179:E179"/>
    <mergeCell ref="A180:B180"/>
    <mergeCell ref="D180:E180"/>
    <mergeCell ref="A181:B181"/>
    <mergeCell ref="D181:E181"/>
    <mergeCell ref="A174:B174"/>
    <mergeCell ref="D174:E174"/>
    <mergeCell ref="A175:B175"/>
    <mergeCell ref="D175:E175"/>
    <mergeCell ref="A177:F177"/>
    <mergeCell ref="A178:B178"/>
    <mergeCell ref="D178:E178"/>
    <mergeCell ref="A169:B169"/>
    <mergeCell ref="D169:E169"/>
    <mergeCell ref="A171:F171"/>
    <mergeCell ref="A172:B172"/>
    <mergeCell ref="D172:E172"/>
    <mergeCell ref="A173:B173"/>
    <mergeCell ref="D173:E173"/>
    <mergeCell ref="A165:F165"/>
    <mergeCell ref="A166:B166"/>
    <mergeCell ref="D166:E166"/>
    <mergeCell ref="A167:B167"/>
    <mergeCell ref="D167:E167"/>
    <mergeCell ref="A168:B168"/>
    <mergeCell ref="D168:E168"/>
    <mergeCell ref="A160:F160"/>
    <mergeCell ref="A161:B161"/>
    <mergeCell ref="D161:E161"/>
    <mergeCell ref="A162:B162"/>
    <mergeCell ref="D162:E162"/>
    <mergeCell ref="A163:B163"/>
    <mergeCell ref="D163:E163"/>
    <mergeCell ref="A155:F155"/>
    <mergeCell ref="A156:B156"/>
    <mergeCell ref="D156:E156"/>
    <mergeCell ref="A157:B157"/>
    <mergeCell ref="D157:E157"/>
    <mergeCell ref="A158:B158"/>
    <mergeCell ref="D158:E158"/>
    <mergeCell ref="A151:B151"/>
    <mergeCell ref="D151:E151"/>
    <mergeCell ref="A152:B152"/>
    <mergeCell ref="D152:E152"/>
    <mergeCell ref="A153:B153"/>
    <mergeCell ref="D153:E153"/>
    <mergeCell ref="A148:B148"/>
    <mergeCell ref="D148:E148"/>
    <mergeCell ref="A149:B149"/>
    <mergeCell ref="D149:E149"/>
    <mergeCell ref="A150:B150"/>
    <mergeCell ref="D150:E150"/>
    <mergeCell ref="A143:B143"/>
    <mergeCell ref="D143:E143"/>
    <mergeCell ref="A144:B144"/>
    <mergeCell ref="D144:E144"/>
    <mergeCell ref="A145:B145"/>
    <mergeCell ref="D145:E145"/>
    <mergeCell ref="A142:B142"/>
    <mergeCell ref="D142:E142"/>
    <mergeCell ref="A135:B135"/>
    <mergeCell ref="D135:E135"/>
    <mergeCell ref="A136:B136"/>
    <mergeCell ref="D136:E136"/>
    <mergeCell ref="A137:B137"/>
    <mergeCell ref="D137:E137"/>
    <mergeCell ref="A147:F147"/>
    <mergeCell ref="A133:B133"/>
    <mergeCell ref="D133:E133"/>
    <mergeCell ref="A134:B134"/>
    <mergeCell ref="D134:E134"/>
    <mergeCell ref="A139:F139"/>
    <mergeCell ref="A140:B140"/>
    <mergeCell ref="D140:E140"/>
    <mergeCell ref="A141:B141"/>
    <mergeCell ref="D141:E141"/>
    <mergeCell ref="A130:B130"/>
    <mergeCell ref="D130:E130"/>
    <mergeCell ref="A127:B127"/>
    <mergeCell ref="D127:E127"/>
    <mergeCell ref="A128:B128"/>
    <mergeCell ref="D128:E128"/>
    <mergeCell ref="A129:B129"/>
    <mergeCell ref="D129:E129"/>
    <mergeCell ref="A132:F132"/>
    <mergeCell ref="A122:B122"/>
    <mergeCell ref="D122:E122"/>
    <mergeCell ref="A124:F124"/>
    <mergeCell ref="A125:B125"/>
    <mergeCell ref="D125:E125"/>
    <mergeCell ref="A126:B126"/>
    <mergeCell ref="D126:E126"/>
    <mergeCell ref="A119:B119"/>
    <mergeCell ref="D119:E119"/>
    <mergeCell ref="A120:B120"/>
    <mergeCell ref="D120:E120"/>
    <mergeCell ref="A121:B121"/>
    <mergeCell ref="D121:E121"/>
    <mergeCell ref="A114:B114"/>
    <mergeCell ref="D114:E114"/>
    <mergeCell ref="A116:F116"/>
    <mergeCell ref="A117:B117"/>
    <mergeCell ref="D117:E117"/>
    <mergeCell ref="A118:B118"/>
    <mergeCell ref="D118:E118"/>
    <mergeCell ref="A109:B109"/>
    <mergeCell ref="D109:E109"/>
    <mergeCell ref="A111:F111"/>
    <mergeCell ref="A112:B112"/>
    <mergeCell ref="D112:E112"/>
    <mergeCell ref="A113:B113"/>
    <mergeCell ref="D113:E113"/>
    <mergeCell ref="A106:B106"/>
    <mergeCell ref="D106:E106"/>
    <mergeCell ref="A107:B107"/>
    <mergeCell ref="D107:E107"/>
    <mergeCell ref="A108:B108"/>
    <mergeCell ref="D108:E108"/>
    <mergeCell ref="A101:B101"/>
    <mergeCell ref="D101:E101"/>
    <mergeCell ref="A103:F103"/>
    <mergeCell ref="A104:B104"/>
    <mergeCell ref="D104:E104"/>
    <mergeCell ref="A105:B105"/>
    <mergeCell ref="D105:E105"/>
    <mergeCell ref="A98:B98"/>
    <mergeCell ref="D98:E98"/>
    <mergeCell ref="A99:B99"/>
    <mergeCell ref="D99:E99"/>
    <mergeCell ref="A100:B100"/>
    <mergeCell ref="D100:E100"/>
    <mergeCell ref="A95:B95"/>
    <mergeCell ref="D95:E95"/>
    <mergeCell ref="A96:B96"/>
    <mergeCell ref="D96:E96"/>
    <mergeCell ref="A97:B97"/>
    <mergeCell ref="D97:E97"/>
    <mergeCell ref="A88:B88"/>
    <mergeCell ref="D88:E88"/>
    <mergeCell ref="A89:B89"/>
    <mergeCell ref="D89:E89"/>
    <mergeCell ref="A93:F93"/>
    <mergeCell ref="A94:B94"/>
    <mergeCell ref="D94:E94"/>
    <mergeCell ref="A81:B81"/>
    <mergeCell ref="D81:E81"/>
    <mergeCell ref="A82:B82"/>
    <mergeCell ref="D82:E82"/>
    <mergeCell ref="A86:F86"/>
    <mergeCell ref="A87:B87"/>
    <mergeCell ref="D87:E87"/>
    <mergeCell ref="A83:B83"/>
    <mergeCell ref="A84:B84"/>
    <mergeCell ref="D83:E83"/>
    <mergeCell ref="D84:E84"/>
    <mergeCell ref="A90:B90"/>
    <mergeCell ref="D90:E90"/>
    <mergeCell ref="A91:B91"/>
    <mergeCell ref="D91:E91"/>
    <mergeCell ref="A76:B76"/>
    <mergeCell ref="D76:E76"/>
    <mergeCell ref="A77:B77"/>
    <mergeCell ref="D77:E77"/>
    <mergeCell ref="A79:F79"/>
    <mergeCell ref="A80:B80"/>
    <mergeCell ref="D80:E80"/>
    <mergeCell ref="A72:F72"/>
    <mergeCell ref="A73:B73"/>
    <mergeCell ref="D73:E73"/>
    <mergeCell ref="A74:B74"/>
    <mergeCell ref="D74:E74"/>
    <mergeCell ref="A75:B75"/>
    <mergeCell ref="D75:E75"/>
    <mergeCell ref="A68:B68"/>
    <mergeCell ref="D68:E68"/>
    <mergeCell ref="A69:B69"/>
    <mergeCell ref="D69:E69"/>
    <mergeCell ref="A70:B70"/>
    <mergeCell ref="D70:E70"/>
    <mergeCell ref="A63:B63"/>
    <mergeCell ref="D63:E63"/>
    <mergeCell ref="A65:F65"/>
    <mergeCell ref="A66:B66"/>
    <mergeCell ref="D66:E66"/>
    <mergeCell ref="A67:B67"/>
    <mergeCell ref="D67:E67"/>
    <mergeCell ref="A60:B60"/>
    <mergeCell ref="D60:E60"/>
    <mergeCell ref="A61:B61"/>
    <mergeCell ref="D61:E61"/>
    <mergeCell ref="A62:B62"/>
    <mergeCell ref="D62:E62"/>
    <mergeCell ref="A56:F56"/>
    <mergeCell ref="A57:B57"/>
    <mergeCell ref="D57:E57"/>
    <mergeCell ref="A58:B58"/>
    <mergeCell ref="D58:E58"/>
    <mergeCell ref="A59:B59"/>
    <mergeCell ref="D59:E59"/>
    <mergeCell ref="A52:B52"/>
    <mergeCell ref="D52:E52"/>
    <mergeCell ref="A53:B53"/>
    <mergeCell ref="D53:E53"/>
    <mergeCell ref="A54:B54"/>
    <mergeCell ref="D54:E54"/>
    <mergeCell ref="A49:B49"/>
    <mergeCell ref="D49:E49"/>
    <mergeCell ref="A50:B50"/>
    <mergeCell ref="D50:E50"/>
    <mergeCell ref="A51:B51"/>
    <mergeCell ref="D51:E51"/>
    <mergeCell ref="A45:F45"/>
    <mergeCell ref="A46:B46"/>
    <mergeCell ref="D46:E46"/>
    <mergeCell ref="A47:B47"/>
    <mergeCell ref="D47:E47"/>
    <mergeCell ref="A48:B48"/>
    <mergeCell ref="D48:E48"/>
    <mergeCell ref="A40:F40"/>
    <mergeCell ref="A41:B41"/>
    <mergeCell ref="D41:E41"/>
    <mergeCell ref="A42:B42"/>
    <mergeCell ref="D42:E42"/>
    <mergeCell ref="A43:B43"/>
    <mergeCell ref="D43:E43"/>
    <mergeCell ref="A36:B36"/>
    <mergeCell ref="D36:E36"/>
    <mergeCell ref="A37:B37"/>
    <mergeCell ref="D37:E37"/>
    <mergeCell ref="A38:B38"/>
    <mergeCell ref="D38:E38"/>
    <mergeCell ref="A33:B33"/>
    <mergeCell ref="D33:E33"/>
    <mergeCell ref="A34:B34"/>
    <mergeCell ref="D34:E34"/>
    <mergeCell ref="A35:B35"/>
    <mergeCell ref="D35:E35"/>
    <mergeCell ref="A30:B30"/>
    <mergeCell ref="D30:E30"/>
    <mergeCell ref="A31:B31"/>
    <mergeCell ref="D31:E31"/>
    <mergeCell ref="A32:B32"/>
    <mergeCell ref="D32:E32"/>
    <mergeCell ref="A27:F27"/>
    <mergeCell ref="A28:B28"/>
    <mergeCell ref="D28:E28"/>
    <mergeCell ref="A29:B29"/>
    <mergeCell ref="D29:E29"/>
    <mergeCell ref="A22:F22"/>
    <mergeCell ref="A23:B23"/>
    <mergeCell ref="D23:E23"/>
    <mergeCell ref="A24:B24"/>
    <mergeCell ref="D24:E24"/>
    <mergeCell ref="A25:B25"/>
    <mergeCell ref="D25:E25"/>
    <mergeCell ref="A19:B19"/>
    <mergeCell ref="D19:E19"/>
    <mergeCell ref="A20:B20"/>
    <mergeCell ref="D20:E20"/>
    <mergeCell ref="A17:F17"/>
    <mergeCell ref="A18:B18"/>
    <mergeCell ref="D18:E18"/>
    <mergeCell ref="A9:B9"/>
    <mergeCell ref="D9:E9"/>
    <mergeCell ref="A10:B10"/>
    <mergeCell ref="D10:E10"/>
    <mergeCell ref="A12:F12"/>
    <mergeCell ref="A13:B13"/>
    <mergeCell ref="D13:E13"/>
    <mergeCell ref="B5:F5"/>
    <mergeCell ref="A6:B6"/>
    <mergeCell ref="D6:E6"/>
    <mergeCell ref="A7:F7"/>
    <mergeCell ref="A8:B8"/>
    <mergeCell ref="D8:E8"/>
    <mergeCell ref="A14:B14"/>
    <mergeCell ref="D14:E14"/>
    <mergeCell ref="A15:B15"/>
    <mergeCell ref="D15:E15"/>
  </mergeCells>
  <printOptions horizontalCentered="1"/>
  <pageMargins left="1.1811023622047245" right="0.59055118110236227" top="0.59055118110236227" bottom="0.39370078740157483" header="0.19685039370078741" footer="0.19685039370078741"/>
  <pageSetup scale="80" pageOrder="overThenDown" orientation="portrait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1.pielikums</vt:lpstr>
      <vt:lpstr>2.pielikums</vt:lpstr>
      <vt:lpstr>3.pielikums</vt:lpstr>
      <vt:lpstr>4.pielikums</vt:lpstr>
      <vt:lpstr>6.pielikums</vt:lpstr>
      <vt:lpstr>7.pielikums</vt:lpstr>
      <vt:lpstr>'1.pielikums'!Print_Titles</vt:lpstr>
      <vt:lpstr>'3.pielikums'!Print_Titles</vt:lpstr>
      <vt:lpstr>'4.pielikums'!Print_Titles</vt:lpstr>
      <vt:lpstr>'7.pielikums'!Print_Titles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Pēce</dc:creator>
  <cp:lastModifiedBy>Ināra Krīgere</cp:lastModifiedBy>
  <cp:lastPrinted>2017-11-10T08:42:05Z</cp:lastPrinted>
  <dcterms:created xsi:type="dcterms:W3CDTF">2016-06-01T06:50:59Z</dcterms:created>
  <dcterms:modified xsi:type="dcterms:W3CDTF">2017-11-10T08:53:36Z</dcterms:modified>
</cp:coreProperties>
</file>