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75" windowWidth="11100" windowHeight="4335" tabRatio="800" activeTab="2"/>
  </bookViews>
  <sheets>
    <sheet name="1.pielikums" sheetId="10" r:id="rId1"/>
    <sheet name="2.pielikums" sheetId="7" r:id="rId2"/>
    <sheet name="3.pielikums" sheetId="5" r:id="rId3"/>
    <sheet name="4.pielikums" sheetId="26" r:id="rId4"/>
    <sheet name="5.pielikums" sheetId="28" r:id="rId5"/>
    <sheet name="6.pielikums" sheetId="23" r:id="rId6"/>
    <sheet name="7.pielikums" sheetId="27" r:id="rId7"/>
    <sheet name="8.pielikums" sheetId="29" r:id="rId8"/>
  </sheets>
  <definedNames>
    <definedName name="_xlnm.Print_Titles" localSheetId="0">'1.pielikums'!$8:$8</definedName>
    <definedName name="_xlnm.Print_Titles" localSheetId="2">'3.pielikums'!$7:$8</definedName>
    <definedName name="_xlnm.Print_Titles" localSheetId="3">'4.pielikums'!$7:$7</definedName>
    <definedName name="_xlnm.Print_Titles" localSheetId="4">'5.pielikums'!$A:$A,'5.pielikums'!$5:$6</definedName>
    <definedName name="_xlnm.Print_Titles" localSheetId="6">'7.pielikums'!$7:$7</definedName>
  </definedNames>
  <calcPr calcId="145621"/>
</workbook>
</file>

<file path=xl/calcChain.xml><?xml version="1.0" encoding="utf-8"?>
<calcChain xmlns="http://schemas.openxmlformats.org/spreadsheetml/2006/main">
  <c r="I183" i="28" l="1"/>
  <c r="H183" i="28"/>
  <c r="H184" i="28" l="1"/>
  <c r="X175" i="28" l="1"/>
  <c r="X176" i="28"/>
  <c r="E16" i="29" l="1"/>
  <c r="D16" i="29"/>
  <c r="C16" i="29"/>
  <c r="D10" i="29"/>
  <c r="E10" i="29"/>
  <c r="C10" i="29"/>
  <c r="E8" i="29"/>
  <c r="D8" i="29"/>
  <c r="C8" i="29"/>
  <c r="L196" i="28" l="1"/>
  <c r="L174" i="28" l="1"/>
  <c r="L19" i="28"/>
  <c r="F210" i="28" l="1"/>
  <c r="I204" i="28"/>
  <c r="W203" i="28"/>
  <c r="V203" i="28"/>
  <c r="U203" i="28"/>
  <c r="T203" i="28"/>
  <c r="S203" i="28"/>
  <c r="R203" i="28"/>
  <c r="Q203" i="28"/>
  <c r="P203" i="28"/>
  <c r="O203" i="28"/>
  <c r="N203" i="28"/>
  <c r="M203" i="28"/>
  <c r="L203" i="28"/>
  <c r="K203" i="28"/>
  <c r="J203" i="28"/>
  <c r="I203" i="28"/>
  <c r="H203" i="28"/>
  <c r="W202" i="28"/>
  <c r="W204" i="28" s="1"/>
  <c r="V202" i="28"/>
  <c r="U202" i="28"/>
  <c r="U204" i="28" s="1"/>
  <c r="T202" i="28"/>
  <c r="T204" i="28" s="1"/>
  <c r="S202" i="28"/>
  <c r="S204" i="28" s="1"/>
  <c r="R202" i="28"/>
  <c r="R204" i="28" s="1"/>
  <c r="Q202" i="28"/>
  <c r="Q204" i="28" s="1"/>
  <c r="P202" i="28"/>
  <c r="P204" i="28" s="1"/>
  <c r="O202" i="28"/>
  <c r="O204" i="28" s="1"/>
  <c r="N202" i="28"/>
  <c r="N204" i="28" s="1"/>
  <c r="L202" i="28"/>
  <c r="L204" i="28" s="1"/>
  <c r="K202" i="28"/>
  <c r="K204" i="28" s="1"/>
  <c r="J202" i="28"/>
  <c r="J204" i="28" s="1"/>
  <c r="I202" i="28"/>
  <c r="X201" i="28"/>
  <c r="X200" i="28"/>
  <c r="X199" i="28"/>
  <c r="X198" i="28"/>
  <c r="X197" i="28"/>
  <c r="X196" i="28"/>
  <c r="M202" i="28"/>
  <c r="M204" i="28" s="1"/>
  <c r="H202" i="28"/>
  <c r="X195" i="28"/>
  <c r="X194" i="28"/>
  <c r="X193" i="28"/>
  <c r="X203" i="28" s="1"/>
  <c r="X192" i="28"/>
  <c r="W184" i="28"/>
  <c r="W208" i="28" s="1"/>
  <c r="V184" i="28"/>
  <c r="V208" i="28" s="1"/>
  <c r="U184" i="28"/>
  <c r="U208" i="28" s="1"/>
  <c r="T184" i="28"/>
  <c r="T208" i="28" s="1"/>
  <c r="S184" i="28"/>
  <c r="S208" i="28" s="1"/>
  <c r="R184" i="28"/>
  <c r="R208" i="28" s="1"/>
  <c r="Q184" i="28"/>
  <c r="Q208" i="28" s="1"/>
  <c r="P184" i="28"/>
  <c r="P208" i="28" s="1"/>
  <c r="O184" i="28"/>
  <c r="O208" i="28" s="1"/>
  <c r="N184" i="28"/>
  <c r="N208" i="28" s="1"/>
  <c r="L184" i="28"/>
  <c r="K184" i="28"/>
  <c r="K208" i="28" s="1"/>
  <c r="J184" i="28"/>
  <c r="J208" i="28" s="1"/>
  <c r="I184" i="28"/>
  <c r="I208" i="28" s="1"/>
  <c r="W183" i="28"/>
  <c r="W207" i="28" s="1"/>
  <c r="V183" i="28"/>
  <c r="U183" i="28"/>
  <c r="T183" i="28"/>
  <c r="S183" i="28"/>
  <c r="S207" i="28" s="1"/>
  <c r="S209" i="28" s="1"/>
  <c r="S210" i="28" s="1"/>
  <c r="R183" i="28"/>
  <c r="R207" i="28" s="1"/>
  <c r="R209" i="28" s="1"/>
  <c r="R210" i="28" s="1"/>
  <c r="Q183" i="28"/>
  <c r="P183" i="28"/>
  <c r="O183" i="28"/>
  <c r="O207" i="28" s="1"/>
  <c r="O209" i="28" s="1"/>
  <c r="O210" i="28" s="1"/>
  <c r="N183" i="28"/>
  <c r="N207" i="28" s="1"/>
  <c r="N209" i="28" s="1"/>
  <c r="N210" i="28" s="1"/>
  <c r="L183" i="28"/>
  <c r="K183" i="28"/>
  <c r="J183" i="28"/>
  <c r="J207" i="28" s="1"/>
  <c r="J209" i="28" s="1"/>
  <c r="J210" i="28" s="1"/>
  <c r="X182" i="28"/>
  <c r="X181" i="28"/>
  <c r="X180" i="28"/>
  <c r="X179" i="28"/>
  <c r="X178" i="28"/>
  <c r="X177" i="28"/>
  <c r="X174" i="28"/>
  <c r="M184" i="28"/>
  <c r="M208" i="28" s="1"/>
  <c r="X173" i="28"/>
  <c r="X172" i="28"/>
  <c r="X171" i="28"/>
  <c r="X170" i="28"/>
  <c r="X169" i="28"/>
  <c r="X168" i="28"/>
  <c r="X167" i="28"/>
  <c r="X166" i="28"/>
  <c r="X165" i="28"/>
  <c r="X164" i="28"/>
  <c r="X163" i="28"/>
  <c r="X162" i="28"/>
  <c r="X161" i="28"/>
  <c r="X160" i="28"/>
  <c r="X159" i="28"/>
  <c r="X158" i="28"/>
  <c r="X157" i="28"/>
  <c r="X156" i="28"/>
  <c r="X155" i="28"/>
  <c r="X154" i="28"/>
  <c r="X153" i="28"/>
  <c r="X152" i="28"/>
  <c r="X151" i="28"/>
  <c r="X150" i="28"/>
  <c r="X149" i="28"/>
  <c r="X148" i="28"/>
  <c r="X147" i="28"/>
  <c r="X146" i="28"/>
  <c r="X145" i="28"/>
  <c r="X144" i="28"/>
  <c r="X143" i="28"/>
  <c r="X142" i="28"/>
  <c r="X141" i="28"/>
  <c r="X140" i="28"/>
  <c r="X139" i="28"/>
  <c r="X138" i="28"/>
  <c r="X137" i="28"/>
  <c r="X136" i="28"/>
  <c r="X135" i="28"/>
  <c r="X134" i="28"/>
  <c r="X133" i="28"/>
  <c r="X132" i="28"/>
  <c r="X131" i="28"/>
  <c r="X130" i="28"/>
  <c r="X129" i="28"/>
  <c r="X128" i="28"/>
  <c r="X127" i="28"/>
  <c r="X126" i="28"/>
  <c r="X125" i="28"/>
  <c r="X124" i="28"/>
  <c r="X123" i="28"/>
  <c r="X122" i="28"/>
  <c r="X121" i="28"/>
  <c r="X120" i="28"/>
  <c r="X119" i="28"/>
  <c r="X118" i="28"/>
  <c r="X117" i="28"/>
  <c r="X116" i="28"/>
  <c r="X115" i="28"/>
  <c r="X114" i="28"/>
  <c r="X113" i="28"/>
  <c r="X112" i="28"/>
  <c r="X111" i="28"/>
  <c r="X110" i="28"/>
  <c r="X109" i="28"/>
  <c r="X108" i="28"/>
  <c r="X107" i="28"/>
  <c r="X106" i="28"/>
  <c r="X105" i="28"/>
  <c r="X104" i="28"/>
  <c r="X103" i="28"/>
  <c r="X102" i="28"/>
  <c r="X101" i="28"/>
  <c r="X100" i="28"/>
  <c r="X99" i="28"/>
  <c r="X98" i="28"/>
  <c r="X97" i="28"/>
  <c r="X96" i="28"/>
  <c r="X95" i="28"/>
  <c r="X94" i="28"/>
  <c r="X93" i="28"/>
  <c r="X92" i="28"/>
  <c r="X91" i="28"/>
  <c r="X90" i="28"/>
  <c r="X89" i="28"/>
  <c r="X88" i="28"/>
  <c r="X87" i="28"/>
  <c r="X86" i="28"/>
  <c r="X85" i="28"/>
  <c r="X84" i="28"/>
  <c r="X83" i="28"/>
  <c r="X82" i="28"/>
  <c r="X81" i="28"/>
  <c r="X80" i="28"/>
  <c r="X79" i="28"/>
  <c r="X78" i="28"/>
  <c r="X77" i="28"/>
  <c r="X76" i="28"/>
  <c r="X75" i="28"/>
  <c r="X74" i="28"/>
  <c r="X73" i="28"/>
  <c r="X72" i="28"/>
  <c r="X70" i="28"/>
  <c r="X69" i="28"/>
  <c r="X68" i="28"/>
  <c r="X67" i="28"/>
  <c r="X66" i="28"/>
  <c r="X65" i="28"/>
  <c r="X64" i="28"/>
  <c r="X63" i="28"/>
  <c r="X62" i="28"/>
  <c r="X61" i="28"/>
  <c r="X60" i="28"/>
  <c r="X59" i="28"/>
  <c r="X58" i="28"/>
  <c r="X57" i="28"/>
  <c r="X56" i="28"/>
  <c r="X55" i="28"/>
  <c r="X54" i="28"/>
  <c r="X53" i="28"/>
  <c r="X52" i="28"/>
  <c r="X51" i="28"/>
  <c r="X50" i="28"/>
  <c r="X49" i="28"/>
  <c r="X48" i="28"/>
  <c r="X47" i="28"/>
  <c r="X46" i="28"/>
  <c r="X45" i="28"/>
  <c r="X44" i="28"/>
  <c r="X43" i="28"/>
  <c r="X42" i="28"/>
  <c r="X41" i="28"/>
  <c r="X40" i="28"/>
  <c r="X39" i="28"/>
  <c r="X38" i="28"/>
  <c r="X37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4" i="28"/>
  <c r="X23" i="28"/>
  <c r="X22" i="28"/>
  <c r="X21" i="28"/>
  <c r="X20" i="28"/>
  <c r="X19" i="28"/>
  <c r="M183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I6" i="28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P188" i="28" l="1"/>
  <c r="R188" i="28"/>
  <c r="W209" i="28"/>
  <c r="W210" i="28" s="1"/>
  <c r="T188" i="28"/>
  <c r="X183" i="28"/>
  <c r="N185" i="28"/>
  <c r="N186" i="28" s="1"/>
  <c r="V204" i="28"/>
  <c r="V207" i="28"/>
  <c r="V209" i="28" s="1"/>
  <c r="V210" i="28" s="1"/>
  <c r="K207" i="28"/>
  <c r="K209" i="28" s="1"/>
  <c r="K210" i="28" s="1"/>
  <c r="H208" i="28"/>
  <c r="X208" i="28" s="1"/>
  <c r="L208" i="28"/>
  <c r="X202" i="28"/>
  <c r="H204" i="28"/>
  <c r="L188" i="28"/>
  <c r="Q188" i="28"/>
  <c r="U188" i="28"/>
  <c r="R185" i="28"/>
  <c r="R186" i="28" s="1"/>
  <c r="V188" i="28"/>
  <c r="V185" i="28"/>
  <c r="V186" i="28" s="1"/>
  <c r="X184" i="28"/>
  <c r="J185" i="28"/>
  <c r="J186" i="28" s="1"/>
  <c r="J188" i="28"/>
  <c r="H185" i="28"/>
  <c r="H186" i="28" s="1"/>
  <c r="H207" i="28"/>
  <c r="M188" i="28"/>
  <c r="M185" i="28"/>
  <c r="M186" i="28" s="1"/>
  <c r="N188" i="28"/>
  <c r="M207" i="28"/>
  <c r="M209" i="28" s="1"/>
  <c r="M210" i="28" s="1"/>
  <c r="I188" i="28"/>
  <c r="X204" i="28"/>
  <c r="P207" i="28"/>
  <c r="P209" i="28" s="1"/>
  <c r="P210" i="28" s="1"/>
  <c r="T207" i="28"/>
  <c r="T209" i="28" s="1"/>
  <c r="T210" i="28" s="1"/>
  <c r="X71" i="28"/>
  <c r="K185" i="28"/>
  <c r="K186" i="28" s="1"/>
  <c r="O185" i="28"/>
  <c r="O186" i="28" s="1"/>
  <c r="S185" i="28"/>
  <c r="S186" i="28" s="1"/>
  <c r="W185" i="28"/>
  <c r="W186" i="28" s="1"/>
  <c r="K188" i="28"/>
  <c r="O188" i="28"/>
  <c r="S188" i="28"/>
  <c r="I207" i="28"/>
  <c r="I209" i="28" s="1"/>
  <c r="I210" i="28" s="1"/>
  <c r="Q207" i="28"/>
  <c r="Q209" i="28" s="1"/>
  <c r="Q210" i="28" s="1"/>
  <c r="U207" i="28"/>
  <c r="U209" i="28" s="1"/>
  <c r="U210" i="28" s="1"/>
  <c r="L207" i="28"/>
  <c r="L185" i="28"/>
  <c r="L186" i="28" s="1"/>
  <c r="P185" i="28"/>
  <c r="P186" i="28" s="1"/>
  <c r="T185" i="28"/>
  <c r="T186" i="28" s="1"/>
  <c r="I185" i="28"/>
  <c r="I186" i="28" s="1"/>
  <c r="Q185" i="28"/>
  <c r="Q186" i="28" s="1"/>
  <c r="U185" i="28"/>
  <c r="U186" i="28" s="1"/>
  <c r="E27" i="23"/>
  <c r="D27" i="23"/>
  <c r="F22" i="23"/>
  <c r="F17" i="23"/>
  <c r="D17" i="23"/>
  <c r="E17" i="23"/>
  <c r="C17" i="23"/>
  <c r="F9" i="23"/>
  <c r="F11" i="23"/>
  <c r="L209" i="28" l="1"/>
  <c r="L210" i="28" s="1"/>
  <c r="X185" i="28"/>
  <c r="H209" i="28"/>
  <c r="H210" i="28" s="1"/>
  <c r="X207" i="28"/>
  <c r="X209" i="28" s="1"/>
  <c r="F33" i="5"/>
  <c r="D70" i="5"/>
  <c r="D69" i="5"/>
  <c r="D58" i="5"/>
  <c r="C55" i="10"/>
  <c r="C185" i="5" l="1"/>
  <c r="E132" i="5"/>
  <c r="D132" i="5"/>
  <c r="D21" i="5"/>
  <c r="C65" i="10"/>
  <c r="D142" i="5" l="1"/>
  <c r="H142" i="5" l="1"/>
  <c r="H144" i="5"/>
  <c r="C49" i="5"/>
  <c r="D121" i="5"/>
  <c r="H121" i="5"/>
  <c r="C71" i="10"/>
  <c r="E136" i="5" l="1"/>
  <c r="F136" i="5"/>
  <c r="C70" i="10"/>
  <c r="C54" i="10"/>
  <c r="C123" i="5"/>
  <c r="H122" i="5"/>
  <c r="C122" i="5" s="1"/>
  <c r="C121" i="5"/>
  <c r="C74" i="10"/>
  <c r="H173" i="5" l="1"/>
  <c r="H169" i="5"/>
  <c r="H168" i="5"/>
  <c r="H154" i="5"/>
  <c r="H151" i="5"/>
  <c r="H148" i="5"/>
  <c r="H147" i="5"/>
  <c r="H131" i="5" l="1"/>
  <c r="H130" i="5"/>
  <c r="H127" i="5"/>
  <c r="H114" i="5"/>
  <c r="H94" i="5"/>
  <c r="H132" i="5"/>
  <c r="E68" i="5"/>
  <c r="F68" i="5"/>
  <c r="G68" i="5"/>
  <c r="H68" i="5"/>
  <c r="D68" i="5"/>
  <c r="C75" i="5"/>
  <c r="C45" i="5"/>
  <c r="E42" i="5"/>
  <c r="F42" i="5"/>
  <c r="G42" i="5"/>
  <c r="H42" i="5"/>
  <c r="D42" i="5"/>
  <c r="D94" i="5"/>
  <c r="E89" i="5"/>
  <c r="F89" i="5"/>
  <c r="G89" i="5"/>
  <c r="H89" i="5"/>
  <c r="D89" i="5"/>
  <c r="C92" i="5"/>
  <c r="E83" i="5"/>
  <c r="F83" i="5"/>
  <c r="G83" i="5"/>
  <c r="H83" i="5"/>
  <c r="D83" i="5"/>
  <c r="C87" i="5"/>
  <c r="D76" i="5"/>
  <c r="D61" i="5"/>
  <c r="E19" i="5" l="1"/>
  <c r="F19" i="5"/>
  <c r="G19" i="5"/>
  <c r="H19" i="5"/>
  <c r="D19" i="5"/>
  <c r="C19" i="5" l="1"/>
  <c r="C62" i="5"/>
  <c r="C21" i="5"/>
  <c r="C74" i="5"/>
  <c r="C69" i="10"/>
  <c r="C28" i="10" l="1"/>
  <c r="F26" i="23" l="1"/>
  <c r="F25" i="23"/>
  <c r="F24" i="23"/>
  <c r="F23" i="23"/>
  <c r="E22" i="23"/>
  <c r="D22" i="23"/>
  <c r="C22" i="23"/>
  <c r="F21" i="23"/>
  <c r="F20" i="23"/>
  <c r="F19" i="23"/>
  <c r="F18" i="23"/>
  <c r="F12" i="23"/>
  <c r="C27" i="23" l="1"/>
  <c r="F27" i="23" l="1"/>
  <c r="H146" i="5" l="1"/>
  <c r="H134" i="5"/>
  <c r="E146" i="5"/>
  <c r="F146" i="5"/>
  <c r="G146" i="5"/>
  <c r="D146" i="5"/>
  <c r="C152" i="5"/>
  <c r="E134" i="5"/>
  <c r="F134" i="5"/>
  <c r="G134" i="5"/>
  <c r="D134" i="5"/>
  <c r="C137" i="5"/>
  <c r="E179" i="5" l="1"/>
  <c r="F179" i="5"/>
  <c r="G179" i="5"/>
  <c r="H179" i="5"/>
  <c r="D179" i="5"/>
  <c r="D21" i="7" s="1"/>
  <c r="E26" i="7"/>
  <c r="F26" i="7"/>
  <c r="G26" i="7"/>
  <c r="H26" i="7"/>
  <c r="D26" i="7"/>
  <c r="E25" i="7"/>
  <c r="F25" i="7"/>
  <c r="G25" i="7"/>
  <c r="H25" i="7"/>
  <c r="D25" i="7"/>
  <c r="C184" i="5"/>
  <c r="C183" i="5"/>
  <c r="H23" i="7"/>
  <c r="E23" i="7"/>
  <c r="F23" i="7"/>
  <c r="G23" i="7"/>
  <c r="C26" i="7" l="1"/>
  <c r="C25" i="7"/>
  <c r="C47" i="10" l="1"/>
  <c r="D24" i="5" l="1"/>
  <c r="C27" i="7" l="1"/>
  <c r="C124" i="5"/>
  <c r="C97" i="5"/>
  <c r="C26" i="5"/>
  <c r="C18" i="5"/>
  <c r="D35" i="5"/>
  <c r="C135" i="5"/>
  <c r="D46" i="5"/>
  <c r="C38" i="10"/>
  <c r="C36" i="10" s="1"/>
  <c r="C53" i="10"/>
  <c r="C52" i="10" s="1"/>
  <c r="H11" i="5"/>
  <c r="C148" i="5"/>
  <c r="H120" i="5"/>
  <c r="E93" i="5"/>
  <c r="C91" i="5"/>
  <c r="C90" i="5"/>
  <c r="F129" i="5"/>
  <c r="E129" i="5"/>
  <c r="E61" i="5"/>
  <c r="F61" i="5"/>
  <c r="G61" i="5"/>
  <c r="H61" i="5"/>
  <c r="E11" i="5"/>
  <c r="F11" i="5"/>
  <c r="G11" i="5"/>
  <c r="D11" i="5"/>
  <c r="C14" i="5"/>
  <c r="C13" i="5"/>
  <c r="D172" i="5"/>
  <c r="C94" i="5"/>
  <c r="F120" i="5"/>
  <c r="C174" i="5"/>
  <c r="D113" i="5"/>
  <c r="C23" i="10"/>
  <c r="D164" i="5"/>
  <c r="E120" i="5"/>
  <c r="G120" i="5"/>
  <c r="D153" i="5"/>
  <c r="C173" i="5"/>
  <c r="C131" i="5"/>
  <c r="H126" i="5"/>
  <c r="C114" i="5"/>
  <c r="E113" i="5"/>
  <c r="F113" i="5"/>
  <c r="G113" i="5"/>
  <c r="C72" i="10"/>
  <c r="C63" i="10"/>
  <c r="C58" i="10"/>
  <c r="C45" i="10"/>
  <c r="C41" i="10"/>
  <c r="C20" i="10"/>
  <c r="C14" i="10"/>
  <c r="C11" i="10"/>
  <c r="D177" i="5"/>
  <c r="F93" i="5"/>
  <c r="G93" i="5"/>
  <c r="H93" i="5"/>
  <c r="D93" i="5"/>
  <c r="C143" i="5"/>
  <c r="C117" i="5"/>
  <c r="C63" i="5"/>
  <c r="D141" i="5"/>
  <c r="E46" i="5"/>
  <c r="F46" i="5"/>
  <c r="G46" i="5"/>
  <c r="H46" i="5"/>
  <c r="C55" i="5"/>
  <c r="E35" i="5"/>
  <c r="F35" i="5"/>
  <c r="G35" i="5"/>
  <c r="H35" i="5"/>
  <c r="H34" i="5" s="1"/>
  <c r="H12" i="7" s="1"/>
  <c r="C41" i="5"/>
  <c r="C40" i="5"/>
  <c r="C116" i="5"/>
  <c r="C52" i="5"/>
  <c r="D31" i="5"/>
  <c r="D29" i="5" s="1"/>
  <c r="C25" i="5"/>
  <c r="E153" i="5"/>
  <c r="E156" i="5"/>
  <c r="E164" i="5"/>
  <c r="E172" i="5"/>
  <c r="F153" i="5"/>
  <c r="F156" i="5"/>
  <c r="F164" i="5"/>
  <c r="F172" i="5"/>
  <c r="G153" i="5"/>
  <c r="G156" i="5"/>
  <c r="G164" i="5"/>
  <c r="G172" i="5"/>
  <c r="H153" i="5"/>
  <c r="H156" i="5"/>
  <c r="H164" i="5"/>
  <c r="D98" i="5"/>
  <c r="D102" i="5"/>
  <c r="D107" i="5"/>
  <c r="D15" i="5"/>
  <c r="D10" i="5" s="1"/>
  <c r="D126" i="5"/>
  <c r="D138" i="5"/>
  <c r="D57" i="5"/>
  <c r="D56" i="5" s="1"/>
  <c r="D15" i="7"/>
  <c r="E15" i="5"/>
  <c r="E24" i="5"/>
  <c r="E31" i="5"/>
  <c r="E29" i="5" s="1"/>
  <c r="E11" i="7" s="1"/>
  <c r="E57" i="5"/>
  <c r="E65" i="5"/>
  <c r="E14" i="7" s="1"/>
  <c r="E95" i="5"/>
  <c r="E98" i="5"/>
  <c r="E102" i="5"/>
  <c r="E107" i="5"/>
  <c r="E126" i="5"/>
  <c r="E138" i="5"/>
  <c r="E141" i="5"/>
  <c r="E76" i="5"/>
  <c r="E15" i="7" s="1"/>
  <c r="F15" i="5"/>
  <c r="F24" i="5"/>
  <c r="F31" i="5"/>
  <c r="F29" i="5" s="1"/>
  <c r="F11" i="7" s="1"/>
  <c r="F57" i="5"/>
  <c r="F65" i="5"/>
  <c r="F14" i="7" s="1"/>
  <c r="F95" i="5"/>
  <c r="F98" i="5"/>
  <c r="F102" i="5"/>
  <c r="F107" i="5"/>
  <c r="F126" i="5"/>
  <c r="F138" i="5"/>
  <c r="F141" i="5"/>
  <c r="F76" i="5"/>
  <c r="F15" i="7" s="1"/>
  <c r="G24" i="5"/>
  <c r="G15" i="5"/>
  <c r="G126" i="5"/>
  <c r="G129" i="5"/>
  <c r="G138" i="5"/>
  <c r="G141" i="5"/>
  <c r="G31" i="5"/>
  <c r="G29" i="5" s="1"/>
  <c r="G11" i="7" s="1"/>
  <c r="G57" i="5"/>
  <c r="G65" i="5"/>
  <c r="G14" i="7" s="1"/>
  <c r="G95" i="5"/>
  <c r="G98" i="5"/>
  <c r="G102" i="5"/>
  <c r="G107" i="5"/>
  <c r="G76" i="5"/>
  <c r="G15" i="7" s="1"/>
  <c r="H141" i="5"/>
  <c r="H138" i="5"/>
  <c r="H24" i="5"/>
  <c r="H15" i="5"/>
  <c r="H31" i="5"/>
  <c r="H29" i="5" s="1"/>
  <c r="H11" i="7" s="1"/>
  <c r="H57" i="5"/>
  <c r="H65" i="5"/>
  <c r="H14" i="7" s="1"/>
  <c r="H95" i="5"/>
  <c r="H98" i="5"/>
  <c r="H102" i="5"/>
  <c r="H107" i="5"/>
  <c r="H76" i="5"/>
  <c r="H15" i="7" s="1"/>
  <c r="E177" i="5"/>
  <c r="F21" i="7"/>
  <c r="G177" i="5"/>
  <c r="H177" i="5"/>
  <c r="H21" i="7"/>
  <c r="C133" i="5"/>
  <c r="C125" i="5"/>
  <c r="C81" i="5"/>
  <c r="C77" i="5"/>
  <c r="C78" i="5"/>
  <c r="C79" i="5"/>
  <c r="C80" i="5"/>
  <c r="C44" i="5"/>
  <c r="C39" i="5"/>
  <c r="C176" i="5"/>
  <c r="C22" i="5"/>
  <c r="C171" i="5"/>
  <c r="C115" i="5"/>
  <c r="C100" i="5"/>
  <c r="C54" i="5"/>
  <c r="C33" i="5"/>
  <c r="C73" i="5"/>
  <c r="D23" i="7"/>
  <c r="C23" i="7" s="1"/>
  <c r="C161" i="5"/>
  <c r="C53" i="5"/>
  <c r="D20" i="7"/>
  <c r="F20" i="7"/>
  <c r="H20" i="7"/>
  <c r="E20" i="7"/>
  <c r="G20" i="7"/>
  <c r="C37" i="5"/>
  <c r="C160" i="5"/>
  <c r="C144" i="5"/>
  <c r="C105" i="5"/>
  <c r="C50" i="5"/>
  <c r="C181" i="5"/>
  <c r="C51" i="5"/>
  <c r="C16" i="5"/>
  <c r="C17" i="5"/>
  <c r="H24" i="7"/>
  <c r="E24" i="7"/>
  <c r="F24" i="7"/>
  <c r="G24" i="7"/>
  <c r="D24" i="7"/>
  <c r="E22" i="7"/>
  <c r="F22" i="7"/>
  <c r="G22" i="7"/>
  <c r="H22" i="7"/>
  <c r="D22" i="7"/>
  <c r="C139" i="5"/>
  <c r="C140" i="5"/>
  <c r="C109" i="5"/>
  <c r="C110" i="5"/>
  <c r="C111" i="5"/>
  <c r="C101" i="5"/>
  <c r="C96" i="5"/>
  <c r="C99" i="5"/>
  <c r="C127" i="5"/>
  <c r="C162" i="5"/>
  <c r="C20" i="5"/>
  <c r="C23" i="5"/>
  <c r="C27" i="5"/>
  <c r="C180" i="5"/>
  <c r="C159" i="5"/>
  <c r="C72" i="5"/>
  <c r="C66" i="5"/>
  <c r="C43" i="5"/>
  <c r="C142" i="5"/>
  <c r="C48" i="5"/>
  <c r="C130" i="5"/>
  <c r="C136" i="5"/>
  <c r="C165" i="5"/>
  <c r="C167" i="5"/>
  <c r="C168" i="5"/>
  <c r="C169" i="5"/>
  <c r="C170" i="5"/>
  <c r="C157" i="5"/>
  <c r="C154" i="5"/>
  <c r="C155" i="5"/>
  <c r="C147" i="5"/>
  <c r="C149" i="5"/>
  <c r="C150" i="5"/>
  <c r="C163" i="5"/>
  <c r="C182" i="5"/>
  <c r="C30" i="5"/>
  <c r="C32" i="5"/>
  <c r="C47" i="5"/>
  <c r="C58" i="5"/>
  <c r="C59" i="5"/>
  <c r="C60" i="5"/>
  <c r="C67" i="5"/>
  <c r="C69" i="5"/>
  <c r="C70" i="5"/>
  <c r="C71" i="5"/>
  <c r="C84" i="5"/>
  <c r="C85" i="5"/>
  <c r="C86" i="5"/>
  <c r="C103" i="5"/>
  <c r="C104" i="5"/>
  <c r="C106" i="5"/>
  <c r="C108" i="5"/>
  <c r="D129" i="5"/>
  <c r="C128" i="5"/>
  <c r="C38" i="5"/>
  <c r="C178" i="5"/>
  <c r="C158" i="5"/>
  <c r="D156" i="5"/>
  <c r="C175" i="5"/>
  <c r="H172" i="5"/>
  <c r="C118" i="5"/>
  <c r="H113" i="5"/>
  <c r="C151" i="5"/>
  <c r="C12" i="5"/>
  <c r="C36" i="5"/>
  <c r="D95" i="5"/>
  <c r="G21" i="7"/>
  <c r="C28" i="5"/>
  <c r="C61" i="10" l="1"/>
  <c r="C60" i="10" s="1"/>
  <c r="F10" i="5"/>
  <c r="F10" i="7" s="1"/>
  <c r="E10" i="5"/>
  <c r="H10" i="5"/>
  <c r="G10" i="5"/>
  <c r="C61" i="5"/>
  <c r="C42" i="5"/>
  <c r="F56" i="5"/>
  <c r="F13" i="7" s="1"/>
  <c r="H56" i="5"/>
  <c r="H13" i="7" s="1"/>
  <c r="E56" i="5"/>
  <c r="E13" i="7" s="1"/>
  <c r="F88" i="5"/>
  <c r="F82" i="5" s="1"/>
  <c r="F16" i="7" s="1"/>
  <c r="C164" i="5"/>
  <c r="E34" i="5"/>
  <c r="E12" i="7" s="1"/>
  <c r="C15" i="5"/>
  <c r="G19" i="7"/>
  <c r="C138" i="5"/>
  <c r="C95" i="5"/>
  <c r="H19" i="7"/>
  <c r="C102" i="5"/>
  <c r="F19" i="7"/>
  <c r="C24" i="7"/>
  <c r="E145" i="5"/>
  <c r="E18" i="7" s="1"/>
  <c r="D145" i="5"/>
  <c r="D18" i="7" s="1"/>
  <c r="F119" i="5"/>
  <c r="F112" i="5" s="1"/>
  <c r="F17" i="7" s="1"/>
  <c r="H119" i="5"/>
  <c r="C15" i="7"/>
  <c r="G56" i="5"/>
  <c r="G13" i="7" s="1"/>
  <c r="C126" i="5"/>
  <c r="D88" i="5"/>
  <c r="D82" i="5" s="1"/>
  <c r="F145" i="5"/>
  <c r="F18" i="7" s="1"/>
  <c r="C134" i="5"/>
  <c r="G145" i="5"/>
  <c r="G18" i="7" s="1"/>
  <c r="H145" i="5"/>
  <c r="H18" i="7" s="1"/>
  <c r="C156" i="5"/>
  <c r="C83" i="5"/>
  <c r="C141" i="5"/>
  <c r="C107" i="5"/>
  <c r="C113" i="5"/>
  <c r="C172" i="5"/>
  <c r="C89" i="5"/>
  <c r="E88" i="5"/>
  <c r="E82" i="5" s="1"/>
  <c r="E16" i="7" s="1"/>
  <c r="C35" i="5"/>
  <c r="C22" i="7"/>
  <c r="C20" i="7"/>
  <c r="C76" i="5"/>
  <c r="G88" i="5"/>
  <c r="G82" i="5" s="1"/>
  <c r="G16" i="7" s="1"/>
  <c r="C24" i="5"/>
  <c r="C46" i="5"/>
  <c r="G34" i="5"/>
  <c r="G12" i="7" s="1"/>
  <c r="F34" i="5"/>
  <c r="F12" i="7" s="1"/>
  <c r="E10" i="7"/>
  <c r="C40" i="10"/>
  <c r="C51" i="10"/>
  <c r="C22" i="10"/>
  <c r="D11" i="7"/>
  <c r="C11" i="7" s="1"/>
  <c r="C29" i="5"/>
  <c r="C11" i="5"/>
  <c r="C68" i="5"/>
  <c r="D65" i="5"/>
  <c r="C153" i="5"/>
  <c r="G119" i="5"/>
  <c r="G112" i="5" s="1"/>
  <c r="G17" i="7" s="1"/>
  <c r="E21" i="7"/>
  <c r="F177" i="5"/>
  <c r="C177" i="5" s="1"/>
  <c r="C98" i="5"/>
  <c r="C10" i="10"/>
  <c r="D120" i="5"/>
  <c r="C31" i="5"/>
  <c r="C179" i="5"/>
  <c r="E119" i="5"/>
  <c r="E112" i="5" s="1"/>
  <c r="E17" i="7" s="1"/>
  <c r="H88" i="5"/>
  <c r="H82" i="5" s="1"/>
  <c r="H16" i="7" s="1"/>
  <c r="H129" i="5"/>
  <c r="D34" i="5"/>
  <c r="C132" i="5"/>
  <c r="C57" i="5"/>
  <c r="C93" i="5"/>
  <c r="C146" i="5"/>
  <c r="C10" i="5" l="1"/>
  <c r="G10" i="7"/>
  <c r="G9" i="7" s="1"/>
  <c r="G28" i="7" s="1"/>
  <c r="C56" i="5"/>
  <c r="H112" i="5"/>
  <c r="H17" i="7" s="1"/>
  <c r="E19" i="7"/>
  <c r="C21" i="7"/>
  <c r="C19" i="7" s="1"/>
  <c r="C19" i="10"/>
  <c r="C9" i="10" s="1"/>
  <c r="C75" i="10" s="1"/>
  <c r="F9" i="7"/>
  <c r="F28" i="7" s="1"/>
  <c r="F9" i="5"/>
  <c r="F186" i="5" s="1"/>
  <c r="C18" i="7"/>
  <c r="C88" i="5"/>
  <c r="C145" i="5"/>
  <c r="C34" i="5"/>
  <c r="D12" i="7"/>
  <c r="C12" i="7" s="1"/>
  <c r="D10" i="7"/>
  <c r="E9" i="5"/>
  <c r="E186" i="5" s="1"/>
  <c r="D19" i="7"/>
  <c r="D14" i="7"/>
  <c r="C14" i="7" s="1"/>
  <c r="C65" i="5"/>
  <c r="D16" i="7"/>
  <c r="C16" i="7" s="1"/>
  <c r="C82" i="5"/>
  <c r="H10" i="7"/>
  <c r="D13" i="7"/>
  <c r="C13" i="7" s="1"/>
  <c r="C120" i="5"/>
  <c r="D119" i="5"/>
  <c r="C129" i="5"/>
  <c r="E9" i="7"/>
  <c r="G9" i="5"/>
  <c r="G186" i="5" s="1"/>
  <c r="E28" i="7" l="1"/>
  <c r="H9" i="5"/>
  <c r="H186" i="5" s="1"/>
  <c r="H9" i="7"/>
  <c r="H28" i="7" s="1"/>
  <c r="C10" i="7"/>
  <c r="C119" i="5"/>
  <c r="D112" i="5"/>
  <c r="C112" i="5" l="1"/>
  <c r="D17" i="7"/>
  <c r="D9" i="5"/>
  <c r="C17" i="7" l="1"/>
  <c r="C9" i="7" s="1"/>
  <c r="C28" i="7" s="1"/>
  <c r="D9" i="7"/>
  <c r="D28" i="7" s="1"/>
  <c r="C9" i="5"/>
  <c r="C186" i="5" s="1"/>
  <c r="D186" i="5"/>
</calcChain>
</file>

<file path=xl/sharedStrings.xml><?xml version="1.0" encoding="utf-8"?>
<sst xmlns="http://schemas.openxmlformats.org/spreadsheetml/2006/main" count="1763" uniqueCount="938">
  <si>
    <t>Azartspēļu nodoklis</t>
  </si>
  <si>
    <t>Valsts nodevas, kuras ieskaita pašvaldību budžetā</t>
  </si>
  <si>
    <t>Pašvaldību nodevas</t>
  </si>
  <si>
    <t>Naudas sodi un sankcijas</t>
  </si>
  <si>
    <t>Pārējie nenodokļu ieņēmumi</t>
  </si>
  <si>
    <t>Ieņēmumi no ēku un būvju īpašuma pārdošanas</t>
  </si>
  <si>
    <t>Ieņēmumi no zemes, meža īpašuma pārdošanas</t>
  </si>
  <si>
    <t>Maksa par izglītības pakalpojumiem</t>
  </si>
  <si>
    <t>Ieņēmumi par dokumentu izsniegšanu un kancelejas pakalpojumiem</t>
  </si>
  <si>
    <t>Ieņēmumi par nomu un īri</t>
  </si>
  <si>
    <t>Vispārējie valdības dienesti</t>
  </si>
  <si>
    <t>Vispārēja rakstura transferti no pašvaldību budžeta pašvaldību budžetam</t>
  </si>
  <si>
    <t>Sabiedriskā kārtība un drošība</t>
  </si>
  <si>
    <t>Ekonomiskā darbība</t>
  </si>
  <si>
    <t>Vides aizsardzība</t>
  </si>
  <si>
    <t>Atpūta, kultūra un reliģija</t>
  </si>
  <si>
    <t>Izglītība</t>
  </si>
  <si>
    <t>Sociālā aizsardzība</t>
  </si>
  <si>
    <t>F40020000</t>
  </si>
  <si>
    <t>Aizņēmumi</t>
  </si>
  <si>
    <t xml:space="preserve">           Pamatbudžeta ieņēmumi</t>
  </si>
  <si>
    <t xml:space="preserve">Iedzīvotāju ienākuma nodoklis </t>
  </si>
  <si>
    <t xml:space="preserve">Nekustamā īpašuma nodoklis </t>
  </si>
  <si>
    <t xml:space="preserve">Nekustamā īpašuma nodoklis par zemi </t>
  </si>
  <si>
    <t xml:space="preserve">Ieņēmumi no uzņēmējdarbības un īpašuma </t>
  </si>
  <si>
    <t xml:space="preserve">Valsts (pašvaldību) nodevas un kancelejas nodevas </t>
  </si>
  <si>
    <t>Valsts budžeta transferti</t>
  </si>
  <si>
    <t>Domes priekšsēdētājs</t>
  </si>
  <si>
    <t>A. Rāviņš</t>
  </si>
  <si>
    <t xml:space="preserve">I. Izdevumi atbilstoši funkcionālajām kategorijām </t>
  </si>
  <si>
    <t>Valdības funkcija</t>
  </si>
  <si>
    <t>01.000.</t>
  </si>
  <si>
    <t>03.000.</t>
  </si>
  <si>
    <t>04.000.</t>
  </si>
  <si>
    <t>05.000.</t>
  </si>
  <si>
    <t>06.000.</t>
  </si>
  <si>
    <t>08.000.</t>
  </si>
  <si>
    <t>09.000.</t>
  </si>
  <si>
    <t>10.000.</t>
  </si>
  <si>
    <t>01.120.</t>
  </si>
  <si>
    <t>01.720.</t>
  </si>
  <si>
    <t>01.110.</t>
  </si>
  <si>
    <t>01.830.</t>
  </si>
  <si>
    <t>01.890.</t>
  </si>
  <si>
    <t>03.110.</t>
  </si>
  <si>
    <t>03.200.</t>
  </si>
  <si>
    <t>04.510.</t>
  </si>
  <si>
    <t>Autotransports</t>
  </si>
  <si>
    <t>01.330.</t>
  </si>
  <si>
    <t>05.100.</t>
  </si>
  <si>
    <t>Atkritumu apsaimniekošana</t>
  </si>
  <si>
    <t>Ielu apgaismošana</t>
  </si>
  <si>
    <t>06.600.</t>
  </si>
  <si>
    <t>II. Finansēšana</t>
  </si>
  <si>
    <t>Resursi izdevumu segšanai</t>
  </si>
  <si>
    <t>08.100.</t>
  </si>
  <si>
    <t>Atpūtas un sporta pasākumi</t>
  </si>
  <si>
    <t>08.200.</t>
  </si>
  <si>
    <t>Kultūra</t>
  </si>
  <si>
    <t>08.210.</t>
  </si>
  <si>
    <t>08.220.</t>
  </si>
  <si>
    <t>08.230.</t>
  </si>
  <si>
    <t>08.240.</t>
  </si>
  <si>
    <t xml:space="preserve">08.290. </t>
  </si>
  <si>
    <t>08.400.</t>
  </si>
  <si>
    <t xml:space="preserve">Finanšu un fiskālā darbība </t>
  </si>
  <si>
    <t>01.831.</t>
  </si>
  <si>
    <t>01.832.</t>
  </si>
  <si>
    <t>01.833.</t>
  </si>
  <si>
    <t>Transferti citām pašvaldībām izglītības funkciju nodrošināšanai</t>
  </si>
  <si>
    <t>Transferti citām pašvaldībām sociālās aizsardzības funkciju nodrošināšanai</t>
  </si>
  <si>
    <t>Ugunsdrošības, ugunsdzēsības, glābšanas un civilās drošības dienesti</t>
  </si>
  <si>
    <t>04.511.</t>
  </si>
  <si>
    <t>05.101.</t>
  </si>
  <si>
    <t>06.601.</t>
  </si>
  <si>
    <t>06.602.</t>
  </si>
  <si>
    <t>PAVISAM IZDEVUMI</t>
  </si>
  <si>
    <t>08.101.</t>
  </si>
  <si>
    <t>08.103.</t>
  </si>
  <si>
    <t>06.603.</t>
  </si>
  <si>
    <t>3. pielikums</t>
  </si>
  <si>
    <t xml:space="preserve">           Pamatbudžeta izdevumu atšifrējums pa programmām </t>
  </si>
  <si>
    <t>PAVISAM IZDEVUMI (I+II)</t>
  </si>
  <si>
    <t>A.Rāviņš</t>
  </si>
  <si>
    <t>1. pielikums</t>
  </si>
  <si>
    <t>06.604.</t>
  </si>
  <si>
    <t>08.291.</t>
  </si>
  <si>
    <t>08.292.</t>
  </si>
  <si>
    <t>09.510.</t>
  </si>
  <si>
    <t>03.202.</t>
  </si>
  <si>
    <t>09.511.</t>
  </si>
  <si>
    <t>09.512.</t>
  </si>
  <si>
    <t>10.120.</t>
  </si>
  <si>
    <t>Sociālā aizsardzība invaliditātes gadījumā</t>
  </si>
  <si>
    <t>10.400.</t>
  </si>
  <si>
    <t>10.700.</t>
  </si>
  <si>
    <t>Notekūdeņu apsaimniekošana</t>
  </si>
  <si>
    <t>Pašvaldības teritorijas, kapsētu un mežu apsaimniekošana, klaiņojošo dzīvnieku likvidācija</t>
  </si>
  <si>
    <t>F50010000</t>
  </si>
  <si>
    <t>08.221.</t>
  </si>
  <si>
    <t>04.515.</t>
  </si>
  <si>
    <t>04.730.</t>
  </si>
  <si>
    <t>09.100.</t>
  </si>
  <si>
    <t>09.810.</t>
  </si>
  <si>
    <t xml:space="preserve">Teātri, izrādes un koncertdarbība </t>
  </si>
  <si>
    <t>09.200.</t>
  </si>
  <si>
    <t>Pamatizglītība, vispārējā un profesionālā izglītība</t>
  </si>
  <si>
    <t>Interešu un profesionālās ievirzes izglītība</t>
  </si>
  <si>
    <t>09.513.</t>
  </si>
  <si>
    <t>09.514.</t>
  </si>
  <si>
    <t>10.121.</t>
  </si>
  <si>
    <t>10.123.</t>
  </si>
  <si>
    <t>10.124.</t>
  </si>
  <si>
    <t>10.125.</t>
  </si>
  <si>
    <t>Invalīdu rehabilitācijas pasākumi, invalīdu transports</t>
  </si>
  <si>
    <t>Dienas centrs "Integra"</t>
  </si>
  <si>
    <t>Dienas centrs "Atbalsts"</t>
  </si>
  <si>
    <t>Grupu dzīvokļi</t>
  </si>
  <si>
    <t>10.200.</t>
  </si>
  <si>
    <t>Atbalsts gados veciem cilvēkiem</t>
  </si>
  <si>
    <t>10.201.</t>
  </si>
  <si>
    <t>10.202.</t>
  </si>
  <si>
    <t>Sociālās un medicīniskās aprūpes centrs</t>
  </si>
  <si>
    <t>10.403.</t>
  </si>
  <si>
    <t>10.701.</t>
  </si>
  <si>
    <t>10.704.</t>
  </si>
  <si>
    <t>10.706.</t>
  </si>
  <si>
    <t>10.707.</t>
  </si>
  <si>
    <t>Sociālā māja un sociālie dzīvokļi</t>
  </si>
  <si>
    <t>GMI un citi naudas maksājumi maznodrošinātām personām</t>
  </si>
  <si>
    <t>Radītāju nosaukums</t>
  </si>
  <si>
    <t xml:space="preserve">Nekustamā īpašuma nodoklis par ēkām  </t>
  </si>
  <si>
    <t xml:space="preserve">Procentu ieņēmumi par kontu atlikumiem </t>
  </si>
  <si>
    <t>Valsts nodeva par speciālu atļauju (licenču) izsniegšanu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</si>
  <si>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</si>
  <si>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</si>
  <si>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</si>
  <si>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</si>
  <si>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Naudas sodi, ko uzliek pašvaldības</t>
  </si>
  <si>
    <t>Pašvaldību budžetu transferti</t>
  </si>
  <si>
    <t xml:space="preserve">Procentu ieņēmumi par maksas pakalpojumu un citu pašu ieņēmumu ieguldījumiem depozītā vai kontu atlikumiem </t>
  </si>
  <si>
    <t>Ieņēmumi no privatizācijas</t>
  </si>
  <si>
    <t>Iemaksas pašvaldību finanšu izlīdzināšanas fondā</t>
  </si>
  <si>
    <t>Ceļu un ielu infrastruktūras funkcionēšana, izmantošana, būvniecība un uzturēšana</t>
  </si>
  <si>
    <t>Pašvaldības īpašumu apsaimniekošana - dotācija pašvaldības SIA "JNĪP"</t>
  </si>
  <si>
    <t>Pašvaldības dzīvokļu pārvaldīšana, remonts, veco māju nojaukšana</t>
  </si>
  <si>
    <t>Dotācijas sporta pasākumiem</t>
  </si>
  <si>
    <t>Pilsētas nozīmes pasākumi</t>
  </si>
  <si>
    <t>Pamatkapitāla palielināšana SIA "Zemgales Olimpiskais centrs"</t>
  </si>
  <si>
    <t>Pārējā citur neklasificētā kultūra</t>
  </si>
  <si>
    <t>01.122.</t>
  </si>
  <si>
    <t>01.123.</t>
  </si>
  <si>
    <t xml:space="preserve">Tūrisms </t>
  </si>
  <si>
    <t>04.900.</t>
  </si>
  <si>
    <t>Pārējā citur neklasificētā ekonomiskā darbība</t>
  </si>
  <si>
    <t>Pilsētas sanitārā tīrīšana (SIA "Zemgales EKO" funkcija)</t>
  </si>
  <si>
    <t xml:space="preserve">05.102. </t>
  </si>
  <si>
    <t>10.402.</t>
  </si>
  <si>
    <t xml:space="preserve">Saņemts no Valsts kases sadales konta iepriekšējā gada nesadalītais iedzīvotāju ienākuma nodokļa atlikums </t>
  </si>
  <si>
    <t xml:space="preserve">Saņemts no Valsts kases sadales konta pārskata gadā ieskaitītais iedzīvotāju ienākuma nodoklis </t>
  </si>
  <si>
    <t>Pārējās valsts nodevas, kuras ieskaita pašvaldību budžetā</t>
  </si>
  <si>
    <t>04.733.</t>
  </si>
  <si>
    <t>07.000.</t>
  </si>
  <si>
    <t>Veselība</t>
  </si>
  <si>
    <t>PROJEKTS</t>
  </si>
  <si>
    <t>Akcijas un cita līdzdalība komersantu pašu kapitālā</t>
  </si>
  <si>
    <t xml:space="preserve"> 2.pielikums</t>
  </si>
  <si>
    <t>09.811.</t>
  </si>
  <si>
    <t>Pārējā izglītības vadība</t>
  </si>
  <si>
    <t>07.450.</t>
  </si>
  <si>
    <t xml:space="preserve">1. Nodokļu ieņēmumi </t>
  </si>
  <si>
    <t xml:space="preserve">2. Nenodokļu ieņēmumi </t>
  </si>
  <si>
    <t>3. Transferti</t>
  </si>
  <si>
    <t>II. FINANSĒŠANA</t>
  </si>
  <si>
    <t xml:space="preserve"> I.  IEŅĒMUMI KOPĀ (1+2+3+4)</t>
  </si>
  <si>
    <t>PAVISAM RESURSI (I+II)</t>
  </si>
  <si>
    <t>Pārejie dažādi nenodokļu ieņēmumi, kas nav iepriekš klasificēti šajā klasifikācijā</t>
  </si>
  <si>
    <t>4. Maksas pakalpojumi un citi pašu ieņēmumi</t>
  </si>
  <si>
    <t>F21010000</t>
  </si>
  <si>
    <t>Teritoriju un mājokļu apsaimniekošana</t>
  </si>
  <si>
    <t>F40320020</t>
  </si>
  <si>
    <t>Saņemto ilgtermiņa aizņēmumu atmaksa</t>
  </si>
  <si>
    <t xml:space="preserve">Akcijas un cita līdzdalība komersantu pašu kapitālā </t>
  </si>
  <si>
    <t>04.901.</t>
  </si>
  <si>
    <t>04.905.</t>
  </si>
  <si>
    <t>Zemes reformas darbība, zemes īpašuma un lietošanas tiesību pārveidošana</t>
  </si>
  <si>
    <t>07.100.</t>
  </si>
  <si>
    <t>Ārstniecības līdzekļi</t>
  </si>
  <si>
    <t>07.200.</t>
  </si>
  <si>
    <t>Ambulatoro ārstniecības iestāžu darbība un pakalpojumi</t>
  </si>
  <si>
    <t>07.300.</t>
  </si>
  <si>
    <t>Slimnīcu pakalpojumi</t>
  </si>
  <si>
    <t>09.101.</t>
  </si>
  <si>
    <t>09.222.</t>
  </si>
  <si>
    <t>Profesionālā vidējā izglītība</t>
  </si>
  <si>
    <t>09.530.</t>
  </si>
  <si>
    <t>Līmeņos nedefinēta izglītība pieaugušajiem</t>
  </si>
  <si>
    <t>09.531.</t>
  </si>
  <si>
    <t>09.532.</t>
  </si>
  <si>
    <t>09.520.</t>
  </si>
  <si>
    <t>Sociālā palīdzība ģimenēm ar bērniem un vardarbībā cietušo bērnu rehabilitācija</t>
  </si>
  <si>
    <t>Nekustamā īpašuma nodoklis par mājokļiem</t>
  </si>
  <si>
    <t>Ieņēmumi no dzīvojamo māju privatizācijas</t>
  </si>
  <si>
    <t>01.111.</t>
  </si>
  <si>
    <t xml:space="preserve">Klasifik. kods </t>
  </si>
  <si>
    <t>Izpildvaras institūcija</t>
  </si>
  <si>
    <t>01.112.</t>
  </si>
  <si>
    <t>08.241.</t>
  </si>
  <si>
    <t>09.210.</t>
  </si>
  <si>
    <t>08.105.</t>
  </si>
  <si>
    <t>08.243.</t>
  </si>
  <si>
    <t>Jelgavas Ā.Alunāna teātra darbības nodrošināšana</t>
  </si>
  <si>
    <t>08.401.</t>
  </si>
  <si>
    <t>08.402.</t>
  </si>
  <si>
    <t>Citi dažādi nenodokļu ieņēmumi</t>
  </si>
  <si>
    <t>08.231.</t>
  </si>
  <si>
    <t>08.232.</t>
  </si>
  <si>
    <t>08.403.</t>
  </si>
  <si>
    <t>Kultūras padomes finansētie pasākumi</t>
  </si>
  <si>
    <t>08.405.</t>
  </si>
  <si>
    <t>Reliģisko organizāciju un citu biedrību un nodibinājumu pakalpojumi</t>
  </si>
  <si>
    <t>09.521.</t>
  </si>
  <si>
    <t>09.522.</t>
  </si>
  <si>
    <t>Atbalsta fondi</t>
  </si>
  <si>
    <t>Zvērināto auditoru pakalpojumi un grāmatvedības programmas "Horizon" uzturēšana</t>
  </si>
  <si>
    <t xml:space="preserve">Klasifikā-cijas kods </t>
  </si>
  <si>
    <t>04.100.</t>
  </si>
  <si>
    <t>04.110.</t>
  </si>
  <si>
    <t>04.120.</t>
  </si>
  <si>
    <t>04.130.</t>
  </si>
  <si>
    <t>05.410.</t>
  </si>
  <si>
    <t>08.620.</t>
  </si>
  <si>
    <t>09.400.</t>
  </si>
  <si>
    <t>09.430.</t>
  </si>
  <si>
    <t>09.450.</t>
  </si>
  <si>
    <t>09.460.</t>
  </si>
  <si>
    <t>09.490.</t>
  </si>
  <si>
    <t>09.500.</t>
  </si>
  <si>
    <t>09.515.</t>
  </si>
  <si>
    <t>09.517.</t>
  </si>
  <si>
    <t>10.140.</t>
  </si>
  <si>
    <t>12.000.</t>
  </si>
  <si>
    <t>12.310.</t>
  </si>
  <si>
    <t>12.311.</t>
  </si>
  <si>
    <t>12.312.</t>
  </si>
  <si>
    <t>12.313.</t>
  </si>
  <si>
    <t>12.390.</t>
  </si>
  <si>
    <t>12.399.</t>
  </si>
  <si>
    <t>13.000.</t>
  </si>
  <si>
    <t>13.100.</t>
  </si>
  <si>
    <t>13.200.</t>
  </si>
  <si>
    <t>18.000.</t>
  </si>
  <si>
    <t>18.600.</t>
  </si>
  <si>
    <t>18.620.</t>
  </si>
  <si>
    <t>18.630.</t>
  </si>
  <si>
    <t>18.690.</t>
  </si>
  <si>
    <t>19.000.</t>
  </si>
  <si>
    <t>19.200.</t>
  </si>
  <si>
    <t>21.000.</t>
  </si>
  <si>
    <t>21.300.</t>
  </si>
  <si>
    <t>21.340.</t>
  </si>
  <si>
    <t>21.350.</t>
  </si>
  <si>
    <t>21.370.</t>
  </si>
  <si>
    <t>21.380.</t>
  </si>
  <si>
    <t>21.390.</t>
  </si>
  <si>
    <t>01.124.</t>
  </si>
  <si>
    <t>Dotācija no vispārējiem ieņēmumiem</t>
  </si>
  <si>
    <t>Budžeta iestāžu ieņēmumi</t>
  </si>
  <si>
    <t xml:space="preserve"> Valsts budžeta transferti </t>
  </si>
  <si>
    <t>Pašvaldību budžeta transferti</t>
  </si>
  <si>
    <t>Izpildvaras un likumdošanas varas institūcijas</t>
  </si>
  <si>
    <t>04.909.</t>
  </si>
  <si>
    <t>Dotācija "Zemgales plānošanas reģions"</t>
  </si>
  <si>
    <t>10.504.</t>
  </si>
  <si>
    <t>09.812.</t>
  </si>
  <si>
    <t>Pašvaldību saņemtie valsts budžeta transferti noteiktam mērķim</t>
  </si>
  <si>
    <t>Pašvaldību saņemtie transferti no valsts budžeta</t>
  </si>
  <si>
    <t>Pašvaldību no valsts budžeta iestādēm saņemtie transferti Eiropas Savienības politiku instrumentu un pārējās ārvalstu finanšu palīdzības līdzfinansētajiem projektiem (pasākumiem)</t>
  </si>
  <si>
    <t xml:space="preserve">Pārējie pašvaldību saņemtie valsts budžeta iestāžu transferti </t>
  </si>
  <si>
    <t>Pašvaldību saņemtie transferti no citām pašvaldībām</t>
  </si>
  <si>
    <t>Citi iepriekš neklasificētie pašu ieņēmumi</t>
  </si>
  <si>
    <t xml:space="preserve">Pārējā citur neklasificētā pašvaldības teritoriju un mājokļu apsaimniekošanas darbība </t>
  </si>
  <si>
    <t>Dotācijas projektu realizācijai NVO</t>
  </si>
  <si>
    <t>Atbalsts ģimenēm ar bērniem</t>
  </si>
  <si>
    <t>Atbalsts bezdarba gadījumā</t>
  </si>
  <si>
    <t>Pārējais citur neklasificētais atbalsts sociāli atstumtām personām</t>
  </si>
  <si>
    <t>Palīdzība veciem cilvēkiem</t>
  </si>
  <si>
    <t>Valsts nodeva par uzvārda, vārda un tautības ieraksta maiņu personu apliecinošos dokumentos</t>
  </si>
  <si>
    <t>09.529.</t>
  </si>
  <si>
    <t>06.606.</t>
  </si>
  <si>
    <t>08.242.</t>
  </si>
  <si>
    <t>10.709.</t>
  </si>
  <si>
    <t>01.600.</t>
  </si>
  <si>
    <t>10.922.</t>
  </si>
  <si>
    <t>09.219.3.</t>
  </si>
  <si>
    <t>09.518.</t>
  </si>
  <si>
    <t xml:space="preserve">Ielu, laukumu, publisko dārzu un parku tīrīšana un atkritumu savākšana </t>
  </si>
  <si>
    <t>06.201.</t>
  </si>
  <si>
    <t>Ar pašvaldības teritoriju saistīto normatīvo aktu un standartu sagatavošana un ieviešana</t>
  </si>
  <si>
    <t>Veselības veicināšanas pasākumi</t>
  </si>
  <si>
    <t>Muzeji un izstādes</t>
  </si>
  <si>
    <t>Pirmskolas izglītība</t>
  </si>
  <si>
    <t>Vispārējā izglītība</t>
  </si>
  <si>
    <t>09.219.1.</t>
  </si>
  <si>
    <t>09.219.2.</t>
  </si>
  <si>
    <t>Jelgavas Amatu vidusskolas projektu realizācija</t>
  </si>
  <si>
    <t>09.222.2.</t>
  </si>
  <si>
    <t>09.222.3.</t>
  </si>
  <si>
    <t>Subsīdija nodibinājumam "Izglītības atbalsta fonds"</t>
  </si>
  <si>
    <t>Subsīdija nodibinājumam "J.Bisenieka fonds"</t>
  </si>
  <si>
    <t>10.900.</t>
  </si>
  <si>
    <t>Pabalsti ārkārtas gadījumos, citi pabalsti un kompensācijas</t>
  </si>
  <si>
    <t>10.921.</t>
  </si>
  <si>
    <t>Braukšanas maksas atvieglojumi skolēniem sabiedriskajā transportā</t>
  </si>
  <si>
    <t>Pārējās nodevas, ko uzliek pašvaldības</t>
  </si>
  <si>
    <t>Ieņēmumi no apbūvēta zemesgabala privatizācijas</t>
  </si>
  <si>
    <t>Ieņēmumi no neapbūvēta zemesgabala privatizācijas</t>
  </si>
  <si>
    <t>21.490.</t>
  </si>
  <si>
    <t>Pamatkapitāla palielināšana SIA "Medicīnas sabiedrība OPTIMA 1"</t>
  </si>
  <si>
    <t>Pamatkapitāla palielināšana SIA "Jelgavas pilsētas slimnīca"</t>
  </si>
  <si>
    <t>I</t>
  </si>
  <si>
    <t>Dabas resursu nodoklis par dabas resursu ieguvi un vides piesārņojumu</t>
  </si>
  <si>
    <t>II</t>
  </si>
  <si>
    <t>Projektu sagatavošana, izstrāde un teritoriju attīstība</t>
  </si>
  <si>
    <t>Jelgavas vispārizglītojošo skolu projektu īstenošana</t>
  </si>
  <si>
    <t>Bērnu un jauniešu izglītības centra "Junda" projektu īstenošana</t>
  </si>
  <si>
    <t>09.812.3.</t>
  </si>
  <si>
    <t>JSLP Naktspatversme</t>
  </si>
  <si>
    <t>EUR</t>
  </si>
  <si>
    <t>10.705.2.</t>
  </si>
  <si>
    <t xml:space="preserve">           Pamatbudžeta izdevumi                                                            </t>
  </si>
  <si>
    <t>05.530.</t>
  </si>
  <si>
    <t>III</t>
  </si>
  <si>
    <t>21.100.</t>
  </si>
  <si>
    <t>10.911.</t>
  </si>
  <si>
    <t>Zaudējumu kompensācija pašvaldības SIA "Jelgavas autobusu parks"</t>
  </si>
  <si>
    <t>Valsts nodevas par laulības reģistrāciju, civilstāvokļa akta reģistra ieraksta aktualizēšanu vai atjaunošanu un atkārtotas civilstāvokļa aktu reģistrācijas apliecības izsniegšanu</t>
  </si>
  <si>
    <t>Pašvaldības nodeva par domes izstrādāto oficiālo dokumentu un apliecinātu to kopiju saņemšanu</t>
  </si>
  <si>
    <t>18.640.</t>
  </si>
  <si>
    <t xml:space="preserve">Iestādes ieņēmumi </t>
  </si>
  <si>
    <t>Iestādes ieņēmumi no ārvalstu finanšu palīdzības</t>
  </si>
  <si>
    <t xml:space="preserve">Ieņēmumi no iestāžu sniegtajiem maksas pakalpojumiem un citi pašu ieņēmumi </t>
  </si>
  <si>
    <t>Ieņēmumi par pārējiem sniegtajiem maksas pakalpojumiem</t>
  </si>
  <si>
    <t>10.154.</t>
  </si>
  <si>
    <t>01.113.</t>
  </si>
  <si>
    <t>Projekts "Komunikācija ar sabiedrību tās iesaistei pašvaldību lēmumu pieņemšanā"</t>
  </si>
  <si>
    <t>01.114.</t>
  </si>
  <si>
    <t>05.602.</t>
  </si>
  <si>
    <t>05.202.</t>
  </si>
  <si>
    <t>06.401.</t>
  </si>
  <si>
    <t>08.211.</t>
  </si>
  <si>
    <t>08.212.</t>
  </si>
  <si>
    <t>08.331.</t>
  </si>
  <si>
    <t>10.122.</t>
  </si>
  <si>
    <t>10.601.</t>
  </si>
  <si>
    <t>10.407.</t>
  </si>
  <si>
    <t>Naudas līdzekļu atlikums uz perioda beigām</t>
  </si>
  <si>
    <t>10.150.</t>
  </si>
  <si>
    <t>Naudas sodi, ko uzliek par pārkāpumiem ceļu satiksmē</t>
  </si>
  <si>
    <t>Naudas līdzekļi uz perioda sākumu</t>
  </si>
  <si>
    <t>Projekts "Integrētu teritoriālo investīciju projektu iesniegumu atlases nodrošināšana Jelgavas pilsētas pašvaldībā"</t>
  </si>
  <si>
    <t>Bibliotēkas</t>
  </si>
  <si>
    <t>Jelgavas kamerorķestra darbības nodrošināšana</t>
  </si>
  <si>
    <t>Jelgavas bigbenda darbības nodrošināšana</t>
  </si>
  <si>
    <t>Centralizēto datoru un datortīkla uzturēšana</t>
  </si>
  <si>
    <t>Parāda procentu nomaksa</t>
  </si>
  <si>
    <t>Izdevumi neparedzētiem gadījumiem</t>
  </si>
  <si>
    <t>Tautas mākslas kolektīvu darbības nodrošināšana</t>
  </si>
  <si>
    <t>Dienas aprūpes centrs pilngadīgām personām ar smagiem funkcionāliem traucējumiem</t>
  </si>
  <si>
    <t>Projekts "Elastīga bērnu uzraudzības pakalpojuma nodrošināšana darbiniekiem, kas strādā nestandarta darba laiku"</t>
  </si>
  <si>
    <t>Naudas sodi, ko uzliek pašvaldību institūcijas par pārkāpumiem ceļu satiksmē</t>
  </si>
  <si>
    <t>PAVISAM KOPĀ</t>
  </si>
  <si>
    <t>Nosaukums</t>
  </si>
  <si>
    <t>Izdevumi kopā</t>
  </si>
  <si>
    <t>01.111. Izpildvaras institūcija</t>
  </si>
  <si>
    <t>01.124. Zvērināto auditoru pakalpojumi un grāmatvedības programmas Horizon uzturēšana</t>
  </si>
  <si>
    <t>01.331. Centralizēto datoru un datortīklu uzturēšana</t>
  </si>
  <si>
    <t>01.721. Parāda procentu nomaksa</t>
  </si>
  <si>
    <t>01.831. Transferti citām pašvaldībām izglītības funkciju nodrošināšanai</t>
  </si>
  <si>
    <t>01.832. Transferti citām pašvaldībām sociālās aizsardzības funkciju nodrošināšanai</t>
  </si>
  <si>
    <t>01.890.  Izdevumi neparedzētiem gadījumiem</t>
  </si>
  <si>
    <t>04.511. Ceļu un ielu infrastruktūras funkcionēšana, izmantošana, būvniecība un uzturēšana</t>
  </si>
  <si>
    <t>04.901. Zemes reformas darbība, zemes īpašuma un lietošanas tiesību pārveidošana</t>
  </si>
  <si>
    <t>04.909. Dotācija Zemgales plānošanas reģionam</t>
  </si>
  <si>
    <t>05.101. Ielu, laukumu, publisko dārzu un parku tīrīšana, atkritumu savākšana</t>
  </si>
  <si>
    <t>05.202. Notekūdeņu apsaimniekošana</t>
  </si>
  <si>
    <t>06.201. Projektu sagatavošana un teritoriju attīstība</t>
  </si>
  <si>
    <t>06.401. Ielu apgaismošana</t>
  </si>
  <si>
    <t>06.602. Pašvaldības teritorijas, mežu un kapsētu apsaimniekošana, klaiņojošo dzīvnieku likvidācija</t>
  </si>
  <si>
    <t>06.604. Pašvaldības dzīvokļu pārvaldīšana, remonts, veco māju nojaukšana</t>
  </si>
  <si>
    <t>06.606. Ar pašvaldības teritoriju saistīto normatīvo aktu un standartu sagatavošana un ieviešana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</si>
  <si>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</si>
  <si>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</si>
  <si>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</si>
  <si>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</si>
  <si>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08.103. Dotācijas sporta pasākumiem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</si>
  <si>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</si>
  <si>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</si>
  <si>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</si>
  <si>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</si>
  <si>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08.292. Pilsētas nozīmes pasākumi</t>
  </si>
  <si>
    <t>08.401. Dotācijas projektu realizācijai NVO</t>
  </si>
  <si>
    <t>08.402. Kultūras padomes finansētie pasākumi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</si>
  <si>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</si>
  <si>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</si>
  <si>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</si>
  <si>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</si>
  <si>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09.222.3.Jelgavas Amatu vidusskolas projektu īstenošana - kopsavilkums</t>
  </si>
  <si>
    <t>09.512. Jelgavas Mākslas skolas darbības nodrošināšana</t>
  </si>
  <si>
    <t>09.513.1. Jelgavas Bērnu un jaunatnes sporta skola</t>
  </si>
  <si>
    <t>09.513.2. Jelgavas Specializētā peldēšanas skola</t>
  </si>
  <si>
    <t>09.513.3. Jelgavas Ledus sporta skola</t>
  </si>
  <si>
    <t>09.521. Subsīdija Izglītības atbalsta fondam</t>
  </si>
  <si>
    <t>09.522. Subsīdija J.Bisenieka atbalsta fondam</t>
  </si>
  <si>
    <t>10.122. Dienas aprūpes centrs pilngadīgām personām ar smagiem funkcionāliem traucējumiem</t>
  </si>
  <si>
    <t>10.125. Grupu dzīvokļi</t>
  </si>
  <si>
    <t>10.202. Palīdzība veciem cilvēkiem</t>
  </si>
  <si>
    <t>10.504. Atbalsts Bezdarba gadījumā</t>
  </si>
  <si>
    <t>10.601. Dzīvokļa pabalsts un pabalsts individuālās apkures nodrošināšanai</t>
  </si>
  <si>
    <t>10.701. Sociālā māja un sociālie dzīvokļi</t>
  </si>
  <si>
    <t>10.705.2. JSLP Naktspatversme</t>
  </si>
  <si>
    <t>10.707. Higiēnas centrs</t>
  </si>
  <si>
    <t>10.921. Pabalsti ārkārtas gadījumos, citi pabalsti un maksājumi</t>
  </si>
  <si>
    <t>10.922. Braukšanas maksas atvieglojumi skolēniem sabiedriskajā transportā</t>
  </si>
  <si>
    <t>F40020000 Aizdevumu pamatsummu atmaksa</t>
  </si>
  <si>
    <t>F50020000. Akcijas un cita līdzdalība komersantu pašu kapitālā</t>
  </si>
  <si>
    <t>F21010000. Naudas līdzekļu atlikums uz perioda beigām</t>
  </si>
  <si>
    <t>Nekustamā īpašuma nodokļa u.c. pašvaldības ieņēmumu administrēšana</t>
  </si>
  <si>
    <t>Projekts "Integrēta lietus ūdens pārvaldība"</t>
  </si>
  <si>
    <t>Projekts "Andragoģija: Tālmācības sistēma bibliotekāriem"</t>
  </si>
  <si>
    <t>Higiēnas centrs</t>
  </si>
  <si>
    <t>Pamatkapitāla palielināšana SIA "Jelgavas ūdens"</t>
  </si>
  <si>
    <t>Pašvaldību budžetā saņemtā dotācija no pašvaldību finanšu izlīdzināšanas fonda</t>
  </si>
  <si>
    <t>13.400.</t>
  </si>
  <si>
    <t>Ieņēmumi no valsts un pašvaldību kustamā īpašuma un mantas realizācijas</t>
  </si>
  <si>
    <t>Pamatkapitāla palielināšana SIA "Jelgavas poliklīnika"</t>
  </si>
  <si>
    <t>09.533.</t>
  </si>
  <si>
    <t>Projekts "Proti un dari"</t>
  </si>
  <si>
    <t>10.127.</t>
  </si>
  <si>
    <t>Vēlēšanu organizēšana</t>
  </si>
  <si>
    <t>SAISTOŠAJIEM NOTEIKUMIEM Nr.__-__</t>
  </si>
  <si>
    <t>SAISTOŠAJIEM NOTEIKUMIEM Nr.___-___</t>
  </si>
  <si>
    <t>Speciālā budžeta resursi</t>
  </si>
  <si>
    <t>Klasifikā-cijas kods</t>
  </si>
  <si>
    <t>23.000.</t>
  </si>
  <si>
    <t>Saņemtie ziedojumi un dāvinājumi no fiziskām un juridiskā personām</t>
  </si>
  <si>
    <t>PAVISAM RESURSI KOPĀ</t>
  </si>
  <si>
    <t>Speciālā budžeta izdevumi</t>
  </si>
  <si>
    <t>Kods</t>
  </si>
  <si>
    <t>Speciālā budžeta nosaukums</t>
  </si>
  <si>
    <t>Nodokļa ieņēmumi</t>
  </si>
  <si>
    <t>Dabas resursu nodokļa līdzekļi</t>
  </si>
  <si>
    <t>Mērķdotācija autoceļu (ielu) fondam</t>
  </si>
  <si>
    <t>Mērķdotācija pašvaldībām pasažieru regulārajiem pārvadājumiem</t>
  </si>
  <si>
    <t>Ziedojumu un dāvinājumu līdzekļi</t>
  </si>
  <si>
    <t>PAVISAM IZDEVUMI KOPĀ</t>
  </si>
  <si>
    <t>08.405. Dotācijas reliģiskajām un citām biedrībām un nodibinājumiem- fin.nod.</t>
  </si>
  <si>
    <t>09.513. Jelgavas sporta skolu darbības nodrošināšana - kopsavilkums</t>
  </si>
  <si>
    <t>6.pielikums</t>
  </si>
  <si>
    <t>Subsīdija nodibinājumam "Sporta tālākizglītības atbalsta fonds"</t>
  </si>
  <si>
    <t>10.402. Sociālā palīdzība ģimenēm ar bērniem un vardarbībā cietušo bērnu rehabilitācija</t>
  </si>
  <si>
    <t>10.201. Sociālās un medicīniskās aprūpes centrs</t>
  </si>
  <si>
    <t>Valsts budžeta fonda līdzekļi</t>
  </si>
  <si>
    <t>06.02.2018.prot.Nr.__/__</t>
  </si>
  <si>
    <t xml:space="preserve">         JELGAVAS PILSĒTAS PAŠVALDĪBAS 2018.GADA BUDŽETS  </t>
  </si>
  <si>
    <t>2018.gada plāns</t>
  </si>
  <si>
    <t xml:space="preserve">JELGAVAS PILSĒTAS PAŠVALDĪBAS 2018.GADA BUDŽETS  </t>
  </si>
  <si>
    <t>Plāns 2018.gadam</t>
  </si>
  <si>
    <t>Finansēšana (naudas līdzekļu atlikums uz 31.12.2017.)</t>
  </si>
  <si>
    <t>2018.gada izdevumu plāns</t>
  </si>
  <si>
    <t>Projekts "Atver sirdi Zemgalē"</t>
  </si>
  <si>
    <t>Jelgavas pilsētas pašvaldības 2018.gada speciālais budžeta kopsavilkums</t>
  </si>
  <si>
    <t>06.02.2018.prot. Nr.___/___</t>
  </si>
  <si>
    <t>Resursu plāns 2018.gadam</t>
  </si>
  <si>
    <t>Izdevumu plāns uz 2018.gadam</t>
  </si>
  <si>
    <t xml:space="preserve">Naudas līdzekļu atlikums uz 31.12.2017. </t>
  </si>
  <si>
    <t>21.400.</t>
  </si>
  <si>
    <t>21.420.</t>
  </si>
  <si>
    <t>Pārējie šajā klasifikācijā iepriekš neklasificētie ieņēmumi</t>
  </si>
  <si>
    <t>06.607.</t>
  </si>
  <si>
    <t>01.332.</t>
  </si>
  <si>
    <t>04.735.</t>
  </si>
  <si>
    <t>05.600.</t>
  </si>
  <si>
    <t>05.603.</t>
  </si>
  <si>
    <t>07.452.</t>
  </si>
  <si>
    <t>08.107.</t>
  </si>
  <si>
    <t>08.295.</t>
  </si>
  <si>
    <t>Pārējo vispārējas nozīmes dienestu darbība un pakalpojumi</t>
  </si>
  <si>
    <t>01.331.</t>
  </si>
  <si>
    <t>Projekts "Pilsētas iedzīvotāju kartes pieejamo pakalpojumu pilnveidošana Jelgavā un Šauļos"</t>
  </si>
  <si>
    <t>Projekts "Starptautiskais kultūras tūrisma maršruts "Baltu ceļš""</t>
  </si>
  <si>
    <t>Pārējā nekur citur neklasificētā vides aizsardzība</t>
  </si>
  <si>
    <t>Projekts "Vides risku pārvaldības resursu pilnveidošana pierobežas reģionā, lai efektīvi veiktu vides aizsardzības pasākumus"</t>
  </si>
  <si>
    <t>Pašvaldības līdzfinansējums energoefektivitātes paaugstināšanas pasākumu veikšanai daudzdzīvokļu dzīvojamās mājās</t>
  </si>
  <si>
    <t>Projekts "Kompleksu veselības veicināšanas un slimību profilakses pasākumu īstenošana Jelgavas pilsētā, 1.kārta"</t>
  </si>
  <si>
    <t>Projekts "Atklātas publiskās slidotavas slēgtā jumta konstrukcijas izbūve, ūdenssaimniecības tīklu pārbūve"</t>
  </si>
  <si>
    <t>03.206.</t>
  </si>
  <si>
    <t>Projekts "Civilās aizsardzības sistēmas pilnveidošana Jelgavā un Šauļos"</t>
  </si>
  <si>
    <t>08.213.</t>
  </si>
  <si>
    <t>Projekts "Inovatīvu bibliotēku darbības risinājumu izveide dažādām paaudzēm pierobežas reģionā"</t>
  </si>
  <si>
    <t>04.736.</t>
  </si>
  <si>
    <t>Projekts "Pilssalas infrastruktūras attīstība tūrisma un veselības aktivitāšu veicināšanai Jelgavā"</t>
  </si>
  <si>
    <t>06.608.</t>
  </si>
  <si>
    <t>Projekts "Thermos - termālās enerģijas resursu modelēšanas un optimizācijas sistēma"</t>
  </si>
  <si>
    <t>09.219.5.</t>
  </si>
  <si>
    <t>Projekts "Jelgavas Valsts ģimnāzijas pārbūve"</t>
  </si>
  <si>
    <r>
      <t>Kultūras centri, nami un klubi</t>
    </r>
    <r>
      <rPr>
        <b/>
        <i/>
        <sz val="11"/>
        <rFont val="Times New Roman"/>
        <family val="1"/>
        <charset val="186"/>
      </rPr>
      <t xml:space="preserve"> </t>
    </r>
  </si>
  <si>
    <r>
      <t>Pārējā citur neklasificētā sociālā aizsardzība</t>
    </r>
    <r>
      <rPr>
        <b/>
        <i/>
        <sz val="11"/>
        <rFont val="Times New Roman"/>
        <family val="1"/>
        <charset val="186"/>
      </rPr>
      <t xml:space="preserve">  </t>
    </r>
  </si>
  <si>
    <t xml:space="preserve"> PI "Pašvaldības iestāžu centralizētā grāmatvedība" darbības nodrošināšana</t>
  </si>
  <si>
    <t>PI "Jelgavas pilsētas pašvaldības policija" darbības nodrošināšana</t>
  </si>
  <si>
    <t xml:space="preserve">PI "Pašvaldības operatīvās informācijas centrs" darbības nodrošināšana </t>
  </si>
  <si>
    <t>PI "Jelgavas reģionālais tūrisma centrs" darbības nodrošināšana</t>
  </si>
  <si>
    <t>Pašvaldības līdzfinansējums biedrībai "Zemgales reģionālās enerģētikas aģentūra"</t>
  </si>
  <si>
    <t>PI "Pilsētsaimniecība" darbības nodrošināšana</t>
  </si>
  <si>
    <t>PI "Sporta servisa centrs" darbības nodrošināšana</t>
  </si>
  <si>
    <t>PI  "Jelgavas pilsētas bibliotēka" darbības nodrošināšana</t>
  </si>
  <si>
    <t>PI "Ģ.Eliasa Jelgavas Vēstures un mākslas muzejs" darbības nodrošināšana</t>
  </si>
  <si>
    <t>PI  "Kultūra" darbības nodrošināšana</t>
  </si>
  <si>
    <t>Projekts "Atklātā amfiteātra tipa brīvdabas estrādes segtā jumta projektēšana un izbūve"</t>
  </si>
  <si>
    <t>PI "Zemgales INFO" darbības nodrošināšana</t>
  </si>
  <si>
    <t>Dotācijas reliģiskajām un citām biedrībām, nodibinājumiem</t>
  </si>
  <si>
    <t>Pirmsskolas izglītības iestāžu darbības nodrošināšana</t>
  </si>
  <si>
    <t>Jelgavas vispārizglītojošo skolu darbības nodrošināšana</t>
  </si>
  <si>
    <t>Internātpamatskolu darbības nodrošināšana un šo skolu projektu īstenošana</t>
  </si>
  <si>
    <t>Jelgavas Amatu vidusskolas darbības nodrošināšana</t>
  </si>
  <si>
    <t>Citi interešu izglītības pasākumi, t.sk. Bērnu un jauniešu izglītības centrs "Junda" darbības nodrošināšana</t>
  </si>
  <si>
    <t>Jelgavas Mākslas skolas darbības nodrošināšana</t>
  </si>
  <si>
    <t>Jelgavas sporta skolu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</si>
  <si>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</si>
  <si>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</si>
  <si>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</si>
  <si>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 projektu īstenošana</t>
  </si>
  <si>
    <t>PI "Jelgavas Izglītības pārvalde" iekļaujošas izglītības atbalsta centrs</t>
  </si>
  <si>
    <t>PI "Jelgavas pilsētas bāriņtiesa" darbības nodrošināšana</t>
  </si>
  <si>
    <t>Mājokļa atbalsts - Dzīvokļa pabalsts un pabalsts individuālās apkures nodrošināšanai</t>
  </si>
  <si>
    <t>PI "Jelgavas bērnu sociālās aprūpes centrs" darbības nodrošināšana</t>
  </si>
  <si>
    <t>PI "Jelgavas bērnu sociālās aprūpes centrs" krīzes centrs</t>
  </si>
  <si>
    <t>PI "Kultūra" pasākumi</t>
  </si>
  <si>
    <t>PI "Jelgavas sociālo lietu pārvalde" darbības nodrošināšana</t>
  </si>
  <si>
    <t>Pašvaldības nodeva par būvatļaujas izdošanu vai būvniecības ieceres akceptu</t>
  </si>
  <si>
    <t xml:space="preserve">Ieņēmumi no valsts (pašvaldību) īpašuma iznomāšanas, pārdošanas un no nodokļu pamatparāda kapitalizācijas </t>
  </si>
  <si>
    <t>Pārējie  21.300 grupā neklasificētie iestāžu ieņēmumi par iestāžu sniegtajiem maksas pakalpojumiem un citi pašu ieņēmumi</t>
  </si>
  <si>
    <t>7000. Uzturēšanas izdevumu transferti, pašu resursu maksājumi, starptautiskā sadarbība</t>
  </si>
  <si>
    <t>6000. Sociālie pabalsti</t>
  </si>
  <si>
    <t>5000. Pamatkapitāla veidošana</t>
  </si>
  <si>
    <t>4000. Procentu izdevumi</t>
  </si>
  <si>
    <t>3000. Subsīdijas un dotācijas</t>
  </si>
  <si>
    <t>2000. Preces un pakalpojumi</t>
  </si>
  <si>
    <t>1000. Atlīdzība</t>
  </si>
  <si>
    <t>F50010000 Akcijas un cita līdzdalība komersantu pašu kapitālā</t>
  </si>
  <si>
    <t>F40320020 Saņemto ilgtermiņa aizņēmumu atmaksa</t>
  </si>
  <si>
    <t>18. FINANSĒŠANA</t>
  </si>
  <si>
    <t>10.911. PI 'Jelgavas sociālo lietu pārvalde' darbības nodrošināšana</t>
  </si>
  <si>
    <t>10.704. GMI pabalsts, mirušo apbedīšanas izdevumi un citi naudas maksājumi maznodrošinātām un neaizsargātām personām</t>
  </si>
  <si>
    <t>10.407. Projekts - 'Elastīga bērnu uzraudzības pakalpojuma nodrošināšana darbiniekiem, kas strādā nestandarta darba laiku'</t>
  </si>
  <si>
    <t>10.124. Dienas centrs 'Atbalsts'</t>
  </si>
  <si>
    <t>10.123. Dienas centrs 'Integra'</t>
  </si>
  <si>
    <t>10.121. Invalīdu rehabilitācijas pasākumi, invalīdu transporta izdevumi u.c. kompensācijas</t>
  </si>
  <si>
    <t>10.709. PI 'Jelgavas bērnu sociālās aprūpes centrs' str. Krīzes centrs</t>
  </si>
  <si>
    <t>10.706. PI 'Jelgavas bērnu sociālās aprūpes centrs' darbības nodrošināšana</t>
  </si>
  <si>
    <t>10.403. PI 'Jelgavas pilsētas bāriņtiesa' darbības nodrošināšana</t>
  </si>
  <si>
    <t>09.532. PI 'Zemgales reģiona kompetenču attīstības centrs' projektu īstenošana</t>
  </si>
  <si>
    <t>09.531. PI 'Zemgales reģiona kompetenču attīstības centrs' darbības nodrošināšana</t>
  </si>
  <si>
    <t>09.812.3. PI 'Jelgavas izglītības pārvalde' iekļaujošas izglītības atbalsta centrs</t>
  </si>
  <si>
    <t>09.812. PI 'Jelgavas izglītības pārvalde' projektu īstenošana</t>
  </si>
  <si>
    <t>09.811. PI 'Jelgavas izglītības pārvalde' darbības nodrošināšana</t>
  </si>
  <si>
    <t>09.518. Bērnu un jauniešu centra 'JUNDA' projektu īstenošana</t>
  </si>
  <si>
    <t>09.511. Pārējie interešu izglītības pasākumi, t.sk. BJIC 'Junda' darbības nodrošināšana</t>
  </si>
  <si>
    <t>09.219.2. Jelgavas internātpamatskolas un šo skolu projektu īstenošana - kopsavilkums</t>
  </si>
  <si>
    <t>08.331. PI 'Zemgales INFO' darbības nodrošināšana</t>
  </si>
  <si>
    <t>08.232. PI 'Kultūra' pasākumi</t>
  </si>
  <si>
    <t>08.231. PI 'Kultūra' darbības nodrošināšana</t>
  </si>
  <si>
    <t>08.221. PI 'Ģ.Eliasa Jelgavas Vēstures un mākslas muzejs' darbības nodrošināšana</t>
  </si>
  <si>
    <t>08.213. Projekts - 'Inovatīvu bibliotēku darbības risinājumu izveide dažādām paaudzēm pierobežas reģionā'</t>
  </si>
  <si>
    <t>08.211. PI 'Jelgavas pilsētas bibliotēka' darbības nodrošināšana</t>
  </si>
  <si>
    <t>08.101. PI 'Sporta servisa centrs' darbības nodrošināšana</t>
  </si>
  <si>
    <t>06.601. PI 'Pilsētsaimniecība' darbības nodrošināšana</t>
  </si>
  <si>
    <t>04.733. PI 'Jelgavas reģionālais tūrisma centrs' darbības nodrošināšana</t>
  </si>
  <si>
    <t>03.206. Projekts  - 'Civilās aizsardzības saistēmas pilnveidošana Jelgavā un Šauļos'</t>
  </si>
  <si>
    <t>03.111. PI 'Jelgavas pilsētas pašvaldības policija' darbības nodrošināšana</t>
  </si>
  <si>
    <t>01.123. PI 'Pašvaldības iestāžu centralizētā grāmatvedība' darbības nodrošināšana</t>
  </si>
  <si>
    <t>08.105. Subsīdija nodibinājumam 'Sporta tālākizglītības atbalsta fonds'</t>
  </si>
  <si>
    <t>06.603. Pašvaldības īpašumu apsaimniekošana - finansējums SIA 'Jelgavas nekustamā īpašuma pārvalde'</t>
  </si>
  <si>
    <t>05.102.  Pilsētas sanitārā tīrīšana - SIA 'Zemgales EKO' funkcija</t>
  </si>
  <si>
    <t>04.905. Pašvaldības līdzfinansējums biedrības 'Zemgales reģionālā enerģētikas aģentūra' darbības nodrošināšanai</t>
  </si>
  <si>
    <t>04.515. Dotācija zaudējumu kompensācijai pašvaldības SIA 'Jelgavas autobusu parks'</t>
  </si>
  <si>
    <t>01.122. Nekustamā īpašuma nodokļa u.c. pašvaldības ieņēmumu administrēšana</t>
  </si>
  <si>
    <t>02. JELGAVAS PILSĒTAS DOMES FINANŠU NODAĻA</t>
  </si>
  <si>
    <t>10.127. Projekts - 'Atver sirdi Zemgalē'</t>
  </si>
  <si>
    <t>09.533. Projekts - 'Proti un dari'</t>
  </si>
  <si>
    <t>09.219.5. Pašvaldības izglītības iestāžu investīciju projekts - 'Jelgavas Valsts ģimnāzijas pārbūve'</t>
  </si>
  <si>
    <t>08.295. Projekts- 'Atklātā amfiteātra tipa brīvdabas estrādes segtā jumta projektēšana un izbūve'</t>
  </si>
  <si>
    <t>08.107. Projekts- 'Atklātas publiskās slidotavas slēgtā jumta konstrukcijas izbūve, ūdenssaimniecības tīklu pārbūve'</t>
  </si>
  <si>
    <t>07.452. Projekts - 'Kompleksu veselības veicināšanas un slimību profilakses pasākumu īstenošana Jelgavas pilsētā, 1.kārta'</t>
  </si>
  <si>
    <t>06.608. Projekts - 'THERMOS - termālās enerģijas resursu modelēšanas un optimizācijas sistēma'</t>
  </si>
  <si>
    <t>06.607. Pašvaldības līdzfinansējums energoefektivitātes paaugstināšanas pasākumu veikšanai daudzdzīvokļu dzīvojamās mājās</t>
  </si>
  <si>
    <t>05.603. Projekts - 'Vides risku pārvaldības resursu pilnveidošana pierobežas reģionā, lai efektīvi veiktu vides aizsardzības pasākumus'</t>
  </si>
  <si>
    <t>05.602. Projekts - 'Integrēta lietusūdens pārvaldība'</t>
  </si>
  <si>
    <t>04.736. Projekts - 'Pilssalas infrastruktūras attīstība tūrisma un veselības aktivitāšu veicināšanai Jelgavā'</t>
  </si>
  <si>
    <t>04.735. Projekts - 'Starptautiskais kultūras tūrisma maršruts 'Baltu ceļš''</t>
  </si>
  <si>
    <t>01.332. Projekts - 'Pilsētas iedzīvotāju kartes pieejamo pakalpojumu pilnveidošana Jelgavā un Šauļos'</t>
  </si>
  <si>
    <t>01.114. Projekts - 'Integrētu teritoriālo investīciju projektu iesniegumu atlases nodrošināšana Jelgavas pilsētas pašvaldībā'</t>
  </si>
  <si>
    <t>01.113. Projekts - 'Komunikācija ar sabiedrību tās iesaistei pašvaldības lēmumu pieņemšanā'</t>
  </si>
  <si>
    <t>01. JELGAVAS PILSĒTAS DOME</t>
  </si>
  <si>
    <t>JELGAVAS PILSĒTAS PAŠVALDĪBAS 2018.GADA PAMATBUDŽETS ATŠIFRĒJUMĀ PA PROGRAMMĀM UN EKONOMISKĀS KLASIFIKĀCIJAS KODIEM</t>
  </si>
  <si>
    <t>4.pielikums</t>
  </si>
  <si>
    <t>06.02.2018.prot.Nr.___/___</t>
  </si>
  <si>
    <r>
      <t>SAISTOŠAJIEM NOTEIKUMIEM Nr.__</t>
    </r>
    <r>
      <rPr>
        <u/>
        <sz val="11"/>
        <rFont val="Times New Roman"/>
        <family val="1"/>
        <charset val="186"/>
      </rPr>
      <t>-__</t>
    </r>
  </si>
  <si>
    <t>SIA "Jelgavas nekustamā īpašuma pārvalde": apsaimniekošanā esošo grodu aku dzeramā ūdens kvalitātes laboratoriskā kontrole un nodrošināšana</t>
  </si>
  <si>
    <t>SIA "Jelgavas ūdens": programma saimnieciski - fekālās kanalizācijas sistēmas attīstība un pārslēgumi, kanalizācijas sistēma attīstība un pārslēgumi, vides piesārņojuma samazināšana un centralizēto tīklu pieslēgumu izbūve</t>
  </si>
  <si>
    <t>Pašvaldības administrācija - vides aizsardzības semināri, konferences, vides projektu pasākumi, dabas resursu nodokļa ieņēmumu administrēšana</t>
  </si>
  <si>
    <t>JPPI "Pilsētsaimniecība" - lietus ūdens kanalizācijas pasākumi, naftas produktu piesārņojuma attīrīšana</t>
  </si>
  <si>
    <t>7. pielikums</t>
  </si>
  <si>
    <t>SAISTOŠAJIEM NOTEIKUMIEM Nr. ___-___</t>
  </si>
  <si>
    <t>JELGAVAS PILSĒTAS PAŠVALDĪBAS 2018. GADA SPECIĀLAIS BUDŽETS ATŠIFRĒJUMĀ PA PROGRAMMĀM UN EKONOMISKĀS KLASIFIKĀCIJAS KODIEM</t>
  </si>
  <si>
    <t>04.501. Mērķdotācija SIA 'Jelgavas autobusu parks' sabiedriskā transporta pakalpojuma nodrošināšanai</t>
  </si>
  <si>
    <t>05.303. Dotācija pašvaldības komersantiem - SB</t>
  </si>
  <si>
    <t>07. JELGAVAS PILSĒTAS PAŠVALDĪBAS IESTĀDE "PILSĒTSAIMNIECĪBA"</t>
  </si>
  <si>
    <t>08. JELGAVAS PILSĒTAS PAŠVALDĪBAS IESTĀDE "SPORTA SERVISA CENTRS"</t>
  </si>
  <si>
    <t>10. JELGAVAS PILSĒTAS PAŠVALDĪBAS IESTĀDE "Ģ.ELIASA JELGAVAS VĒSTURES UN MĀKSLAS MUZEJS"</t>
  </si>
  <si>
    <t>11. JELGAVAS PILSĒTAS PAŠVALDĪBAS IESTĀDE "KULTŪRA"</t>
  </si>
  <si>
    <t>14. JELGAVAS PILSĒTAS PAŠVALDĪBAS IESTĀDE "JELGAVAS IZGLĪTĪBAS PĀRVALDE"</t>
  </si>
  <si>
    <t>03. JELGAVAS PILSĒTAS PAŠVALDĪBAS IESTĀDE "PAŠVALDĪBAS IESTĀŽU CENTRALIZĒTĀ GRĀMATVEDĪBA"</t>
  </si>
  <si>
    <t>04. JELGAVAS PILSĒTAS PAŠVALDĪBAS IESTĀDE "JELGAVAS PILSĒTAS PAŠVALDĪBAS POLICIJA"</t>
  </si>
  <si>
    <t>05. JELGAVAS PILSĒTAS PAŠVALDĪBAS IESTĀDE "JELGAVAS PAŠVALDĪBAS OPERATĪVĀS INFORMĀCIJAS CENTRS"</t>
  </si>
  <si>
    <t>03.202. PI 'Jelgavas pašvaldības operatīvās informācijas centrs' darbības nodrošināšana</t>
  </si>
  <si>
    <t>06. JELGAVAS PILSĒTAS PAŠVALDĪBAS IESTĀDE "JELGAVAS REĢIONĀLAIS TŪRISMA CENTRS"</t>
  </si>
  <si>
    <t>09. JELGAVAS PILSĒTAS PAŠVALDĪBAS IESTĀDE "JELGAVAS PILSĒTAS BIBLIOTĒKA"</t>
  </si>
  <si>
    <t>12. JELGAVAS PILSĒTAS PAŠVALDĪBAS IESTĀDE "ZEMGALES INFO"</t>
  </si>
  <si>
    <t>13. JELGAVAS PILSĒTAS PAŠVALDĪBAS IESTĀDE "JELGAVAS IZGLĪTĪBAS PĀRVALDE"</t>
  </si>
  <si>
    <t>14. JELGAVAS PILSĒTAS PAŠVALDĪBAS IESTĀDE "ZEMGALES REĢIONA KOMPETENČU ATTĪSTĪBAS CENTRS"</t>
  </si>
  <si>
    <t>15. JELGAVAS PILSĒTAS PAŠVALDIBAS IESTĀDE "JELGAVAS PILSĒTAS BĀRIŅTIESA"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</si>
  <si>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</si>
  <si>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</si>
  <si>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</si>
  <si>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</si>
  <si>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</si>
  <si>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</si>
  <si>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</si>
  <si>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</si>
  <si>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</si>
  <si>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</si>
  <si>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KOPĀ</t>
  </si>
  <si>
    <t xml:space="preserve">Valsts kase </t>
  </si>
  <si>
    <t>Siltumtīklu rehabilitācija</t>
  </si>
  <si>
    <t>12.09.2003.</t>
  </si>
  <si>
    <t>Pamatsumma</t>
  </si>
  <si>
    <t>A2/1/F03/539</t>
  </si>
  <si>
    <t>05.05.2027.</t>
  </si>
  <si>
    <t>Valsts kase</t>
  </si>
  <si>
    <t>Stāvlaukuma un ielu rekonstrukcija</t>
  </si>
  <si>
    <t>27.06.2006.</t>
  </si>
  <si>
    <t>A2/1/10/471</t>
  </si>
  <si>
    <t>20.03.2021.</t>
  </si>
  <si>
    <t>Peldu ielas izbūve</t>
  </si>
  <si>
    <t>13.10.2006.</t>
  </si>
  <si>
    <t>A2/1/10/488</t>
  </si>
  <si>
    <t>Pašvaldību iestāžu ēku remonts</t>
  </si>
  <si>
    <t>21.06.2007.-</t>
  </si>
  <si>
    <t>A2/1/07/301</t>
  </si>
  <si>
    <t>20.01.2017.</t>
  </si>
  <si>
    <t>Pamatkapitāla palielināšana SIA "ZOC"</t>
  </si>
  <si>
    <t>A2/1/07/303</t>
  </si>
  <si>
    <t>20.03.2022.</t>
  </si>
  <si>
    <t>Pilsētas ielu izbūve, renovācija un remonts</t>
  </si>
  <si>
    <t>A2/1/07/304</t>
  </si>
  <si>
    <t>Infrastruktūras objektu rekonstrukcija un izbūve</t>
  </si>
  <si>
    <t>A2/1/07/305</t>
  </si>
  <si>
    <t>A2/1/07/306</t>
  </si>
  <si>
    <t>Energoefektivitātes paaugstināšana 4.vsk., 6.vsk, 4.psk, 1.intern.psk.</t>
  </si>
  <si>
    <t>11.04.2008.-</t>
  </si>
  <si>
    <t>A2/1/10/470</t>
  </si>
  <si>
    <t>20.03.2027.</t>
  </si>
  <si>
    <t>Projekts "Biznesa inkubatora izveide"</t>
  </si>
  <si>
    <t>A2/1/10/468</t>
  </si>
  <si>
    <t>20.02.2022.</t>
  </si>
  <si>
    <t>Pamatkapitāla palielināšana pašvaldības SIA</t>
  </si>
  <si>
    <t>A2/1/10/469</t>
  </si>
  <si>
    <t>Pilsētas ielu un infrastruktūras objektu renovācija</t>
  </si>
  <si>
    <t>A2/1/10/467</t>
  </si>
  <si>
    <t>Dzīvojamā fonda iegāde</t>
  </si>
  <si>
    <t>A2/1/10/466</t>
  </si>
  <si>
    <t xml:space="preserve">Projekts "Publiskās partnerības ieviešana" </t>
  </si>
  <si>
    <t>01.08.2008.-</t>
  </si>
  <si>
    <t>A2/1/10/484</t>
  </si>
  <si>
    <t>20.06.2022.</t>
  </si>
  <si>
    <t>Projekts "Daudzfunkcionālā centra izveide"</t>
  </si>
  <si>
    <t>A2/1/10/465</t>
  </si>
  <si>
    <t>Luksofori Raiņa/ Akadēmijas, Raiņa/Kalpaka ielu krustojumos</t>
  </si>
  <si>
    <t>23.10.2008.-</t>
  </si>
  <si>
    <t>A2/1/10/463</t>
  </si>
  <si>
    <t>Kalnciema ceļa un Tērvetes ielas seguma atjaunošana</t>
  </si>
  <si>
    <t>A2/1/10/464</t>
  </si>
  <si>
    <t>20.09.2027.</t>
  </si>
  <si>
    <t xml:space="preserve">Atraktīvu un pieejamu muzeju attīstība Zemgalē un Ziemeļlietuvā </t>
  </si>
  <si>
    <t>21.04.2009.-</t>
  </si>
  <si>
    <t>A2/1/11/36</t>
  </si>
  <si>
    <t>20.04.2023.</t>
  </si>
  <si>
    <t>Energoefektīva un saskaņota darbība pilsētas attīstībā</t>
  </si>
  <si>
    <t>A2/1/11/42</t>
  </si>
  <si>
    <t>Pārrobežu sadarbības iniciatīva riska vadības sistēmas veidošana</t>
  </si>
  <si>
    <t>19.06.2009.-</t>
  </si>
  <si>
    <t>A2/1/11/41</t>
  </si>
  <si>
    <t>20.05.2023.</t>
  </si>
  <si>
    <t>4. vidusskolas piebūves celtniecība</t>
  </si>
  <si>
    <t>12.08.2009.-</t>
  </si>
  <si>
    <t>A2/1/11/40</t>
  </si>
  <si>
    <t>20.09.2028.</t>
  </si>
  <si>
    <t>Lielupes gultnes tīrīšana un labā krasta aizsargdambja atjaunošana</t>
  </si>
  <si>
    <t>25.08.2009.-</t>
  </si>
  <si>
    <t>A2/1/11/43</t>
  </si>
  <si>
    <t>20.07.2023.</t>
  </si>
  <si>
    <t xml:space="preserve">Transporta, inženierkomunikāciju infrastruktūras izveide Pārlielupē </t>
  </si>
  <si>
    <t>A2/1/11/39</t>
  </si>
  <si>
    <t>Transporta infrastruktūras sakārtošana pilsētas centrā</t>
  </si>
  <si>
    <t>01.12.2009-</t>
  </si>
  <si>
    <t>A2/1/11/38</t>
  </si>
  <si>
    <t>Reģiona nozīmes tūrisma un kultur izglītības centra izveide Jelgavā</t>
  </si>
  <si>
    <t>08.12.2009-</t>
  </si>
  <si>
    <t>A2/1/11/37</t>
  </si>
  <si>
    <t>25.03.2010-</t>
  </si>
  <si>
    <t>A2/1/10/220</t>
  </si>
  <si>
    <t>20.03.2024.</t>
  </si>
  <si>
    <t>A2/1/10/221</t>
  </si>
  <si>
    <t>Satiksmes drošības uzlabošana Rūpniecības - Atmodas ielas posmā</t>
  </si>
  <si>
    <t>20.05.2010-</t>
  </si>
  <si>
    <t>A2/1/10/334</t>
  </si>
  <si>
    <t>Sadarbība mācību programmu kvalitātes uzlabošana</t>
  </si>
  <si>
    <t>11.06.2010-</t>
  </si>
  <si>
    <t>A2/1/10/411</t>
  </si>
  <si>
    <t>Ā.Alunāna memoriālā muzeja pakalpojumu dažādošana</t>
  </si>
  <si>
    <t>02.07.2010-</t>
  </si>
  <si>
    <t>A2/1/10/503</t>
  </si>
  <si>
    <t>14.07.2010-</t>
  </si>
  <si>
    <t>A2/1/10/542</t>
  </si>
  <si>
    <t>Dobeles šosejas rekonstrukcija</t>
  </si>
  <si>
    <t>A2/1/10/543</t>
  </si>
  <si>
    <t>Raiņa, Lielās, Čakstes ielu rekonstrukcijas projekta izstrāde</t>
  </si>
  <si>
    <t>22.10.2010-</t>
  </si>
  <si>
    <t>A2/1/10/899</t>
  </si>
  <si>
    <t>20.05.2024.</t>
  </si>
  <si>
    <t>Mācību projekta moderniz. un infrastr. uzlabošana Amatu vsk.</t>
  </si>
  <si>
    <t>A2/1/11/35</t>
  </si>
  <si>
    <t>20.09.2024.</t>
  </si>
  <si>
    <t>566E</t>
  </si>
  <si>
    <t>11.10.2010-</t>
  </si>
  <si>
    <t>A2/1/11/34</t>
  </si>
  <si>
    <t>20.09.2029.</t>
  </si>
  <si>
    <t>29.07.2010-20.03.2024</t>
  </si>
  <si>
    <t>A2/1/10/599</t>
  </si>
  <si>
    <t>01.09.2010-20.03.2029</t>
  </si>
  <si>
    <t>A2/1/10/708</t>
  </si>
  <si>
    <t>Jelgavas vecpilsētas atjaunošana un pielāgošana</t>
  </si>
  <si>
    <t>01.09.2010-20.03.2024</t>
  </si>
  <si>
    <t>A2/1/10/709</t>
  </si>
  <si>
    <t>27.08.2010-20.03.2029</t>
  </si>
  <si>
    <t>A2/1/10/689</t>
  </si>
  <si>
    <t>Jelgavas speciālo izglītības iestāžu infrastruktūras sakārtošana</t>
  </si>
  <si>
    <t>13.09.2010-20.03.2024</t>
  </si>
  <si>
    <t>A2/1/10/740</t>
  </si>
  <si>
    <t>Jelgavas pašvaldības PII Pulkveža brieža ielā 23a rekonstrukcija</t>
  </si>
  <si>
    <t>24.09.2010-20.03.2024</t>
  </si>
  <si>
    <t>A2/1/10/782</t>
  </si>
  <si>
    <t>Energoefektivitātes paaugstināšana izglītības iestāžu ēkās</t>
  </si>
  <si>
    <t>24.09.2010-20.03.2029</t>
  </si>
  <si>
    <t>A2/1/10/783</t>
  </si>
  <si>
    <t>Kvalitatīvai dabaszinātņu apguvei - materiālās bāzes nodrošināšana</t>
  </si>
  <si>
    <t>A2/1/10/785</t>
  </si>
  <si>
    <t>Sociālās dzīvojamās mājas siltumnoturības uzlabošana</t>
  </si>
  <si>
    <t>02.05.2011-20.04.2025</t>
  </si>
  <si>
    <t>A2/1/11/177</t>
  </si>
  <si>
    <t>Šauļu un Jelgavas pils.pašv. sadarb. kult. un sporta dzīves pilnv.</t>
  </si>
  <si>
    <t>13.05.2011-20.04.2025</t>
  </si>
  <si>
    <t>A2/1/11/204</t>
  </si>
  <si>
    <t>Meliorat. sist. rekonstrukc.cukura rūpn. skartajās terit. Jelgavā</t>
  </si>
  <si>
    <t>26.05.2011-20.04.2025</t>
  </si>
  <si>
    <t>A2/1/11/233</t>
  </si>
  <si>
    <t>Energoefektivitātes paaugstināšana Amatu vidusskolā</t>
  </si>
  <si>
    <t>23.08.2011-20.04.2025</t>
  </si>
  <si>
    <t>A2/1/11/483</t>
  </si>
  <si>
    <t>Mācību aprīkojuma modernizācija un infrastrukt. uzlab. Amatu vsk.</t>
  </si>
  <si>
    <t>07.12.2011-20.04.2025</t>
  </si>
  <si>
    <t>A2/1/11/760</t>
  </si>
  <si>
    <t>A2/1/11/761</t>
  </si>
  <si>
    <t>Radošo industriju attīstība Latvijas un Lietuvas pierobežas reģionā</t>
  </si>
  <si>
    <t>20.03.2012 - 20.03.2026.</t>
  </si>
  <si>
    <t>A2/1/12/65</t>
  </si>
  <si>
    <t>Ielu infrastruktūras un Driksas upes krastmalas sakārtošana</t>
  </si>
  <si>
    <t>04.10.2012 - 20.09.2026.</t>
  </si>
  <si>
    <t>A2/1/12/559</t>
  </si>
  <si>
    <t>Pasta salas labiekārtošana un upju kā tūrisma un aktīvās atpūtas produktu veidošana</t>
  </si>
  <si>
    <t>16.11.2012. - 20.11.2026.</t>
  </si>
  <si>
    <t>A2/1/12/690</t>
  </si>
  <si>
    <t>Hidrotehnisko būvju rekonstrukcija plūdu draudu risku novēršana</t>
  </si>
  <si>
    <t>06.09.2012-20.09.2012.</t>
  </si>
  <si>
    <t>A2/1/12/493</t>
  </si>
  <si>
    <t>Lietuvas šosejas rekonstrukcija</t>
  </si>
  <si>
    <t>25.09.2012. - 20.09.2026.</t>
  </si>
  <si>
    <t>A2/1/12/532</t>
  </si>
  <si>
    <t>PII Skautu iela 1a iegāde</t>
  </si>
  <si>
    <t>14.05.2013. - 20.05.2033.</t>
  </si>
  <si>
    <t>A2/1/13/174</t>
  </si>
  <si>
    <t>PII "Vārpiņa" rekonstrukcija</t>
  </si>
  <si>
    <t>10.07.2013.-20.07.2033.</t>
  </si>
  <si>
    <t>A2/1/13/341</t>
  </si>
  <si>
    <t>Vides izpratnes veicināšana Jelgavas un Šauļu pilsētās</t>
  </si>
  <si>
    <t>07.08.2013. - 20.07.2033.</t>
  </si>
  <si>
    <t>A2/1/13/395</t>
  </si>
  <si>
    <t>Ielu apgaismojums - p/ie "Pilsētsaimniecība"</t>
  </si>
  <si>
    <t>27.08.2013.-20.08.2033.</t>
  </si>
  <si>
    <t>A2/1/13/432</t>
  </si>
  <si>
    <t>PII Ganību ielā 66 rekonstrukcija - II kārta</t>
  </si>
  <si>
    <t>27.08.2013.- 20.08.2033.</t>
  </si>
  <si>
    <t>A2/1/13/444</t>
  </si>
  <si>
    <t xml:space="preserve">Pasta salas labiekārtošana </t>
  </si>
  <si>
    <t>27.11.2013.- 20.11.2033.</t>
  </si>
  <si>
    <t>A2/1/13/996</t>
  </si>
  <si>
    <t>Ganību iela II kārta</t>
  </si>
  <si>
    <t>28.01.2014.- 20.01.2034</t>
  </si>
  <si>
    <t>A2/1/14/16</t>
  </si>
  <si>
    <t>Jāņa kolektora rekonstrukcija plūdu draudu novēršanai</t>
  </si>
  <si>
    <t>13.03.2014.-20.03.2034.</t>
  </si>
  <si>
    <t>A2/1/14/124</t>
  </si>
  <si>
    <t>Ganību iela I kārta</t>
  </si>
  <si>
    <t>27.03.2014.-20.03.2034.</t>
  </si>
  <si>
    <t>A2/1/14/185</t>
  </si>
  <si>
    <t>Transporta infrastruktūras izbūve - Aviācijas iela</t>
  </si>
  <si>
    <t>22.05.2014.- 20.05.2034.</t>
  </si>
  <si>
    <t>A2/1/14/330</t>
  </si>
  <si>
    <t>Satiksmes termināls</t>
  </si>
  <si>
    <t>25.05.2014.-20.05.2034.</t>
  </si>
  <si>
    <t>A2/1/14/341</t>
  </si>
  <si>
    <t>JPPPII "Rotaļa" rekonstrukcija</t>
  </si>
  <si>
    <t>15.07.2014. - 20.06.2034.</t>
  </si>
  <si>
    <t>A2/1/14/448</t>
  </si>
  <si>
    <t xml:space="preserve">JPPPII Skautu ielā 1a rekonstr. </t>
  </si>
  <si>
    <t>31.07.2014. - 20.07.2034.</t>
  </si>
  <si>
    <t>A2/1/14/512</t>
  </si>
  <si>
    <t>Kultūras nama jumta remonts</t>
  </si>
  <si>
    <t>624E</t>
  </si>
  <si>
    <t>19.08.2014. - 20.08.2034.</t>
  </si>
  <si>
    <t>A2/1/14/562</t>
  </si>
  <si>
    <t>Jelgavas 1.internātpamatskolas rekonstrukcijas darbi</t>
  </si>
  <si>
    <t>12.09.2014. - 20.09.2034.</t>
  </si>
  <si>
    <t>A2/1/14/653</t>
  </si>
  <si>
    <t>Lietuvas šosejas seguma atjaunošana</t>
  </si>
  <si>
    <t>21.11.2014. - 20.11.2034.</t>
  </si>
  <si>
    <t>A2/1/14/890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</si>
  <si>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</si>
  <si>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</si>
  <si>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</si>
  <si>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</si>
  <si>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</si>
  <si>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</si>
  <si>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</si>
  <si>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</si>
  <si>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</si>
  <si>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</si>
  <si>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</si>
  <si>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</si>
  <si>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</si>
  <si>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</si>
  <si>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</si>
  <si>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Izglītības iestāžu invest.pr. "Jelgavas Valsts ģimnāzijas pārbūve"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</si>
  <si>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</si>
  <si>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</si>
  <si>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</si>
  <si>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</si>
  <si>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</si>
  <si>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</si>
  <si>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</si>
  <si>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</si>
  <si>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</si>
  <si>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</si>
  <si>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</si>
  <si>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</si>
  <si>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31.08.2017.-20.03.2047.</t>
  </si>
  <si>
    <t>A2/1/17/632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</si>
  <si>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</si>
  <si>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</si>
  <si>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</si>
  <si>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</si>
  <si>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</si>
  <si>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</si>
  <si>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A2/1/17/842</t>
  </si>
  <si>
    <t xml:space="preserve">  Kopā pamatsummas                  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</si>
  <si>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</si>
  <si>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</si>
  <si>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</si>
  <si>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</si>
  <si>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</si>
  <si>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izmaiņas pret iepriekšējo gadu</t>
  </si>
  <si>
    <t>Galvojumi:</t>
  </si>
  <si>
    <t xml:space="preserve">SIA Jelgavas ūdens - "Ūdenssaimniecības pakalpojumu attīstība Jelgavā, II kārta" </t>
  </si>
  <si>
    <t>03.12.2010. - 20.12.2030.</t>
  </si>
  <si>
    <t>A/1/10/1025</t>
  </si>
  <si>
    <t>Swdbank</t>
  </si>
  <si>
    <t>SIA Komunālie pakalpojumi</t>
  </si>
  <si>
    <t>12.09.2012. - 12.09.2019.</t>
  </si>
  <si>
    <t>12-022694-IN/1</t>
  </si>
  <si>
    <t xml:space="preserve">SIA Jelgavas ūdens - "Ūdenssaimniecības pakalpojumu attīstība Jelgavā, III kārta" </t>
  </si>
  <si>
    <t>18.12.2013. - 20.12.2030.</t>
  </si>
  <si>
    <t>G/13/1206</t>
  </si>
  <si>
    <t xml:space="preserve">SIA Jelgavas ūdens - "Ūdenssaimniecības pakalpojumu attīstība Jelgavā, IV kārta" </t>
  </si>
  <si>
    <t>16.10.2015 - 20.09.2025</t>
  </si>
  <si>
    <t>G/15/580</t>
  </si>
  <si>
    <t>Galvojumu saistības kopā</t>
  </si>
  <si>
    <t>PAVISAM KOPĀ:</t>
  </si>
  <si>
    <t xml:space="preserve"> Kopā pamatsummas                  </t>
  </si>
  <si>
    <t>ES fondu atbalstīto projektu priekšfinansējums un līdzfinansējums</t>
  </si>
  <si>
    <t>Reģiona nozīmes tūrisma un kultur- izglītības centra izveide Jelgavā</t>
  </si>
  <si>
    <t>Atmodas ielas posmu asfalta seguma atjaunošana</t>
  </si>
  <si>
    <t>SIA "Jelgavas ūdens" pamatkapitāla palielināšanai projekta "Ūdenssaimniecības pakalpojumu attīstība Jelgavā, V kārta" īstenošanai</t>
  </si>
  <si>
    <t>Izglītības iestāžu invest.pr. "Jelgavas PII "Rotaļa" ēkas rekonstrukcija"</t>
  </si>
  <si>
    <t>24.11.2017.-20.11.2022</t>
  </si>
  <si>
    <t>2033-2047</t>
  </si>
  <si>
    <t xml:space="preserve">         JELGAVAS PILSĒTAS PAŠVALDĪBAS ILGTERMIŅA SAISTĪBAS</t>
  </si>
  <si>
    <t>Projekts</t>
  </si>
  <si>
    <t>8. pielikums</t>
  </si>
  <si>
    <t>JELGAVAS PILSĒTAS PAŠVALDĪBAS VIDĒJA TERMIŅA IELU FINANSĒŠANAI PAREDZĒTAIS AUTOCEĻU FONDS</t>
  </si>
  <si>
    <t>N.p.k.</t>
  </si>
  <si>
    <t>2018.gads</t>
  </si>
  <si>
    <t>2019.gads</t>
  </si>
  <si>
    <t>Izdevumi - kopā</t>
  </si>
  <si>
    <t>Ielu būvniecība un rekonstrukcija</t>
  </si>
  <si>
    <t>Ietvju būvniecība un rekonstrukcija</t>
  </si>
  <si>
    <t>Ceļu un ielu atjaunošana, pārbūve un nojaukšana</t>
  </si>
  <si>
    <t>Ceļu un ielu ikdienas uzturēšana</t>
  </si>
  <si>
    <t>Pārējie izdevumi</t>
  </si>
  <si>
    <t>Finansēšana</t>
  </si>
  <si>
    <t>Naudas līdzekļi perioda sākumā</t>
  </si>
  <si>
    <t>2020.gads</t>
  </si>
  <si>
    <t>MUZEJA jumta skārda seguma nomaiņa un bēniņu pārseguma siltināšana</t>
  </si>
  <si>
    <t>16. JELGAVAS PILSĒTAS PAŠVALDĪBAS IESTĀDE "JELGAVAS SOCIĀLO LIETU PĀRVALDE"</t>
  </si>
  <si>
    <t>17. JELGAVAS PILSĒTAS PAŠVALDĪBAS IESTĀDE "JELGAVAS BĒRNU SOCIĀLĀS APRŪPES CENTRS"</t>
  </si>
  <si>
    <t>17. JELGAVAS PILSĒTAS PAŠVALDĪBAS IESTĀDE 'JELGAVAS BĒRNU SOCIĀLĀS APRŪPES CENTRS'</t>
  </si>
  <si>
    <t>08.403. Subsīdija nodibinājumam 'Atbalsts Kultūrai Jelgava'</t>
  </si>
  <si>
    <t>Subsīdija nodibinājumam "Atbalsts Kultūrai Jelgava"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</si>
</sst>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.00\ &quot;Ls&quot;_-;\-* #,##0.00\ &quot;Ls&quot;_-;_-* &quot;-&quot;??\ &quot;Ls&quot;_-;_-@_-"/>
    <numFmt numFmtId="166" formatCode="_-* #,##0.00\ _L_s_-;\-* #,##0.00\ _L_s_-;_-* &quot;-&quot;??\ _L_s_-;_-@_-"/>
    <numFmt numFmtId="167" formatCode="0.000"/>
    <numFmt numFmtId="168" formatCode="0.000%"/>
    <numFmt numFmtId="169" formatCode="_-* #,##0\ _L_s_-;\-* #,##0\ _L_s_-;_-* &quot;-&quot;??\ _L_s_-;_-@_-"/>
    <numFmt numFmtId="170" formatCode="#,##0.00_ ;\-#,##0.00\ "/>
  </numFmts>
  <fonts count="9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6"/>
      <name val="Times New Roman Baltic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Arial"/>
      <family val="2"/>
      <charset val="186"/>
    </font>
    <font>
      <sz val="12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name val="Arial"/>
      <family val="2"/>
      <charset val="186"/>
    </font>
    <font>
      <sz val="13"/>
      <name val="Arial"/>
      <family val="2"/>
      <charset val="186"/>
    </font>
    <font>
      <b/>
      <sz val="13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</font>
    <font>
      <sz val="10"/>
      <name val="Times New Roman Baltic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u/>
      <sz val="11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  <charset val="186"/>
    </font>
    <font>
      <i/>
      <sz val="11"/>
      <color rgb="FFFF0000"/>
      <name val="Times New Roman Baltic"/>
      <charset val="186"/>
    </font>
    <font>
      <b/>
      <sz val="10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Arial"/>
      <family val="2"/>
      <charset val="186"/>
    </font>
    <font>
      <b/>
      <sz val="11"/>
      <name val="Times New Roman Baltic"/>
      <charset val="186"/>
    </font>
    <font>
      <i/>
      <sz val="11"/>
      <name val="Times New Roman Baltic"/>
      <charset val="186"/>
    </font>
    <font>
      <i/>
      <sz val="11"/>
      <name val="Times New Roman"/>
      <family val="1"/>
    </font>
    <font>
      <i/>
      <sz val="11"/>
      <name val="Times New Roman Baltic"/>
      <family val="1"/>
      <charset val="186"/>
    </font>
    <font>
      <sz val="11"/>
      <name val="Times New Roman"/>
      <family val="1"/>
    </font>
    <font>
      <b/>
      <sz val="16"/>
      <name val="Times New Roman"/>
      <family val="1"/>
      <charset val="186"/>
    </font>
    <font>
      <sz val="16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name val="Times New Roman"/>
      <family val="1"/>
      <charset val="186"/>
    </font>
    <font>
      <sz val="14"/>
      <name val="Times New Roman Baltic"/>
      <family val="1"/>
      <charset val="186"/>
    </font>
    <font>
      <b/>
      <sz val="11"/>
      <name val="Times New Roman"/>
      <family val="1"/>
    </font>
    <font>
      <b/>
      <sz val="11"/>
      <name val="Times New Roman Baltic"/>
      <family val="1"/>
      <charset val="186"/>
    </font>
    <font>
      <sz val="10"/>
      <name val="Arial"/>
      <family val="2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color theme="3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69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39" fillId="0" borderId="0"/>
    <xf numFmtId="0" fontId="39" fillId="0" borderId="0"/>
    <xf numFmtId="0" fontId="48" fillId="0" borderId="0"/>
    <xf numFmtId="0" fontId="42" fillId="0" borderId="0"/>
    <xf numFmtId="0" fontId="46" fillId="0" borderId="0"/>
    <xf numFmtId="0" fontId="39" fillId="0" borderId="0"/>
    <xf numFmtId="0" fontId="4" fillId="23" borderId="7" applyNumberFormat="0" applyFont="0" applyAlignment="0" applyProtection="0"/>
    <xf numFmtId="0" fontId="29" fillId="20" borderId="8" applyNumberFormat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76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4" fillId="0" borderId="0"/>
  </cellStyleXfs>
  <cellXfs count="679">
    <xf numFmtId="0" fontId="0" fillId="0" borderId="0" xfId="0"/>
    <xf numFmtId="0" fontId="5" fillId="0" borderId="0" xfId="0" applyFont="1"/>
    <xf numFmtId="0" fontId="7" fillId="0" borderId="0" xfId="0" applyFont="1" applyBorder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0" fontId="9" fillId="0" borderId="0" xfId="0" applyFont="1" applyFill="1"/>
    <xf numFmtId="3" fontId="0" fillId="0" borderId="0" xfId="0" applyNumberFormat="1"/>
    <xf numFmtId="0" fontId="5" fillId="0" borderId="0" xfId="0" applyFont="1" applyBorder="1"/>
    <xf numFmtId="0" fontId="11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3" fontId="5" fillId="0" borderId="0" xfId="0" applyNumberFormat="1" applyFont="1"/>
    <xf numFmtId="0" fontId="37" fillId="0" borderId="0" xfId="0" applyFont="1"/>
    <xf numFmtId="3" fontId="38" fillId="0" borderId="0" xfId="0" applyNumberFormat="1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0" fontId="12" fillId="0" borderId="0" xfId="0" applyFont="1" applyBorder="1"/>
    <xf numFmtId="0" fontId="8" fillId="0" borderId="0" xfId="0" applyFont="1" applyBorder="1"/>
    <xf numFmtId="0" fontId="11" fillId="0" borderId="0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6" fillId="0" borderId="0" xfId="0" applyFont="1" applyAlignment="1">
      <alignment horizontal="right"/>
    </xf>
    <xf numFmtId="0" fontId="8" fillId="0" borderId="0" xfId="0" applyFont="1" applyFill="1" applyBorder="1"/>
    <xf numFmtId="0" fontId="8" fillId="0" borderId="0" xfId="0" applyFont="1" applyFill="1"/>
    <xf numFmtId="0" fontId="11" fillId="0" borderId="0" xfId="0" applyFont="1" applyBorder="1"/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54" fillId="0" borderId="0" xfId="59" applyFont="1"/>
    <xf numFmtId="0" fontId="54" fillId="0" borderId="0" xfId="59" applyFont="1" applyAlignment="1">
      <alignment wrapText="1"/>
    </xf>
    <xf numFmtId="0" fontId="54" fillId="0" borderId="0" xfId="59" applyFont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1" fillId="0" borderId="0" xfId="0" applyFont="1" applyBorder="1"/>
    <xf numFmtId="0" fontId="51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/>
    </xf>
    <xf numFmtId="0" fontId="51" fillId="0" borderId="0" xfId="0" applyFont="1" applyBorder="1" applyAlignment="1">
      <alignment horizontal="left" wrapText="1" indent="2"/>
    </xf>
    <xf numFmtId="0" fontId="51" fillId="0" borderId="0" xfId="0" applyFont="1"/>
    <xf numFmtId="0" fontId="51" fillId="0" borderId="0" xfId="0" applyFont="1" applyAlignment="1">
      <alignment vertical="center" wrapText="1"/>
    </xf>
    <xf numFmtId="0" fontId="56" fillId="0" borderId="0" xfId="0" applyFont="1"/>
    <xf numFmtId="0" fontId="56" fillId="0" borderId="0" xfId="0" applyFont="1" applyAlignment="1">
      <alignment horizontal="center"/>
    </xf>
    <xf numFmtId="3" fontId="52" fillId="0" borderId="10" xfId="0" applyNumberFormat="1" applyFont="1" applyFill="1" applyBorder="1" applyAlignment="1">
      <alignment horizontal="center"/>
    </xf>
    <xf numFmtId="3" fontId="52" fillId="0" borderId="10" xfId="0" applyNumberFormat="1" applyFont="1" applyBorder="1" applyAlignment="1">
      <alignment horizontal="center"/>
    </xf>
    <xf numFmtId="0" fontId="52" fillId="0" borderId="10" xfId="0" applyFont="1" applyFill="1" applyBorder="1" applyAlignment="1">
      <alignment horizontal="right" wrapText="1"/>
    </xf>
    <xf numFmtId="0" fontId="52" fillId="0" borderId="10" xfId="0" applyFont="1" applyFill="1" applyBorder="1" applyAlignment="1">
      <alignment horizontal="left" vertical="center" wrapText="1" indent="1"/>
    </xf>
    <xf numFmtId="0" fontId="52" fillId="28" borderId="10" xfId="0" applyFont="1" applyFill="1" applyBorder="1" applyAlignment="1">
      <alignment horizontal="right" wrapText="1"/>
    </xf>
    <xf numFmtId="3" fontId="52" fillId="28" borderId="10" xfId="0" applyNumberFormat="1" applyFont="1" applyFill="1" applyBorder="1" applyAlignment="1">
      <alignment horizontal="center"/>
    </xf>
    <xf numFmtId="0" fontId="52" fillId="28" borderId="10" xfId="0" applyFont="1" applyFill="1" applyBorder="1" applyAlignment="1">
      <alignment horizontal="left" vertical="center" wrapText="1" indent="1"/>
    </xf>
    <xf numFmtId="0" fontId="57" fillId="0" borderId="0" xfId="0" applyFont="1"/>
    <xf numFmtId="0" fontId="57" fillId="0" borderId="0" xfId="0" applyFont="1" applyAlignment="1">
      <alignment vertical="center" wrapText="1"/>
    </xf>
    <xf numFmtId="3" fontId="57" fillId="0" borderId="0" xfId="0" applyNumberFormat="1" applyFont="1"/>
    <xf numFmtId="0" fontId="57" fillId="0" borderId="0" xfId="0" applyFont="1" applyAlignment="1">
      <alignment horizontal="center"/>
    </xf>
    <xf numFmtId="3" fontId="51" fillId="0" borderId="0" xfId="0" applyNumberFormat="1" applyFont="1"/>
    <xf numFmtId="0" fontId="51" fillId="0" borderId="0" xfId="0" applyFont="1" applyAlignment="1">
      <alignment horizontal="center"/>
    </xf>
    <xf numFmtId="0" fontId="55" fillId="0" borderId="0" xfId="59" applyFont="1"/>
    <xf numFmtId="0" fontId="55" fillId="0" borderId="0" xfId="59" applyFont="1" applyAlignment="1">
      <alignment wrapText="1"/>
    </xf>
    <xf numFmtId="0" fontId="55" fillId="0" borderId="10" xfId="59" applyFont="1" applyBorder="1"/>
    <xf numFmtId="0" fontId="60" fillId="0" borderId="10" xfId="59" applyFont="1" applyBorder="1"/>
    <xf numFmtId="0" fontId="6" fillId="0" borderId="0" xfId="59" applyFont="1"/>
    <xf numFmtId="0" fontId="6" fillId="0" borderId="0" xfId="59" applyFont="1" applyAlignment="1">
      <alignment wrapText="1"/>
    </xf>
    <xf numFmtId="0" fontId="8" fillId="0" borderId="10" xfId="59" applyFont="1" applyBorder="1"/>
    <xf numFmtId="0" fontId="8" fillId="0" borderId="10" xfId="59" applyFont="1" applyBorder="1" applyAlignment="1">
      <alignment horizontal="left"/>
    </xf>
    <xf numFmtId="0" fontId="41" fillId="0" borderId="10" xfId="59" applyFont="1" applyBorder="1" applyAlignment="1">
      <alignment horizontal="left" wrapText="1" indent="2"/>
    </xf>
    <xf numFmtId="0" fontId="6" fillId="0" borderId="10" xfId="59" applyFont="1" applyBorder="1"/>
    <xf numFmtId="3" fontId="6" fillId="0" borderId="10" xfId="59" applyNumberFormat="1" applyFont="1" applyBorder="1"/>
    <xf numFmtId="3" fontId="41" fillId="0" borderId="10" xfId="59" applyNumberFormat="1" applyFont="1" applyBorder="1"/>
    <xf numFmtId="0" fontId="8" fillId="0" borderId="10" xfId="59" applyFont="1" applyBorder="1" applyAlignment="1">
      <alignment wrapText="1"/>
    </xf>
    <xf numFmtId="0" fontId="8" fillId="0" borderId="0" xfId="59" applyFont="1"/>
    <xf numFmtId="0" fontId="62" fillId="27" borderId="10" xfId="59" applyFont="1" applyFill="1" applyBorder="1" applyAlignment="1">
      <alignment horizontal="center" vertical="center" wrapText="1"/>
    </xf>
    <xf numFmtId="0" fontId="6" fillId="0" borderId="0" xfId="59" applyFont="1" applyAlignment="1">
      <alignment horizontal="center"/>
    </xf>
    <xf numFmtId="0" fontId="43" fillId="27" borderId="10" xfId="59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25" borderId="10" xfId="0" applyFont="1" applyFill="1" applyBorder="1" applyAlignment="1">
      <alignment horizontal="center" wrapText="1"/>
    </xf>
    <xf numFmtId="0" fontId="12" fillId="25" borderId="10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/>
    </xf>
    <xf numFmtId="0" fontId="12" fillId="24" borderId="10" xfId="0" applyFont="1" applyFill="1" applyBorder="1" applyAlignment="1">
      <alignment horizontal="center" wrapText="1"/>
    </xf>
    <xf numFmtId="3" fontId="12" fillId="24" borderId="10" xfId="0" applyNumberFormat="1" applyFont="1" applyFill="1" applyBorder="1" applyAlignment="1">
      <alignment horizontal="center" vertical="center"/>
    </xf>
    <xf numFmtId="0" fontId="52" fillId="32" borderId="10" xfId="0" applyFont="1" applyFill="1" applyBorder="1" applyAlignment="1">
      <alignment horizontal="right"/>
    </xf>
    <xf numFmtId="0" fontId="52" fillId="32" borderId="10" xfId="0" applyFont="1" applyFill="1" applyBorder="1" applyAlignment="1">
      <alignment horizontal="left" wrapText="1" indent="2"/>
    </xf>
    <xf numFmtId="3" fontId="51" fillId="32" borderId="10" xfId="0" applyNumberFormat="1" applyFont="1" applyFill="1" applyBorder="1" applyAlignment="1">
      <alignment horizontal="center" vertical="center"/>
    </xf>
    <xf numFmtId="0" fontId="53" fillId="32" borderId="10" xfId="0" applyFont="1" applyFill="1" applyBorder="1"/>
    <xf numFmtId="0" fontId="53" fillId="32" borderId="10" xfId="0" applyFont="1" applyFill="1" applyBorder="1" applyAlignment="1">
      <alignment wrapText="1"/>
    </xf>
    <xf numFmtId="3" fontId="53" fillId="32" borderId="10" xfId="0" applyNumberFormat="1" applyFont="1" applyFill="1" applyBorder="1" applyAlignment="1">
      <alignment horizontal="center" vertical="center"/>
    </xf>
    <xf numFmtId="0" fontId="53" fillId="32" borderId="10" xfId="0" applyFont="1" applyFill="1" applyBorder="1" applyAlignment="1">
      <alignment horizontal="center"/>
    </xf>
    <xf numFmtId="0" fontId="53" fillId="32" borderId="10" xfId="0" applyFont="1" applyFill="1" applyBorder="1" applyAlignment="1">
      <alignment horizontal="left" wrapText="1"/>
    </xf>
    <xf numFmtId="0" fontId="53" fillId="32" borderId="10" xfId="0" applyFont="1" applyFill="1" applyBorder="1" applyAlignment="1">
      <alignment horizontal="left" indent="1"/>
    </xf>
    <xf numFmtId="167" fontId="52" fillId="32" borderId="10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24" borderId="10" xfId="0" applyFont="1" applyFill="1" applyBorder="1" applyAlignment="1">
      <alignment horizontal="center" vertical="center"/>
    </xf>
    <xf numFmtId="0" fontId="8" fillId="24" borderId="10" xfId="0" applyFont="1" applyFill="1" applyBorder="1" applyAlignment="1">
      <alignment horizontal="center" vertical="center" wrapText="1"/>
    </xf>
    <xf numFmtId="3" fontId="8" fillId="24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wrapText="1"/>
    </xf>
    <xf numFmtId="0" fontId="12" fillId="24" borderId="10" xfId="0" applyFont="1" applyFill="1" applyBorder="1" applyAlignment="1">
      <alignment vertical="center" wrapText="1"/>
    </xf>
    <xf numFmtId="3" fontId="12" fillId="24" borderId="1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vertical="center" wrapText="1"/>
    </xf>
    <xf numFmtId="3" fontId="12" fillId="0" borderId="10" xfId="0" applyNumberFormat="1" applyFont="1" applyBorder="1" applyAlignment="1">
      <alignment horizontal="center"/>
    </xf>
    <xf numFmtId="3" fontId="64" fillId="0" borderId="10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right" wrapText="1"/>
    </xf>
    <xf numFmtId="0" fontId="13" fillId="0" borderId="10" xfId="0" applyFont="1" applyBorder="1" applyAlignment="1">
      <alignment horizontal="left" vertical="center" wrapText="1" indent="1"/>
    </xf>
    <xf numFmtId="3" fontId="36" fillId="0" borderId="10" xfId="0" applyNumberFormat="1" applyFont="1" applyFill="1" applyBorder="1" applyAlignment="1">
      <alignment horizontal="center"/>
    </xf>
    <xf numFmtId="3" fontId="65" fillId="0" borderId="10" xfId="0" applyNumberFormat="1" applyFont="1" applyFill="1" applyBorder="1" applyAlignment="1">
      <alignment horizontal="center"/>
    </xf>
    <xf numFmtId="3" fontId="13" fillId="0" borderId="10" xfId="0" applyNumberFormat="1" applyFont="1" applyFill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left" vertical="center" wrapText="1" indent="1"/>
    </xf>
    <xf numFmtId="0" fontId="36" fillId="0" borderId="10" xfId="0" applyFont="1" applyBorder="1" applyAlignment="1">
      <alignment vertical="center" wrapText="1"/>
    </xf>
    <xf numFmtId="3" fontId="36" fillId="0" borderId="10" xfId="0" applyNumberFormat="1" applyFont="1" applyBorder="1" applyAlignment="1">
      <alignment horizontal="center"/>
    </xf>
    <xf numFmtId="0" fontId="13" fillId="0" borderId="10" xfId="0" applyFont="1" applyFill="1" applyBorder="1" applyAlignment="1">
      <alignment horizontal="right" wrapText="1"/>
    </xf>
    <xf numFmtId="0" fontId="12" fillId="0" borderId="10" xfId="0" applyFont="1" applyFill="1" applyBorder="1" applyAlignment="1">
      <alignment horizontal="left" wrapText="1"/>
    </xf>
    <xf numFmtId="0" fontId="36" fillId="0" borderId="10" xfId="0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horizontal="center"/>
    </xf>
    <xf numFmtId="3" fontId="36" fillId="30" borderId="10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2" fillId="0" borderId="10" xfId="0" applyFont="1" applyFill="1" applyBorder="1"/>
    <xf numFmtId="0" fontId="50" fillId="0" borderId="10" xfId="0" applyFont="1" applyBorder="1" applyAlignment="1">
      <alignment vertical="center"/>
    </xf>
    <xf numFmtId="0" fontId="12" fillId="0" borderId="0" xfId="0" applyFont="1" applyAlignment="1">
      <alignment wrapText="1"/>
    </xf>
    <xf numFmtId="0" fontId="66" fillId="0" borderId="10" xfId="0" applyFont="1" applyFill="1" applyBorder="1" applyAlignment="1">
      <alignment horizontal="right" wrapText="1"/>
    </xf>
    <xf numFmtId="0" fontId="67" fillId="0" borderId="10" xfId="0" applyFont="1" applyFill="1" applyBorder="1" applyAlignment="1">
      <alignment horizontal="left" vertical="center" wrapText="1" indent="1"/>
    </xf>
    <xf numFmtId="0" fontId="50" fillId="0" borderId="10" xfId="0" applyFont="1" applyBorder="1" applyAlignment="1">
      <alignment vertical="center" wrapText="1"/>
    </xf>
    <xf numFmtId="49" fontId="13" fillId="0" borderId="10" xfId="0" applyNumberFormat="1" applyFont="1" applyFill="1" applyBorder="1" applyAlignment="1">
      <alignment horizontal="left" vertical="center" wrapText="1" indent="1"/>
    </xf>
    <xf numFmtId="0" fontId="12" fillId="0" borderId="10" xfId="0" applyFont="1" applyFill="1" applyBorder="1" applyAlignment="1">
      <alignment vertical="center" wrapText="1"/>
    </xf>
    <xf numFmtId="0" fontId="66" fillId="0" borderId="10" xfId="0" applyFont="1" applyBorder="1" applyAlignment="1">
      <alignment horizontal="right" wrapText="1"/>
    </xf>
    <xf numFmtId="0" fontId="66" fillId="0" borderId="10" xfId="0" applyFont="1" applyBorder="1" applyAlignment="1">
      <alignment horizontal="left" vertical="center" wrapText="1" indent="1"/>
    </xf>
    <xf numFmtId="3" fontId="66" fillId="0" borderId="10" xfId="0" applyNumberFormat="1" applyFont="1" applyFill="1" applyBorder="1" applyAlignment="1">
      <alignment horizontal="center"/>
    </xf>
    <xf numFmtId="0" fontId="65" fillId="0" borderId="10" xfId="0" applyFont="1" applyFill="1" applyBorder="1" applyAlignment="1">
      <alignment horizontal="left" vertical="center" wrapText="1" indent="1"/>
    </xf>
    <xf numFmtId="49" fontId="13" fillId="0" borderId="10" xfId="0" applyNumberFormat="1" applyFont="1" applyFill="1" applyBorder="1" applyAlignment="1">
      <alignment horizontal="right" wrapText="1"/>
    </xf>
    <xf numFmtId="0" fontId="13" fillId="0" borderId="10" xfId="0" applyFont="1" applyFill="1" applyBorder="1" applyAlignment="1">
      <alignment horizontal="left" wrapText="1" indent="1"/>
    </xf>
    <xf numFmtId="0" fontId="13" fillId="28" borderId="10" xfId="0" applyFont="1" applyFill="1" applyBorder="1" applyAlignment="1">
      <alignment horizontal="right" wrapText="1"/>
    </xf>
    <xf numFmtId="0" fontId="13" fillId="28" borderId="10" xfId="0" applyFont="1" applyFill="1" applyBorder="1" applyAlignment="1">
      <alignment horizontal="left" wrapText="1"/>
    </xf>
    <xf numFmtId="3" fontId="13" fillId="28" borderId="1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wrapText="1"/>
    </xf>
    <xf numFmtId="3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right"/>
    </xf>
    <xf numFmtId="0" fontId="13" fillId="0" borderId="10" xfId="0" applyFont="1" applyBorder="1" applyAlignment="1">
      <alignment horizontal="left" wrapText="1" indent="2"/>
    </xf>
    <xf numFmtId="3" fontId="11" fillId="0" borderId="10" xfId="0" applyNumberFormat="1" applyFont="1" applyBorder="1" applyAlignment="1">
      <alignment horizontal="center" vertical="center"/>
    </xf>
    <xf numFmtId="0" fontId="12" fillId="0" borderId="10" xfId="0" applyFont="1" applyBorder="1"/>
    <xf numFmtId="0" fontId="13" fillId="0" borderId="1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left" wrapText="1" indent="2"/>
    </xf>
    <xf numFmtId="3" fontId="11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3" fontId="13" fillId="0" borderId="10" xfId="0" applyNumberFormat="1" applyFont="1" applyBorder="1" applyAlignment="1">
      <alignment horizontal="center" vertical="center"/>
    </xf>
    <xf numFmtId="0" fontId="13" fillId="32" borderId="10" xfId="0" applyFont="1" applyFill="1" applyBorder="1" applyAlignment="1">
      <alignment horizontal="right"/>
    </xf>
    <xf numFmtId="0" fontId="13" fillId="32" borderId="10" xfId="0" applyFont="1" applyFill="1" applyBorder="1" applyAlignment="1">
      <alignment horizontal="left" wrapText="1" indent="2"/>
    </xf>
    <xf numFmtId="3" fontId="13" fillId="32" borderId="10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right"/>
    </xf>
    <xf numFmtId="3" fontId="11" fillId="32" borderId="10" xfId="0" applyNumberFormat="1" applyFont="1" applyFill="1" applyBorder="1" applyAlignment="1">
      <alignment horizontal="center" vertical="center"/>
    </xf>
    <xf numFmtId="0" fontId="12" fillId="24" borderId="10" xfId="0" applyFont="1" applyFill="1" applyBorder="1"/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11" fillId="0" borderId="10" xfId="0" applyFont="1" applyFill="1" applyBorder="1"/>
    <xf numFmtId="0" fontId="11" fillId="0" borderId="10" xfId="0" applyFont="1" applyFill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69" fillId="0" borderId="0" xfId="0" applyFont="1" applyBorder="1" applyAlignment="1"/>
    <xf numFmtId="0" fontId="70" fillId="0" borderId="0" xfId="0" applyFont="1" applyBorder="1" applyAlignment="1">
      <alignment horizontal="right"/>
    </xf>
    <xf numFmtId="0" fontId="71" fillId="0" borderId="10" xfId="0" applyFont="1" applyBorder="1" applyAlignment="1">
      <alignment horizontal="center"/>
    </xf>
    <xf numFmtId="0" fontId="71" fillId="0" borderId="10" xfId="0" applyFont="1" applyBorder="1" applyAlignment="1">
      <alignment horizontal="center" wrapText="1"/>
    </xf>
    <xf numFmtId="3" fontId="71" fillId="0" borderId="10" xfId="0" applyNumberFormat="1" applyFont="1" applyBorder="1" applyAlignment="1">
      <alignment horizontal="center"/>
    </xf>
    <xf numFmtId="3" fontId="71" fillId="0" borderId="10" xfId="0" applyNumberFormat="1" applyFont="1" applyFill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Border="1"/>
    <xf numFmtId="0" fontId="6" fillId="0" borderId="10" xfId="0" applyFont="1" applyBorder="1" applyAlignment="1">
      <alignment horizontal="left" vertical="center" wrapText="1" indent="1"/>
    </xf>
    <xf numFmtId="3" fontId="6" fillId="0" borderId="10" xfId="0" applyNumberFormat="1" applyFont="1" applyBorder="1" applyAlignment="1">
      <alignment horizontal="center"/>
    </xf>
    <xf numFmtId="0" fontId="8" fillId="0" borderId="10" xfId="0" applyFont="1" applyBorder="1"/>
    <xf numFmtId="0" fontId="68" fillId="0" borderId="10" xfId="0" applyFont="1" applyFill="1" applyBorder="1" applyAlignment="1">
      <alignment vertical="center" wrapText="1"/>
    </xf>
    <xf numFmtId="0" fontId="72" fillId="26" borderId="10" xfId="0" applyFont="1" applyFill="1" applyBorder="1"/>
    <xf numFmtId="0" fontId="71" fillId="26" borderId="10" xfId="0" applyFont="1" applyFill="1" applyBorder="1" applyAlignment="1">
      <alignment horizontal="center" wrapText="1"/>
    </xf>
    <xf numFmtId="3" fontId="71" fillId="26" borderId="1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73" fillId="0" borderId="0" xfId="0" applyFont="1"/>
    <xf numFmtId="3" fontId="14" fillId="0" borderId="0" xfId="0" applyNumberFormat="1" applyFont="1"/>
    <xf numFmtId="3" fontId="7" fillId="0" borderId="0" xfId="0" applyNumberFormat="1" applyFont="1" applyAlignment="1">
      <alignment horizontal="center"/>
    </xf>
    <xf numFmtId="0" fontId="73" fillId="0" borderId="0" xfId="0" applyFont="1" applyAlignment="1">
      <alignment horizontal="right"/>
    </xf>
    <xf numFmtId="0" fontId="58" fillId="32" borderId="10" xfId="0" applyFont="1" applyFill="1" applyBorder="1" applyAlignment="1">
      <alignment vertical="center" wrapText="1"/>
    </xf>
    <xf numFmtId="3" fontId="58" fillId="32" borderId="10" xfId="0" applyNumberFormat="1" applyFont="1" applyFill="1" applyBorder="1" applyAlignment="1">
      <alignment horizontal="center"/>
    </xf>
    <xf numFmtId="0" fontId="52" fillId="32" borderId="10" xfId="0" applyFont="1" applyFill="1" applyBorder="1" applyAlignment="1">
      <alignment horizontal="right" wrapText="1"/>
    </xf>
    <xf numFmtId="0" fontId="52" fillId="32" borderId="10" xfId="0" applyFont="1" applyFill="1" applyBorder="1" applyAlignment="1">
      <alignment horizontal="left" vertical="center" wrapText="1" indent="1"/>
    </xf>
    <xf numFmtId="3" fontId="52" fillId="32" borderId="10" xfId="0" applyNumberFormat="1" applyFont="1" applyFill="1" applyBorder="1" applyAlignment="1">
      <alignment horizontal="center"/>
    </xf>
    <xf numFmtId="0" fontId="59" fillId="32" borderId="10" xfId="0" applyFont="1" applyFill="1" applyBorder="1" applyAlignment="1">
      <alignment horizontal="left" vertical="center" wrapText="1" indent="1"/>
    </xf>
    <xf numFmtId="0" fontId="74" fillId="0" borderId="10" xfId="0" applyFont="1" applyFill="1" applyBorder="1" applyAlignment="1">
      <alignment horizontal="left" wrapText="1"/>
    </xf>
    <xf numFmtId="0" fontId="64" fillId="0" borderId="10" xfId="0" applyFont="1" applyFill="1" applyBorder="1" applyAlignment="1">
      <alignment vertical="center" wrapText="1"/>
    </xf>
    <xf numFmtId="0" fontId="75" fillId="0" borderId="10" xfId="0" applyFont="1" applyFill="1" applyBorder="1" applyAlignment="1">
      <alignment vertical="center" wrapText="1"/>
    </xf>
    <xf numFmtId="49" fontId="52" fillId="32" borderId="10" xfId="0" applyNumberFormat="1" applyFont="1" applyFill="1" applyBorder="1" applyAlignment="1">
      <alignment horizontal="right" wrapText="1"/>
    </xf>
    <xf numFmtId="49" fontId="13" fillId="32" borderId="10" xfId="0" applyNumberFormat="1" applyFont="1" applyFill="1" applyBorder="1" applyAlignment="1">
      <alignment horizontal="right" wrapText="1"/>
    </xf>
    <xf numFmtId="0" fontId="13" fillId="32" borderId="10" xfId="0" applyFont="1" applyFill="1" applyBorder="1" applyAlignment="1">
      <alignment horizontal="left" vertical="center" wrapText="1" indent="1"/>
    </xf>
    <xf numFmtId="3" fontId="13" fillId="32" borderId="10" xfId="0" applyNumberFormat="1" applyFont="1" applyFill="1" applyBorder="1" applyAlignment="1">
      <alignment horizontal="center"/>
    </xf>
    <xf numFmtId="0" fontId="13" fillId="32" borderId="10" xfId="0" applyFont="1" applyFill="1" applyBorder="1" applyAlignment="1">
      <alignment horizontal="right" wrapText="1"/>
    </xf>
    <xf numFmtId="0" fontId="12" fillId="0" borderId="10" xfId="0" applyFont="1" applyFill="1" applyBorder="1" applyAlignment="1">
      <alignment horizontal="left" vertical="center" wrapText="1"/>
    </xf>
    <xf numFmtId="0" fontId="11" fillId="24" borderId="10" xfId="0" applyFont="1" applyFill="1" applyBorder="1"/>
    <xf numFmtId="3" fontId="13" fillId="30" borderId="10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/>
    </xf>
    <xf numFmtId="0" fontId="41" fillId="0" borderId="10" xfId="0" applyFont="1" applyBorder="1" applyAlignment="1">
      <alignment horizontal="left" vertical="center" wrapText="1" indent="1"/>
    </xf>
    <xf numFmtId="3" fontId="41" fillId="0" borderId="10" xfId="0" applyNumberFormat="1" applyFont="1" applyBorder="1" applyAlignment="1">
      <alignment horizontal="center"/>
    </xf>
    <xf numFmtId="0" fontId="36" fillId="0" borderId="10" xfId="0" applyFont="1" applyBorder="1" applyAlignment="1">
      <alignment horizontal="left" wrapText="1"/>
    </xf>
    <xf numFmtId="0" fontId="36" fillId="0" borderId="10" xfId="0" applyFont="1" applyFill="1" applyBorder="1" applyAlignment="1">
      <alignment horizontal="left" wrapText="1"/>
    </xf>
    <xf numFmtId="0" fontId="12" fillId="25" borderId="10" xfId="0" applyFont="1" applyFill="1" applyBorder="1" applyAlignment="1">
      <alignment horizontal="center" vertical="center" wrapText="1"/>
    </xf>
    <xf numFmtId="0" fontId="4" fillId="0" borderId="0" xfId="61" applyFont="1"/>
    <xf numFmtId="0" fontId="45" fillId="0" borderId="0" xfId="61" applyFont="1"/>
    <xf numFmtId="0" fontId="44" fillId="0" borderId="0" xfId="61" applyFont="1"/>
    <xf numFmtId="0" fontId="5" fillId="29" borderId="0" xfId="61" applyFont="1" applyFill="1" applyAlignment="1">
      <alignment horizontal="right" vertical="top" wrapText="1"/>
    </xf>
    <xf numFmtId="0" fontId="11" fillId="0" borderId="0" xfId="0" applyFont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3" fontId="77" fillId="0" borderId="10" xfId="59" applyNumberFormat="1" applyFont="1" applyBorder="1"/>
    <xf numFmtId="0" fontId="5" fillId="31" borderId="10" xfId="59" applyFont="1" applyFill="1" applyBorder="1"/>
    <xf numFmtId="3" fontId="8" fillId="31" borderId="10" xfId="59" applyNumberFormat="1" applyFont="1" applyFill="1" applyBorder="1"/>
    <xf numFmtId="0" fontId="43" fillId="0" borderId="10" xfId="59" applyFont="1" applyBorder="1"/>
    <xf numFmtId="0" fontId="43" fillId="0" borderId="10" xfId="59" applyFont="1" applyBorder="1" applyAlignment="1">
      <alignment horizontal="left" wrapText="1"/>
    </xf>
    <xf numFmtId="3" fontId="43" fillId="0" borderId="10" xfId="59" applyNumberFormat="1" applyFont="1" applyBorder="1" applyAlignment="1">
      <alignment wrapText="1"/>
    </xf>
    <xf numFmtId="0" fontId="8" fillId="31" borderId="10" xfId="59" applyFont="1" applyFill="1" applyBorder="1" applyAlignment="1">
      <alignment wrapText="1"/>
    </xf>
    <xf numFmtId="3" fontId="8" fillId="0" borderId="10" xfId="59" applyNumberFormat="1" applyFont="1" applyBorder="1" applyAlignment="1">
      <alignment wrapText="1"/>
    </xf>
    <xf numFmtId="3" fontId="41" fillId="0" borderId="10" xfId="59" applyNumberFormat="1" applyFont="1" applyBorder="1" applyAlignment="1">
      <alignment wrapText="1"/>
    </xf>
    <xf numFmtId="0" fontId="5" fillId="0" borderId="0" xfId="59" applyFont="1"/>
    <xf numFmtId="0" fontId="5" fillId="0" borderId="0" xfId="59" applyFont="1" applyAlignment="1">
      <alignment horizontal="right"/>
    </xf>
    <xf numFmtId="0" fontId="4" fillId="0" borderId="0" xfId="60" applyFont="1"/>
    <xf numFmtId="0" fontId="5" fillId="29" borderId="0" xfId="60" applyFont="1" applyFill="1" applyAlignment="1">
      <alignment horizontal="right" vertical="top" wrapText="1"/>
    </xf>
    <xf numFmtId="0" fontId="44" fillId="0" borderId="0" xfId="60" applyFont="1"/>
    <xf numFmtId="0" fontId="78" fillId="0" borderId="0" xfId="60" applyFont="1"/>
    <xf numFmtId="0" fontId="36" fillId="29" borderId="0" xfId="60" applyFont="1" applyFill="1" applyAlignment="1">
      <alignment horizontal="left" vertical="top" wrapText="1"/>
    </xf>
    <xf numFmtId="3" fontId="36" fillId="29" borderId="0" xfId="60" applyNumberFormat="1" applyFont="1" applyFill="1" applyAlignment="1">
      <alignment horizontal="right" vertical="top" wrapText="1"/>
    </xf>
    <xf numFmtId="0" fontId="11" fillId="29" borderId="0" xfId="60" applyFont="1" applyFill="1" applyAlignment="1">
      <alignment horizontal="left" vertical="top" wrapText="1"/>
    </xf>
    <xf numFmtId="3" fontId="11" fillId="29" borderId="0" xfId="60" applyNumberFormat="1" applyFont="1" applyFill="1" applyAlignment="1">
      <alignment horizontal="right" vertical="top" wrapText="1"/>
    </xf>
    <xf numFmtId="0" fontId="45" fillId="0" borderId="0" xfId="60" applyFont="1"/>
    <xf numFmtId="0" fontId="6" fillId="29" borderId="0" xfId="60" applyFont="1" applyFill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78" fillId="0" borderId="0" xfId="0" applyFont="1" applyAlignment="1">
      <alignment horizontal="left" vertical="top" wrapText="1"/>
    </xf>
    <xf numFmtId="0" fontId="15" fillId="0" borderId="0" xfId="61" applyFont="1"/>
    <xf numFmtId="0" fontId="0" fillId="0" borderId="0" xfId="0" applyAlignment="1">
      <alignment horizontal="right" vertical="top" wrapText="1"/>
    </xf>
    <xf numFmtId="0" fontId="11" fillId="0" borderId="0" xfId="60" applyFont="1"/>
    <xf numFmtId="0" fontId="11" fillId="0" borderId="0" xfId="61" applyFont="1"/>
    <xf numFmtId="0" fontId="78" fillId="0" borderId="0" xfId="61" applyFont="1"/>
    <xf numFmtId="0" fontId="4" fillId="0" borderId="0" xfId="62"/>
    <xf numFmtId="0" fontId="6" fillId="0" borderId="0" xfId="62" applyFont="1" applyFill="1"/>
    <xf numFmtId="0" fontId="6" fillId="0" borderId="0" xfId="62" applyFont="1" applyAlignment="1">
      <alignment vertical="center"/>
    </xf>
    <xf numFmtId="0" fontId="6" fillId="0" borderId="0" xfId="62" applyFont="1"/>
    <xf numFmtId="0" fontId="6" fillId="0" borderId="0" xfId="62" applyFont="1" applyFill="1" applyAlignment="1">
      <alignment horizontal="right"/>
    </xf>
    <xf numFmtId="0" fontId="6" fillId="0" borderId="0" xfId="63" applyFont="1" applyAlignment="1">
      <alignment horizontal="right"/>
    </xf>
    <xf numFmtId="0" fontId="11" fillId="0" borderId="0" xfId="62" applyFont="1" applyFill="1" applyBorder="1" applyAlignment="1">
      <alignment horizontal="right"/>
    </xf>
    <xf numFmtId="0" fontId="11" fillId="0" borderId="0" xfId="63" applyFont="1" applyFill="1" applyBorder="1" applyAlignment="1">
      <alignment horizontal="right"/>
    </xf>
    <xf numFmtId="0" fontId="79" fillId="0" borderId="0" xfId="62" applyFont="1"/>
    <xf numFmtId="0" fontId="80" fillId="27" borderId="17" xfId="62" applyFont="1" applyFill="1" applyBorder="1" applyAlignment="1">
      <alignment horizontal="center" vertical="center"/>
    </xf>
    <xf numFmtId="0" fontId="80" fillId="25" borderId="17" xfId="62" applyFont="1" applyFill="1" applyBorder="1" applyAlignment="1">
      <alignment vertical="center"/>
    </xf>
    <xf numFmtId="0" fontId="80" fillId="25" borderId="18" xfId="62" applyFont="1" applyFill="1" applyBorder="1" applyAlignment="1">
      <alignment vertical="center"/>
    </xf>
    <xf numFmtId="0" fontId="80" fillId="25" borderId="19" xfId="62" applyFont="1" applyFill="1" applyBorder="1" applyAlignment="1">
      <alignment horizontal="center" vertical="center"/>
    </xf>
    <xf numFmtId="0" fontId="4" fillId="0" borderId="0" xfId="62" applyAlignment="1">
      <alignment vertical="center"/>
    </xf>
    <xf numFmtId="0" fontId="80" fillId="27" borderId="22" xfId="62" applyFont="1" applyFill="1" applyBorder="1" applyAlignment="1">
      <alignment horizontal="center" vertical="center"/>
    </xf>
    <xf numFmtId="0" fontId="80" fillId="27" borderId="23" xfId="62" applyFont="1" applyFill="1" applyBorder="1" applyAlignment="1">
      <alignment horizontal="center" vertical="center"/>
    </xf>
    <xf numFmtId="0" fontId="80" fillId="25" borderId="24" xfId="62" applyFont="1" applyFill="1" applyBorder="1" applyAlignment="1">
      <alignment horizontal="center" vertical="center"/>
    </xf>
    <xf numFmtId="0" fontId="79" fillId="0" borderId="26" xfId="64" applyFont="1" applyFill="1" applyBorder="1" applyAlignment="1">
      <alignment horizontal="center" wrapText="1"/>
    </xf>
    <xf numFmtId="0" fontId="79" fillId="0" borderId="26" xfId="64" applyFont="1" applyFill="1" applyBorder="1" applyAlignment="1">
      <alignment horizontal="center"/>
    </xf>
    <xf numFmtId="4" fontId="79" fillId="0" borderId="26" xfId="64" applyNumberFormat="1" applyFont="1" applyFill="1" applyBorder="1"/>
    <xf numFmtId="4" fontId="79" fillId="28" borderId="27" xfId="64" applyNumberFormat="1" applyFont="1" applyFill="1" applyBorder="1"/>
    <xf numFmtId="0" fontId="4" fillId="0" borderId="0" xfId="64" applyFill="1"/>
    <xf numFmtId="0" fontId="79" fillId="0" borderId="29" xfId="64" applyFont="1" applyFill="1" applyBorder="1" applyAlignment="1">
      <alignment horizontal="center" wrapText="1"/>
    </xf>
    <xf numFmtId="0" fontId="79" fillId="0" borderId="29" xfId="64" applyFont="1" applyFill="1" applyBorder="1" applyAlignment="1">
      <alignment horizontal="center"/>
    </xf>
    <xf numFmtId="4" fontId="79" fillId="0" borderId="29" xfId="64" applyNumberFormat="1" applyFont="1" applyFill="1" applyBorder="1"/>
    <xf numFmtId="3" fontId="79" fillId="0" borderId="29" xfId="64" applyNumberFormat="1" applyFont="1" applyFill="1" applyBorder="1"/>
    <xf numFmtId="4" fontId="79" fillId="28" borderId="30" xfId="64" applyNumberFormat="1" applyFont="1" applyFill="1" applyBorder="1"/>
    <xf numFmtId="0" fontId="79" fillId="0" borderId="26" xfId="64" applyFont="1" applyFill="1" applyBorder="1"/>
    <xf numFmtId="0" fontId="79" fillId="0" borderId="29" xfId="64" applyFont="1" applyFill="1" applyBorder="1"/>
    <xf numFmtId="14" fontId="79" fillId="0" borderId="26" xfId="64" applyNumberFormat="1" applyFont="1" applyFill="1" applyBorder="1" applyAlignment="1">
      <alignment horizontal="center"/>
    </xf>
    <xf numFmtId="14" fontId="79" fillId="0" borderId="29" xfId="64" applyNumberFormat="1" applyFont="1" applyFill="1" applyBorder="1" applyAlignment="1">
      <alignment horizontal="center"/>
    </xf>
    <xf numFmtId="0" fontId="81" fillId="0" borderId="26" xfId="64" applyFont="1" applyFill="1" applyBorder="1"/>
    <xf numFmtId="0" fontId="81" fillId="0" borderId="29" xfId="64" applyFont="1" applyFill="1" applyBorder="1"/>
    <xf numFmtId="4" fontId="79" fillId="0" borderId="31" xfId="64" applyNumberFormat="1" applyFont="1" applyFill="1" applyBorder="1"/>
    <xf numFmtId="0" fontId="81" fillId="0" borderId="31" xfId="64" applyFont="1" applyFill="1" applyBorder="1"/>
    <xf numFmtId="0" fontId="79" fillId="0" borderId="31" xfId="64" applyFont="1" applyFill="1" applyBorder="1"/>
    <xf numFmtId="14" fontId="79" fillId="0" borderId="31" xfId="64" applyNumberFormat="1" applyFont="1" applyFill="1" applyBorder="1" applyAlignment="1">
      <alignment horizontal="center"/>
    </xf>
    <xf numFmtId="0" fontId="79" fillId="0" borderId="31" xfId="64" applyFont="1" applyFill="1" applyBorder="1" applyAlignment="1">
      <alignment horizontal="center" wrapText="1"/>
    </xf>
    <xf numFmtId="4" fontId="81" fillId="0" borderId="31" xfId="64" applyNumberFormat="1" applyFont="1" applyFill="1" applyBorder="1"/>
    <xf numFmtId="0" fontId="79" fillId="0" borderId="32" xfId="64" applyFont="1" applyFill="1" applyBorder="1" applyAlignment="1">
      <alignment horizontal="center"/>
    </xf>
    <xf numFmtId="4" fontId="79" fillId="0" borderId="32" xfId="64" applyNumberFormat="1" applyFont="1" applyFill="1" applyBorder="1"/>
    <xf numFmtId="3" fontId="79" fillId="0" borderId="32" xfId="64" applyNumberFormat="1" applyFont="1" applyFill="1" applyBorder="1"/>
    <xf numFmtId="4" fontId="81" fillId="0" borderId="32" xfId="64" applyNumberFormat="1" applyFont="1" applyFill="1" applyBorder="1"/>
    <xf numFmtId="4" fontId="81" fillId="0" borderId="26" xfId="64" applyNumberFormat="1" applyFont="1" applyFill="1" applyBorder="1"/>
    <xf numFmtId="4" fontId="81" fillId="0" borderId="29" xfId="64" applyNumberFormat="1" applyFont="1" applyFill="1" applyBorder="1"/>
    <xf numFmtId="0" fontId="79" fillId="0" borderId="31" xfId="64" applyFont="1" applyFill="1" applyBorder="1" applyAlignment="1">
      <alignment horizontal="center"/>
    </xf>
    <xf numFmtId="0" fontId="79" fillId="0" borderId="32" xfId="64" applyFont="1" applyFill="1" applyBorder="1" applyAlignment="1">
      <alignment horizontal="center" wrapText="1"/>
    </xf>
    <xf numFmtId="3" fontId="81" fillId="0" borderId="29" xfId="64" applyNumberFormat="1" applyFont="1" applyFill="1" applyBorder="1"/>
    <xf numFmtId="3" fontId="81" fillId="0" borderId="32" xfId="64" applyNumberFormat="1" applyFont="1" applyFill="1" applyBorder="1"/>
    <xf numFmtId="0" fontId="4" fillId="0" borderId="0" xfId="64" applyFont="1" applyFill="1"/>
    <xf numFmtId="14" fontId="79" fillId="0" borderId="32" xfId="64" applyNumberFormat="1" applyFont="1" applyFill="1" applyBorder="1" applyAlignment="1">
      <alignment horizontal="center"/>
    </xf>
    <xf numFmtId="4" fontId="82" fillId="0" borderId="31" xfId="64" applyNumberFormat="1" applyFont="1" applyFill="1" applyBorder="1"/>
    <xf numFmtId="10" fontId="79" fillId="0" borderId="26" xfId="64" applyNumberFormat="1" applyFont="1" applyFill="1" applyBorder="1" applyAlignment="1">
      <alignment horizontal="center"/>
    </xf>
    <xf numFmtId="10" fontId="79" fillId="0" borderId="31" xfId="64" applyNumberFormat="1" applyFont="1" applyFill="1" applyBorder="1" applyAlignment="1">
      <alignment horizontal="center"/>
    </xf>
    <xf numFmtId="3" fontId="82" fillId="0" borderId="32" xfId="64" applyNumberFormat="1" applyFont="1" applyFill="1" applyBorder="1"/>
    <xf numFmtId="4" fontId="82" fillId="0" borderId="26" xfId="64" applyNumberFormat="1" applyFont="1" applyFill="1" applyBorder="1"/>
    <xf numFmtId="4" fontId="82" fillId="0" borderId="29" xfId="64" applyNumberFormat="1" applyFont="1" applyFill="1" applyBorder="1"/>
    <xf numFmtId="3" fontId="82" fillId="0" borderId="29" xfId="64" applyNumberFormat="1" applyFont="1" applyFill="1" applyBorder="1"/>
    <xf numFmtId="4" fontId="83" fillId="0" borderId="26" xfId="64" applyNumberFormat="1" applyFont="1" applyFill="1" applyBorder="1"/>
    <xf numFmtId="3" fontId="83" fillId="0" borderId="29" xfId="64" applyNumberFormat="1" applyFont="1" applyFill="1" applyBorder="1"/>
    <xf numFmtId="3" fontId="79" fillId="0" borderId="26" xfId="64" applyNumberFormat="1" applyFont="1" applyFill="1" applyBorder="1"/>
    <xf numFmtId="0" fontId="79" fillId="0" borderId="26" xfId="62" applyFont="1" applyFill="1" applyBorder="1" applyAlignment="1">
      <alignment horizontal="center" wrapText="1"/>
    </xf>
    <xf numFmtId="0" fontId="4" fillId="0" borderId="0" xfId="62" applyFill="1"/>
    <xf numFmtId="0" fontId="79" fillId="0" borderId="29" xfId="62" applyFont="1" applyFill="1" applyBorder="1" applyAlignment="1">
      <alignment horizontal="center" wrapText="1"/>
    </xf>
    <xf numFmtId="4" fontId="79" fillId="0" borderId="26" xfId="66" applyNumberFormat="1" applyFont="1" applyFill="1" applyBorder="1"/>
    <xf numFmtId="3" fontId="79" fillId="0" borderId="29" xfId="66" applyNumberFormat="1" applyFont="1" applyFill="1" applyBorder="1"/>
    <xf numFmtId="4" fontId="79" fillId="0" borderId="31" xfId="66" applyNumberFormat="1" applyFont="1" applyFill="1" applyBorder="1"/>
    <xf numFmtId="1" fontId="79" fillId="0" borderId="32" xfId="66" applyNumberFormat="1" applyFont="1" applyFill="1" applyBorder="1"/>
    <xf numFmtId="3" fontId="79" fillId="0" borderId="26" xfId="64" applyNumberFormat="1" applyFont="1" applyFill="1" applyBorder="1" applyAlignment="1">
      <alignment horizontal="right"/>
    </xf>
    <xf numFmtId="3" fontId="79" fillId="0" borderId="29" xfId="64" applyNumberFormat="1" applyFont="1" applyFill="1" applyBorder="1" applyAlignment="1">
      <alignment horizontal="right"/>
    </xf>
    <xf numFmtId="3" fontId="79" fillId="0" borderId="31" xfId="66" applyNumberFormat="1" applyFont="1" applyFill="1" applyBorder="1"/>
    <xf numFmtId="3" fontId="79" fillId="0" borderId="32" xfId="66" applyNumberFormat="1" applyFont="1" applyFill="1" applyBorder="1"/>
    <xf numFmtId="3" fontId="79" fillId="0" borderId="31" xfId="64" applyNumberFormat="1" applyFont="1" applyFill="1" applyBorder="1"/>
    <xf numFmtId="10" fontId="79" fillId="0" borderId="26" xfId="66" applyNumberFormat="1" applyFont="1" applyFill="1" applyBorder="1" applyAlignment="1">
      <alignment horizontal="center"/>
    </xf>
    <xf numFmtId="168" fontId="79" fillId="0" borderId="29" xfId="66" applyNumberFormat="1" applyFont="1" applyFill="1" applyBorder="1" applyAlignment="1">
      <alignment horizontal="center"/>
    </xf>
    <xf numFmtId="3" fontId="81" fillId="0" borderId="31" xfId="65" applyNumberFormat="1" applyFont="1" applyFill="1" applyBorder="1" applyAlignment="1">
      <alignment horizontal="right" vertical="center"/>
    </xf>
    <xf numFmtId="3" fontId="79" fillId="0" borderId="31" xfId="65" applyNumberFormat="1" applyFont="1" applyFill="1" applyBorder="1" applyAlignment="1">
      <alignment horizontal="right" vertical="center"/>
    </xf>
    <xf numFmtId="3" fontId="79" fillId="0" borderId="32" xfId="65" applyNumberFormat="1" applyFont="1" applyFill="1" applyBorder="1" applyAlignment="1">
      <alignment horizontal="right" vertical="center"/>
    </xf>
    <xf numFmtId="4" fontId="79" fillId="0" borderId="26" xfId="65" applyNumberFormat="1" applyFont="1" applyFill="1" applyBorder="1" applyAlignment="1">
      <alignment horizontal="right" vertical="center"/>
    </xf>
    <xf numFmtId="3" fontId="79" fillId="0" borderId="29" xfId="65" applyNumberFormat="1" applyFont="1" applyFill="1" applyBorder="1" applyAlignment="1">
      <alignment horizontal="right" vertical="center"/>
    </xf>
    <xf numFmtId="4" fontId="79" fillId="0" borderId="26" xfId="62" applyNumberFormat="1" applyFont="1" applyFill="1" applyBorder="1"/>
    <xf numFmtId="3" fontId="79" fillId="0" borderId="26" xfId="62" applyNumberFormat="1" applyFont="1" applyFill="1" applyBorder="1"/>
    <xf numFmtId="3" fontId="79" fillId="0" borderId="36" xfId="62" applyNumberFormat="1" applyFont="1" applyFill="1" applyBorder="1"/>
    <xf numFmtId="3" fontId="79" fillId="0" borderId="29" xfId="62" applyNumberFormat="1" applyFont="1" applyFill="1" applyBorder="1"/>
    <xf numFmtId="3" fontId="79" fillId="0" borderId="37" xfId="62" applyNumberFormat="1" applyFont="1" applyFill="1" applyBorder="1"/>
    <xf numFmtId="168" fontId="84" fillId="0" borderId="29" xfId="66" applyNumberFormat="1" applyFont="1" applyFill="1" applyBorder="1" applyAlignment="1">
      <alignment horizontal="center"/>
    </xf>
    <xf numFmtId="0" fontId="84" fillId="0" borderId="26" xfId="64" applyFont="1" applyFill="1" applyBorder="1" applyAlignment="1">
      <alignment horizontal="center" wrapText="1"/>
    </xf>
    <xf numFmtId="4" fontId="84" fillId="0" borderId="26" xfId="62" applyNumberFormat="1" applyFont="1" applyFill="1" applyBorder="1"/>
    <xf numFmtId="4" fontId="84" fillId="0" borderId="29" xfId="62" applyNumberFormat="1" applyFont="1" applyFill="1" applyBorder="1"/>
    <xf numFmtId="3" fontId="79" fillId="0" borderId="26" xfId="66" applyNumberFormat="1" applyFont="1" applyFill="1" applyBorder="1"/>
    <xf numFmtId="10" fontId="84" fillId="0" borderId="26" xfId="66" applyNumberFormat="1" applyFont="1" applyFill="1" applyBorder="1" applyAlignment="1">
      <alignment horizontal="center"/>
    </xf>
    <xf numFmtId="4" fontId="84" fillId="28" borderId="27" xfId="64" applyNumberFormat="1" applyFont="1" applyFill="1" applyBorder="1"/>
    <xf numFmtId="0" fontId="44" fillId="0" borderId="29" xfId="62" applyFont="1" applyFill="1" applyBorder="1"/>
    <xf numFmtId="4" fontId="84" fillId="28" borderId="30" xfId="64" applyNumberFormat="1" applyFont="1" applyFill="1" applyBorder="1"/>
    <xf numFmtId="3" fontId="84" fillId="0" borderId="26" xfId="66" applyNumberFormat="1" applyFont="1" applyFill="1" applyBorder="1"/>
    <xf numFmtId="3" fontId="84" fillId="0" borderId="29" xfId="66" applyNumberFormat="1" applyFont="1" applyFill="1" applyBorder="1"/>
    <xf numFmtId="0" fontId="79" fillId="33" borderId="39" xfId="62" applyFont="1" applyFill="1" applyBorder="1" applyAlignment="1"/>
    <xf numFmtId="169" fontId="85" fillId="33" borderId="26" xfId="62" applyNumberFormat="1" applyFont="1" applyFill="1" applyBorder="1" applyAlignment="1">
      <alignment horizontal="center"/>
    </xf>
    <xf numFmtId="4" fontId="85" fillId="33" borderId="26" xfId="62" applyNumberFormat="1" applyFont="1" applyFill="1" applyBorder="1" applyAlignment="1">
      <alignment horizontal="center"/>
    </xf>
    <xf numFmtId="4" fontId="85" fillId="33" borderId="27" xfId="62" applyNumberFormat="1" applyFont="1" applyFill="1" applyBorder="1" applyAlignment="1">
      <alignment horizontal="center"/>
    </xf>
    <xf numFmtId="0" fontId="79" fillId="33" borderId="40" xfId="62" applyFont="1" applyFill="1" applyBorder="1" applyAlignment="1">
      <alignment horizontal="center"/>
    </xf>
    <xf numFmtId="0" fontId="43" fillId="33" borderId="42" xfId="62" applyFont="1" applyFill="1" applyBorder="1" applyAlignment="1">
      <alignment horizontal="right"/>
    </xf>
    <xf numFmtId="4" fontId="85" fillId="33" borderId="42" xfId="62" applyNumberFormat="1" applyFont="1" applyFill="1" applyBorder="1" applyAlignment="1">
      <alignment horizontal="center"/>
    </xf>
    <xf numFmtId="4" fontId="85" fillId="33" borderId="43" xfId="62" applyNumberFormat="1" applyFont="1" applyFill="1" applyBorder="1" applyAlignment="1">
      <alignment horizontal="center"/>
    </xf>
    <xf numFmtId="0" fontId="85" fillId="33" borderId="44" xfId="62" applyFont="1" applyFill="1" applyBorder="1" applyAlignment="1">
      <alignment horizontal="center"/>
    </xf>
    <xf numFmtId="0" fontId="85" fillId="33" borderId="45" xfId="62" applyFont="1" applyFill="1" applyBorder="1" applyAlignment="1">
      <alignment horizontal="center"/>
    </xf>
    <xf numFmtId="4" fontId="85" fillId="33" borderId="45" xfId="62" applyNumberFormat="1" applyFont="1" applyFill="1" applyBorder="1" applyAlignment="1">
      <alignment horizontal="center"/>
    </xf>
    <xf numFmtId="4" fontId="85" fillId="33" borderId="46" xfId="62" applyNumberFormat="1" applyFont="1" applyFill="1" applyBorder="1" applyAlignment="1">
      <alignment horizontal="center" vertical="center"/>
    </xf>
    <xf numFmtId="0" fontId="6" fillId="34" borderId="47" xfId="62" applyFont="1" applyFill="1" applyBorder="1" applyAlignment="1"/>
    <xf numFmtId="0" fontId="43" fillId="34" borderId="49" xfId="62" applyFont="1" applyFill="1" applyBorder="1" applyAlignment="1">
      <alignment horizontal="left"/>
    </xf>
    <xf numFmtId="0" fontId="43" fillId="34" borderId="49" xfId="62" applyFont="1" applyFill="1" applyBorder="1" applyAlignment="1"/>
    <xf numFmtId="0" fontId="43" fillId="33" borderId="51" xfId="62" applyFont="1" applyFill="1" applyBorder="1" applyAlignment="1">
      <alignment horizontal="center"/>
    </xf>
    <xf numFmtId="10" fontId="86" fillId="33" borderId="51" xfId="67" applyNumberFormat="1" applyFont="1" applyFill="1" applyBorder="1" applyAlignment="1">
      <alignment horizontal="center"/>
    </xf>
    <xf numFmtId="10" fontId="86" fillId="33" borderId="48" xfId="67" applyNumberFormat="1" applyFont="1" applyFill="1" applyBorder="1" applyAlignment="1">
      <alignment horizontal="center"/>
    </xf>
    <xf numFmtId="10" fontId="86" fillId="33" borderId="52" xfId="67" applyNumberFormat="1" applyFont="1" applyFill="1" applyBorder="1" applyAlignment="1">
      <alignment horizontal="center"/>
    </xf>
    <xf numFmtId="4" fontId="87" fillId="0" borderId="0" xfId="62" applyNumberFormat="1" applyFont="1"/>
    <xf numFmtId="0" fontId="44" fillId="0" borderId="0" xfId="62" applyFont="1"/>
    <xf numFmtId="164" fontId="87" fillId="0" borderId="0" xfId="62" applyNumberFormat="1" applyFont="1"/>
    <xf numFmtId="0" fontId="79" fillId="0" borderId="0" xfId="62" applyFont="1" applyAlignment="1">
      <alignment vertical="center"/>
    </xf>
    <xf numFmtId="0" fontId="79" fillId="0" borderId="0" xfId="62" applyFont="1" applyFill="1" applyAlignment="1">
      <alignment vertical="center"/>
    </xf>
    <xf numFmtId="3" fontId="79" fillId="0" borderId="0" xfId="62" applyNumberFormat="1" applyFont="1" applyAlignment="1">
      <alignment vertical="center"/>
    </xf>
    <xf numFmtId="0" fontId="79" fillId="0" borderId="0" xfId="62" applyFont="1" applyAlignment="1">
      <alignment horizontal="right" vertical="center"/>
    </xf>
    <xf numFmtId="0" fontId="79" fillId="0" borderId="0" xfId="62" applyFont="1" applyFill="1"/>
    <xf numFmtId="0" fontId="79" fillId="0" borderId="0" xfId="62" applyFont="1" applyFill="1" applyAlignment="1">
      <alignment vertical="center" wrapText="1"/>
    </xf>
    <xf numFmtId="4" fontId="79" fillId="0" borderId="0" xfId="62" applyNumberFormat="1" applyFont="1"/>
    <xf numFmtId="0" fontId="79" fillId="0" borderId="0" xfId="62" applyFont="1" applyAlignment="1">
      <alignment horizontal="right"/>
    </xf>
    <xf numFmtId="4" fontId="79" fillId="0" borderId="0" xfId="62" applyNumberFormat="1" applyFont="1" applyFill="1" applyAlignment="1">
      <alignment vertical="center"/>
    </xf>
    <xf numFmtId="4" fontId="79" fillId="0" borderId="0" xfId="62" applyNumberFormat="1" applyFont="1" applyBorder="1"/>
    <xf numFmtId="0" fontId="79" fillId="0" borderId="0" xfId="62" applyFont="1" applyBorder="1"/>
    <xf numFmtId="3" fontId="79" fillId="0" borderId="0" xfId="62" applyNumberFormat="1" applyFont="1"/>
    <xf numFmtId="0" fontId="79" fillId="0" borderId="0" xfId="62" applyFont="1" applyAlignment="1">
      <alignment horizontal="center"/>
    </xf>
    <xf numFmtId="0" fontId="4" fillId="0" borderId="0" xfId="62" applyAlignment="1"/>
    <xf numFmtId="0" fontId="43" fillId="0" borderId="0" xfId="62" applyFont="1" applyAlignment="1"/>
    <xf numFmtId="0" fontId="88" fillId="0" borderId="0" xfId="62" applyFont="1"/>
    <xf numFmtId="169" fontId="88" fillId="0" borderId="0" xfId="62" applyNumberFormat="1" applyFont="1"/>
    <xf numFmtId="0" fontId="4" fillId="0" borderId="0" xfId="62" applyFill="1" applyBorder="1"/>
    <xf numFmtId="0" fontId="79" fillId="0" borderId="26" xfId="62" applyFont="1" applyFill="1" applyBorder="1" applyAlignment="1">
      <alignment horizontal="center" vertical="center" wrapText="1"/>
    </xf>
    <xf numFmtId="4" fontId="84" fillId="0" borderId="26" xfId="64" applyNumberFormat="1" applyFont="1" applyFill="1" applyBorder="1"/>
    <xf numFmtId="4" fontId="84" fillId="0" borderId="53" xfId="64" applyNumberFormat="1" applyFont="1" applyFill="1" applyBorder="1"/>
    <xf numFmtId="0" fontId="79" fillId="0" borderId="29" xfId="62" applyFont="1" applyFill="1" applyBorder="1" applyAlignment="1">
      <alignment horizontal="center" vertical="center" wrapText="1"/>
    </xf>
    <xf numFmtId="4" fontId="84" fillId="0" borderId="29" xfId="64" applyNumberFormat="1" applyFont="1" applyFill="1" applyBorder="1"/>
    <xf numFmtId="4" fontId="84" fillId="0" borderId="54" xfId="64" applyNumberFormat="1" applyFont="1" applyFill="1" applyBorder="1"/>
    <xf numFmtId="0" fontId="79" fillId="0" borderId="29" xfId="62" applyFont="1" applyFill="1" applyBorder="1" applyAlignment="1">
      <alignment horizontal="center"/>
    </xf>
    <xf numFmtId="10" fontId="79" fillId="0" borderId="26" xfId="62" applyNumberFormat="1" applyFont="1" applyFill="1" applyBorder="1" applyAlignment="1">
      <alignment horizontal="center"/>
    </xf>
    <xf numFmtId="4" fontId="79" fillId="0" borderId="27" xfId="64" applyNumberFormat="1" applyFont="1" applyFill="1" applyBorder="1"/>
    <xf numFmtId="168" fontId="79" fillId="0" borderId="29" xfId="62" applyNumberFormat="1" applyFont="1" applyFill="1" applyBorder="1" applyAlignment="1">
      <alignment horizontal="center"/>
    </xf>
    <xf numFmtId="4" fontId="79" fillId="0" borderId="30" xfId="64" applyNumberFormat="1" applyFont="1" applyFill="1" applyBorder="1"/>
    <xf numFmtId="0" fontId="79" fillId="33" borderId="25" xfId="62" applyFont="1" applyFill="1" applyBorder="1" applyAlignment="1"/>
    <xf numFmtId="0" fontId="79" fillId="33" borderId="41" xfId="62" applyFont="1" applyFill="1" applyBorder="1" applyAlignment="1">
      <alignment horizontal="center"/>
    </xf>
    <xf numFmtId="0" fontId="43" fillId="33" borderId="42" xfId="62" applyFont="1" applyFill="1" applyBorder="1" applyAlignment="1">
      <alignment horizontal="center"/>
    </xf>
    <xf numFmtId="0" fontId="85" fillId="33" borderId="59" xfId="62" applyFont="1" applyFill="1" applyBorder="1" applyAlignment="1">
      <alignment horizontal="center"/>
    </xf>
    <xf numFmtId="0" fontId="85" fillId="33" borderId="60" xfId="62" applyFont="1" applyFill="1" applyBorder="1" applyAlignment="1">
      <alignment horizontal="center"/>
    </xf>
    <xf numFmtId="3" fontId="85" fillId="33" borderId="60" xfId="62" applyNumberFormat="1" applyFont="1" applyFill="1" applyBorder="1" applyAlignment="1">
      <alignment horizontal="center"/>
    </xf>
    <xf numFmtId="3" fontId="85" fillId="33" borderId="61" xfId="62" applyNumberFormat="1" applyFont="1" applyFill="1" applyBorder="1" applyAlignment="1">
      <alignment horizontal="center"/>
    </xf>
    <xf numFmtId="4" fontId="4" fillId="0" borderId="0" xfId="62" applyNumberFormat="1"/>
    <xf numFmtId="0" fontId="45" fillId="0" borderId="0" xfId="62" applyFont="1" applyAlignment="1">
      <alignment vertical="center"/>
    </xf>
    <xf numFmtId="4" fontId="85" fillId="33" borderId="26" xfId="62" applyNumberFormat="1" applyFont="1" applyFill="1" applyBorder="1" applyAlignment="1">
      <alignment horizontal="center" vertical="center"/>
    </xf>
    <xf numFmtId="4" fontId="85" fillId="33" borderId="64" xfId="62" applyNumberFormat="1" applyFont="1" applyFill="1" applyBorder="1" applyAlignment="1">
      <alignment horizontal="center" vertical="center"/>
    </xf>
    <xf numFmtId="4" fontId="85" fillId="33" borderId="42" xfId="62" applyNumberFormat="1" applyFont="1" applyFill="1" applyBorder="1" applyAlignment="1">
      <alignment horizontal="center" vertical="center"/>
    </xf>
    <xf numFmtId="4" fontId="85" fillId="33" borderId="43" xfId="62" applyNumberFormat="1" applyFont="1" applyFill="1" applyBorder="1" applyAlignment="1">
      <alignment horizontal="center" vertical="center"/>
    </xf>
    <xf numFmtId="4" fontId="85" fillId="33" borderId="65" xfId="62" applyNumberFormat="1" applyFont="1" applyFill="1" applyBorder="1" applyAlignment="1">
      <alignment horizontal="center" vertical="center"/>
    </xf>
    <xf numFmtId="10" fontId="86" fillId="33" borderId="66" xfId="67" applyNumberFormat="1" applyFont="1" applyFill="1" applyBorder="1" applyAlignment="1">
      <alignment horizontal="center"/>
    </xf>
    <xf numFmtId="0" fontId="87" fillId="0" borderId="0" xfId="68" applyFont="1" applyProtection="1">
      <protection locked="0"/>
    </xf>
    <xf numFmtId="0" fontId="4" fillId="0" borderId="0" xfId="63"/>
    <xf numFmtId="0" fontId="5" fillId="0" borderId="0" xfId="68" applyFont="1" applyProtection="1">
      <protection locked="0"/>
    </xf>
    <xf numFmtId="0" fontId="7" fillId="0" borderId="0" xfId="63" applyFont="1" applyBorder="1"/>
    <xf numFmtId="3" fontId="7" fillId="0" borderId="0" xfId="63" applyNumberFormat="1" applyFont="1"/>
    <xf numFmtId="0" fontId="7" fillId="0" borderId="0" xfId="63" applyFont="1" applyAlignment="1">
      <alignment horizontal="center"/>
    </xf>
    <xf numFmtId="0" fontId="7" fillId="0" borderId="0" xfId="63" applyFont="1" applyAlignment="1">
      <alignment horizontal="right"/>
    </xf>
    <xf numFmtId="0" fontId="7" fillId="0" borderId="0" xfId="62" applyFont="1" applyAlignment="1">
      <alignment horizontal="right"/>
    </xf>
    <xf numFmtId="0" fontId="11" fillId="0" borderId="0" xfId="62" applyFont="1"/>
    <xf numFmtId="0" fontId="41" fillId="0" borderId="0" xfId="62" applyFont="1"/>
    <xf numFmtId="0" fontId="5" fillId="0" borderId="0" xfId="68" applyFont="1" applyBorder="1" applyProtection="1">
      <protection locked="0"/>
    </xf>
    <xf numFmtId="3" fontId="11" fillId="0" borderId="0" xfId="62" applyNumberFormat="1" applyFont="1"/>
    <xf numFmtId="14" fontId="6" fillId="0" borderId="0" xfId="68" applyNumberFormat="1" applyFont="1" applyProtection="1"/>
    <xf numFmtId="10" fontId="79" fillId="0" borderId="29" xfId="64" applyNumberFormat="1" applyFont="1" applyFill="1" applyBorder="1" applyAlignment="1">
      <alignment horizontal="center"/>
    </xf>
    <xf numFmtId="10" fontId="79" fillId="0" borderId="26" xfId="64" applyNumberFormat="1" applyFont="1" applyFill="1" applyBorder="1" applyAlignment="1">
      <alignment horizontal="center" wrapText="1"/>
    </xf>
    <xf numFmtId="10" fontId="79" fillId="0" borderId="31" xfId="64" applyNumberFormat="1" applyFont="1" applyFill="1" applyBorder="1" applyAlignment="1">
      <alignment horizontal="center" wrapText="1"/>
    </xf>
    <xf numFmtId="0" fontId="79" fillId="0" borderId="26" xfId="0" applyFont="1" applyFill="1" applyBorder="1" applyAlignment="1">
      <alignment horizontal="center" wrapText="1"/>
    </xf>
    <xf numFmtId="0" fontId="79" fillId="0" borderId="29" xfId="0" applyFont="1" applyFill="1" applyBorder="1" applyAlignment="1">
      <alignment horizontal="center" wrapText="1"/>
    </xf>
    <xf numFmtId="4" fontId="79" fillId="0" borderId="26" xfId="0" applyNumberFormat="1" applyFont="1" applyFill="1" applyBorder="1"/>
    <xf numFmtId="3" fontId="79" fillId="0" borderId="29" xfId="0" applyNumberFormat="1" applyFont="1" applyFill="1" applyBorder="1"/>
    <xf numFmtId="4" fontId="79" fillId="0" borderId="31" xfId="0" applyNumberFormat="1" applyFont="1" applyFill="1" applyBorder="1"/>
    <xf numFmtId="1" fontId="79" fillId="0" borderId="32" xfId="0" applyNumberFormat="1" applyFont="1" applyFill="1" applyBorder="1"/>
    <xf numFmtId="3" fontId="79" fillId="0" borderId="31" xfId="0" applyNumberFormat="1" applyFont="1" applyFill="1" applyBorder="1"/>
    <xf numFmtId="3" fontId="79" fillId="0" borderId="32" xfId="0" applyNumberFormat="1" applyFont="1" applyFill="1" applyBorder="1"/>
    <xf numFmtId="10" fontId="79" fillId="0" borderId="26" xfId="0" applyNumberFormat="1" applyFont="1" applyFill="1" applyBorder="1" applyAlignment="1">
      <alignment horizontal="center"/>
    </xf>
    <xf numFmtId="10" fontId="79" fillId="0" borderId="31" xfId="0" applyNumberFormat="1" applyFont="1" applyFill="1" applyBorder="1" applyAlignment="1">
      <alignment horizontal="center"/>
    </xf>
    <xf numFmtId="0" fontId="79" fillId="30" borderId="31" xfId="64" applyFont="1" applyFill="1" applyBorder="1" applyAlignment="1">
      <alignment horizontal="center" wrapText="1"/>
    </xf>
    <xf numFmtId="10" fontId="79" fillId="30" borderId="31" xfId="0" applyNumberFormat="1" applyFont="1" applyFill="1" applyBorder="1" applyAlignment="1">
      <alignment horizontal="center"/>
    </xf>
    <xf numFmtId="3" fontId="79" fillId="0" borderId="38" xfId="0" applyNumberFormat="1" applyFont="1" applyFill="1" applyBorder="1"/>
    <xf numFmtId="4" fontId="79" fillId="0" borderId="38" xfId="0" applyNumberFormat="1" applyFont="1" applyFill="1" applyBorder="1"/>
    <xf numFmtId="3" fontId="79" fillId="0" borderId="37" xfId="0" applyNumberFormat="1" applyFont="1" applyFill="1" applyBorder="1"/>
    <xf numFmtId="3" fontId="79" fillId="0" borderId="26" xfId="0" applyNumberFormat="1" applyFont="1" applyFill="1" applyBorder="1"/>
    <xf numFmtId="3" fontId="43" fillId="34" borderId="50" xfId="64" applyNumberFormat="1" applyFont="1" applyFill="1" applyBorder="1" applyAlignment="1"/>
    <xf numFmtId="0" fontId="84" fillId="0" borderId="26" xfId="64" applyFont="1" applyFill="1" applyBorder="1" applyAlignment="1">
      <alignment horizontal="center"/>
    </xf>
    <xf numFmtId="10" fontId="84" fillId="0" borderId="26" xfId="64" applyNumberFormat="1" applyFont="1" applyFill="1" applyBorder="1" applyAlignment="1">
      <alignment horizontal="center" wrapText="1"/>
    </xf>
    <xf numFmtId="4" fontId="89" fillId="0" borderId="26" xfId="64" applyNumberFormat="1" applyFont="1" applyFill="1" applyBorder="1"/>
    <xf numFmtId="0" fontId="84" fillId="0" borderId="29" xfId="64" applyFont="1" applyFill="1" applyBorder="1" applyAlignment="1">
      <alignment horizontal="center" wrapText="1"/>
    </xf>
    <xf numFmtId="0" fontId="84" fillId="0" borderId="29" xfId="64" applyFont="1" applyFill="1" applyBorder="1" applyAlignment="1">
      <alignment horizontal="center"/>
    </xf>
    <xf numFmtId="10" fontId="84" fillId="0" borderId="29" xfId="64" applyNumberFormat="1" applyFont="1" applyFill="1" applyBorder="1" applyAlignment="1">
      <alignment horizontal="center"/>
    </xf>
    <xf numFmtId="3" fontId="84" fillId="0" borderId="29" xfId="64" applyNumberFormat="1" applyFont="1" applyFill="1" applyBorder="1"/>
    <xf numFmtId="4" fontId="89" fillId="0" borderId="29" xfId="64" applyNumberFormat="1" applyFont="1" applyFill="1" applyBorder="1"/>
    <xf numFmtId="0" fontId="84" fillId="0" borderId="31" xfId="64" applyFont="1" applyFill="1" applyBorder="1" applyAlignment="1">
      <alignment horizontal="center" wrapText="1"/>
    </xf>
    <xf numFmtId="0" fontId="84" fillId="0" borderId="31" xfId="64" applyFont="1" applyFill="1" applyBorder="1" applyAlignment="1">
      <alignment horizontal="center"/>
    </xf>
    <xf numFmtId="10" fontId="84" fillId="0" borderId="31" xfId="64" applyNumberFormat="1" applyFont="1" applyFill="1" applyBorder="1" applyAlignment="1">
      <alignment horizontal="center" wrapText="1"/>
    </xf>
    <xf numFmtId="4" fontId="84" fillId="0" borderId="31" xfId="64" applyNumberFormat="1" applyFont="1" applyFill="1" applyBorder="1"/>
    <xf numFmtId="4" fontId="90" fillId="0" borderId="31" xfId="64" applyNumberFormat="1" applyFont="1" applyFill="1" applyBorder="1"/>
    <xf numFmtId="4" fontId="89" fillId="0" borderId="31" xfId="64" applyNumberFormat="1" applyFont="1" applyFill="1" applyBorder="1"/>
    <xf numFmtId="0" fontId="84" fillId="0" borderId="32" xfId="64" applyFont="1" applyFill="1" applyBorder="1" applyAlignment="1">
      <alignment horizontal="center" wrapText="1"/>
    </xf>
    <xf numFmtId="0" fontId="84" fillId="0" borderId="32" xfId="64" applyFont="1" applyFill="1" applyBorder="1" applyAlignment="1">
      <alignment horizontal="center"/>
    </xf>
    <xf numFmtId="4" fontId="84" fillId="0" borderId="32" xfId="64" applyNumberFormat="1" applyFont="1" applyFill="1" applyBorder="1"/>
    <xf numFmtId="3" fontId="84" fillId="0" borderId="32" xfId="64" applyNumberFormat="1" applyFont="1" applyFill="1" applyBorder="1"/>
    <xf numFmtId="4" fontId="90" fillId="0" borderId="32" xfId="64" applyNumberFormat="1" applyFont="1" applyFill="1" applyBorder="1"/>
    <xf numFmtId="4" fontId="89" fillId="0" borderId="32" xfId="64" applyNumberFormat="1" applyFont="1" applyFill="1" applyBorder="1"/>
    <xf numFmtId="10" fontId="84" fillId="0" borderId="26" xfId="64" applyNumberFormat="1" applyFont="1" applyFill="1" applyBorder="1" applyAlignment="1">
      <alignment horizontal="center"/>
    </xf>
    <xf numFmtId="10" fontId="84" fillId="0" borderId="31" xfId="64" applyNumberFormat="1" applyFont="1" applyFill="1" applyBorder="1" applyAlignment="1">
      <alignment horizontal="center"/>
    </xf>
    <xf numFmtId="0" fontId="5" fillId="0" borderId="0" xfId="64" applyFont="1" applyBorder="1"/>
    <xf numFmtId="0" fontId="4" fillId="0" borderId="0" xfId="64"/>
    <xf numFmtId="0" fontId="5" fillId="0" borderId="0" xfId="64" applyFont="1" applyFill="1" applyAlignment="1">
      <alignment horizontal="right"/>
    </xf>
    <xf numFmtId="0" fontId="11" fillId="0" borderId="0" xfId="64" applyFont="1" applyFill="1" applyBorder="1" applyAlignment="1">
      <alignment horizontal="right"/>
    </xf>
    <xf numFmtId="0" fontId="92" fillId="0" borderId="0" xfId="64" applyFont="1" applyAlignment="1">
      <alignment vertical="center" wrapText="1"/>
    </xf>
    <xf numFmtId="0" fontId="93" fillId="0" borderId="0" xfId="64" applyFont="1"/>
    <xf numFmtId="0" fontId="93" fillId="0" borderId="0" xfId="64" applyFont="1" applyAlignment="1">
      <alignment horizontal="right"/>
    </xf>
    <xf numFmtId="0" fontId="50" fillId="27" borderId="10" xfId="64" applyFont="1" applyFill="1" applyBorder="1" applyAlignment="1">
      <alignment horizontal="center" vertical="center"/>
    </xf>
    <xf numFmtId="0" fontId="93" fillId="27" borderId="10" xfId="64" applyFont="1" applyFill="1" applyBorder="1" applyAlignment="1">
      <alignment horizontal="center" vertical="center"/>
    </xf>
    <xf numFmtId="0" fontId="50" fillId="27" borderId="68" xfId="64" applyFont="1" applyFill="1" applyBorder="1" applyAlignment="1">
      <alignment horizontal="center" vertical="center"/>
    </xf>
    <xf numFmtId="0" fontId="8" fillId="26" borderId="0" xfId="64" applyFont="1" applyFill="1" applyAlignment="1">
      <alignment horizontal="center"/>
    </xf>
    <xf numFmtId="0" fontId="50" fillId="26" borderId="10" xfId="64" applyFont="1" applyFill="1" applyBorder="1" applyAlignment="1">
      <alignment horizontal="center" vertical="center" wrapText="1"/>
    </xf>
    <xf numFmtId="3" fontId="50" fillId="26" borderId="10" xfId="64" applyNumberFormat="1" applyFont="1" applyFill="1" applyBorder="1"/>
    <xf numFmtId="0" fontId="50" fillId="0" borderId="0" xfId="64" applyFont="1"/>
    <xf numFmtId="0" fontId="93" fillId="0" borderId="10" xfId="64" applyFont="1" applyBorder="1"/>
    <xf numFmtId="0" fontId="93" fillId="0" borderId="10" xfId="64" applyFont="1" applyBorder="1" applyAlignment="1">
      <alignment vertical="center" wrapText="1"/>
    </xf>
    <xf numFmtId="3" fontId="11" fillId="0" borderId="10" xfId="64" applyNumberFormat="1" applyFont="1" applyBorder="1" applyAlignment="1">
      <alignment horizontal="right" vertical="center" wrapText="1"/>
    </xf>
    <xf numFmtId="0" fontId="50" fillId="26" borderId="10" xfId="64" applyFont="1" applyFill="1" applyBorder="1" applyAlignment="1">
      <alignment horizontal="center"/>
    </xf>
    <xf numFmtId="3" fontId="12" fillId="26" borderId="10" xfId="64" applyNumberFormat="1" applyFont="1" applyFill="1" applyBorder="1" applyAlignment="1">
      <alignment horizontal="right" vertical="center" wrapText="1"/>
    </xf>
    <xf numFmtId="3" fontId="12" fillId="26" borderId="10" xfId="64" applyNumberFormat="1" applyFont="1" applyFill="1" applyBorder="1"/>
    <xf numFmtId="0" fontId="93" fillId="0" borderId="10" xfId="64" applyFont="1" applyFill="1" applyBorder="1" applyAlignment="1">
      <alignment vertical="center" wrapText="1"/>
    </xf>
    <xf numFmtId="3" fontId="11" fillId="0" borderId="10" xfId="64" applyNumberFormat="1" applyFont="1" applyBorder="1"/>
    <xf numFmtId="0" fontId="5" fillId="0" borderId="0" xfId="64" applyFont="1"/>
    <xf numFmtId="0" fontId="5" fillId="0" borderId="0" xfId="64" applyFont="1" applyAlignment="1">
      <alignment horizontal="right"/>
    </xf>
    <xf numFmtId="3" fontId="4" fillId="0" borderId="0" xfId="64" applyNumberFormat="1"/>
    <xf numFmtId="4" fontId="79" fillId="0" borderId="69" xfId="64" applyNumberFormat="1" applyFont="1" applyFill="1" applyBorder="1"/>
    <xf numFmtId="3" fontId="79" fillId="0" borderId="70" xfId="64" applyNumberFormat="1" applyFont="1" applyFill="1" applyBorder="1"/>
    <xf numFmtId="4" fontId="79" fillId="0" borderId="53" xfId="64" applyNumberFormat="1" applyFont="1" applyFill="1" applyBorder="1"/>
    <xf numFmtId="3" fontId="79" fillId="0" borderId="54" xfId="64" applyNumberFormat="1" applyFont="1" applyFill="1" applyBorder="1"/>
    <xf numFmtId="4" fontId="79" fillId="0" borderId="53" xfId="0" applyNumberFormat="1" applyFont="1" applyFill="1" applyBorder="1"/>
    <xf numFmtId="4" fontId="79" fillId="0" borderId="69" xfId="0" applyNumberFormat="1" applyFont="1" applyFill="1" applyBorder="1"/>
    <xf numFmtId="1" fontId="79" fillId="0" borderId="70" xfId="0" applyNumberFormat="1" applyFont="1" applyFill="1" applyBorder="1"/>
    <xf numFmtId="3" fontId="79" fillId="0" borderId="53" xfId="64" applyNumberFormat="1" applyFont="1" applyFill="1" applyBorder="1" applyAlignment="1">
      <alignment horizontal="right"/>
    </xf>
    <xf numFmtId="3" fontId="79" fillId="0" borderId="69" xfId="0" applyNumberFormat="1" applyFont="1" applyFill="1" applyBorder="1"/>
    <xf numFmtId="3" fontId="79" fillId="0" borderId="70" xfId="0" applyNumberFormat="1" applyFont="1" applyFill="1" applyBorder="1"/>
    <xf numFmtId="3" fontId="79" fillId="0" borderId="69" xfId="64" applyNumberFormat="1" applyFont="1" applyFill="1" applyBorder="1"/>
    <xf numFmtId="3" fontId="79" fillId="0" borderId="54" xfId="0" applyNumberFormat="1" applyFont="1" applyFill="1" applyBorder="1"/>
    <xf numFmtId="3" fontId="79" fillId="0" borderId="69" xfId="65" applyNumberFormat="1" applyFont="1" applyFill="1" applyBorder="1" applyAlignment="1">
      <alignment horizontal="right" vertical="center"/>
    </xf>
    <xf numFmtId="3" fontId="79" fillId="0" borderId="70" xfId="65" applyNumberFormat="1" applyFont="1" applyFill="1" applyBorder="1" applyAlignment="1">
      <alignment horizontal="right" vertical="center"/>
    </xf>
    <xf numFmtId="3" fontId="79" fillId="0" borderId="53" xfId="62" applyNumberFormat="1" applyFont="1" applyFill="1" applyBorder="1"/>
    <xf numFmtId="4" fontId="79" fillId="0" borderId="0" xfId="0" applyNumberFormat="1" applyFont="1" applyFill="1" applyBorder="1"/>
    <xf numFmtId="3" fontId="79" fillId="0" borderId="63" xfId="0" applyNumberFormat="1" applyFont="1" applyFill="1" applyBorder="1"/>
    <xf numFmtId="3" fontId="79" fillId="0" borderId="0" xfId="0" applyNumberFormat="1" applyFont="1" applyFill="1" applyBorder="1"/>
    <xf numFmtId="4" fontId="79" fillId="0" borderId="53" xfId="62" applyNumberFormat="1" applyFont="1" applyFill="1" applyBorder="1"/>
    <xf numFmtId="3" fontId="79" fillId="0" borderId="54" xfId="62" applyNumberFormat="1" applyFont="1" applyFill="1" applyBorder="1"/>
    <xf numFmtId="3" fontId="79" fillId="0" borderId="54" xfId="64" applyNumberFormat="1" applyFont="1" applyFill="1" applyBorder="1" applyAlignment="1">
      <alignment horizontal="right"/>
    </xf>
    <xf numFmtId="4" fontId="79" fillId="0" borderId="53" xfId="65" applyNumberFormat="1" applyFont="1" applyFill="1" applyBorder="1" applyAlignment="1">
      <alignment horizontal="right" vertical="center"/>
    </xf>
    <xf numFmtId="3" fontId="79" fillId="0" borderId="62" xfId="62" applyNumberFormat="1" applyFont="1" applyFill="1" applyBorder="1"/>
    <xf numFmtId="3" fontId="11" fillId="0" borderId="10" xfId="64" applyNumberFormat="1" applyFont="1" applyFill="1" applyBorder="1" applyAlignment="1">
      <alignment horizontal="right" vertical="center"/>
    </xf>
    <xf numFmtId="3" fontId="11" fillId="0" borderId="10" xfId="64" applyNumberFormat="1" applyFont="1" applyFill="1" applyBorder="1" applyAlignment="1">
      <alignment horizontal="right" vertical="center" wrapText="1"/>
    </xf>
    <xf numFmtId="3" fontId="11" fillId="0" borderId="10" xfId="64" applyNumberFormat="1" applyFont="1" applyFill="1" applyBorder="1" applyAlignment="1">
      <alignment horizontal="right"/>
    </xf>
    <xf numFmtId="0" fontId="79" fillId="0" borderId="26" xfId="64" applyFont="1" applyFill="1" applyBorder="1" applyAlignment="1">
      <alignment horizontal="center" wrapText="1"/>
    </xf>
    <xf numFmtId="0" fontId="79" fillId="0" borderId="29" xfId="64" applyFont="1" applyFill="1" applyBorder="1" applyAlignment="1">
      <alignment horizontal="center" wrapText="1"/>
    </xf>
    <xf numFmtId="3" fontId="84" fillId="0" borderId="71" xfId="0" applyNumberFormat="1" applyFont="1" applyFill="1" applyBorder="1"/>
    <xf numFmtId="3" fontId="84" fillId="0" borderId="72" xfId="0" applyNumberFormat="1" applyFont="1" applyFill="1" applyBorder="1"/>
    <xf numFmtId="0" fontId="5" fillId="0" borderId="0" xfId="0" applyFont="1" applyFill="1" applyAlignment="1">
      <alignment horizontal="right"/>
    </xf>
    <xf numFmtId="0" fontId="44" fillId="0" borderId="0" xfId="61" applyFont="1" applyFill="1"/>
    <xf numFmtId="0" fontId="78" fillId="0" borderId="0" xfId="61" applyFont="1" applyFill="1"/>
    <xf numFmtId="0" fontId="4" fillId="0" borderId="0" xfId="61" applyFont="1" applyFill="1"/>
    <xf numFmtId="0" fontId="45" fillId="0" borderId="0" xfId="61" applyFont="1" applyFill="1"/>
    <xf numFmtId="0" fontId="11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12" fillId="24" borderId="10" xfId="0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25" borderId="10" xfId="0" applyFont="1" applyFill="1" applyBorder="1" applyAlignment="1">
      <alignment horizontal="center" vertical="center"/>
    </xf>
    <xf numFmtId="0" fontId="63" fillId="25" borderId="10" xfId="0" applyFont="1" applyFill="1" applyBorder="1" applyAlignment="1">
      <alignment horizontal="center" vertical="center"/>
    </xf>
    <xf numFmtId="0" fontId="12" fillId="25" borderId="10" xfId="0" applyFont="1" applyFill="1" applyBorder="1" applyAlignment="1">
      <alignment horizontal="center" vertical="center" wrapText="1"/>
    </xf>
    <xf numFmtId="0" fontId="63" fillId="25" borderId="10" xfId="0" applyFont="1" applyFill="1" applyBorder="1" applyAlignment="1">
      <alignment vertical="center"/>
    </xf>
    <xf numFmtId="0" fontId="63" fillId="25" borderId="10" xfId="0" applyFont="1" applyFill="1" applyBorder="1" applyAlignment="1">
      <alignment horizontal="center" vertical="center" wrapText="1"/>
    </xf>
    <xf numFmtId="0" fontId="6" fillId="29" borderId="0" xfId="61" applyFont="1" applyFill="1" applyAlignment="1">
      <alignment horizontal="right" vertical="top" wrapText="1"/>
    </xf>
    <xf numFmtId="0" fontId="12" fillId="29" borderId="0" xfId="6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12" fillId="29" borderId="0" xfId="61" applyNumberFormat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8" fillId="29" borderId="0" xfId="61" applyFont="1" applyFill="1" applyAlignment="1">
      <alignment horizontal="left" vertical="top" wrapText="1"/>
    </xf>
    <xf numFmtId="0" fontId="11" fillId="29" borderId="0" xfId="61" applyFont="1" applyFill="1" applyAlignment="1">
      <alignment horizontal="left" vertical="top" wrapText="1"/>
    </xf>
    <xf numFmtId="3" fontId="11" fillId="29" borderId="0" xfId="61" applyNumberFormat="1" applyFont="1" applyFill="1" applyAlignment="1">
      <alignment horizontal="right" vertical="top" wrapText="1"/>
    </xf>
    <xf numFmtId="0" fontId="77" fillId="29" borderId="0" xfId="61" applyFont="1" applyFill="1" applyAlignment="1">
      <alignment horizontal="left" vertical="top" wrapText="1"/>
    </xf>
    <xf numFmtId="0" fontId="36" fillId="29" borderId="0" xfId="61" applyFont="1" applyFill="1" applyAlignment="1">
      <alignment horizontal="left" vertical="top" wrapText="1"/>
    </xf>
    <xf numFmtId="3" fontId="36" fillId="29" borderId="0" xfId="61" applyNumberFormat="1" applyFont="1" applyFill="1" applyAlignment="1">
      <alignment horizontal="right" vertical="top" wrapText="1"/>
    </xf>
    <xf numFmtId="0" fontId="11" fillId="0" borderId="0" xfId="6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11" fillId="0" borderId="0" xfId="61" applyNumberFormat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8" fillId="0" borderId="0" xfId="61" applyFont="1" applyFill="1" applyAlignment="1">
      <alignment horizontal="left" vertical="top" wrapText="1"/>
    </xf>
    <xf numFmtId="0" fontId="12" fillId="0" borderId="0" xfId="61" applyFont="1" applyFill="1" applyAlignment="1">
      <alignment horizontal="left" vertical="top" wrapText="1"/>
    </xf>
    <xf numFmtId="3" fontId="12" fillId="0" borderId="0" xfId="61" applyNumberFormat="1" applyFont="1" applyFill="1" applyAlignment="1">
      <alignment horizontal="right" vertical="top" wrapText="1"/>
    </xf>
    <xf numFmtId="0" fontId="77" fillId="0" borderId="0" xfId="61" applyFont="1" applyFill="1" applyAlignment="1">
      <alignment horizontal="left" vertical="top" wrapText="1"/>
    </xf>
    <xf numFmtId="0" fontId="36" fillId="0" borderId="0" xfId="61" applyFont="1" applyFill="1" applyAlignment="1">
      <alignment horizontal="left" vertical="top" wrapText="1"/>
    </xf>
    <xf numFmtId="3" fontId="36" fillId="0" borderId="0" xfId="61" applyNumberFormat="1" applyFont="1" applyFill="1" applyAlignment="1">
      <alignment horizontal="right" vertical="top" wrapText="1"/>
    </xf>
    <xf numFmtId="0" fontId="13" fillId="29" borderId="0" xfId="61" applyFont="1" applyFill="1" applyAlignment="1">
      <alignment horizontal="left" vertical="top" wrapText="1"/>
    </xf>
    <xf numFmtId="3" fontId="13" fillId="29" borderId="0" xfId="61" applyNumberFormat="1" applyFont="1" applyFill="1" applyAlignment="1">
      <alignment horizontal="right" vertical="top" wrapText="1"/>
    </xf>
    <xf numFmtId="0" fontId="5" fillId="29" borderId="0" xfId="61" applyFont="1" applyFill="1" applyAlignment="1">
      <alignment horizontal="right" vertical="top" wrapText="1"/>
    </xf>
    <xf numFmtId="0" fontId="61" fillId="29" borderId="14" xfId="6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8" fillId="29" borderId="13" xfId="6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9" fontId="43" fillId="33" borderId="42" xfId="62" applyNumberFormat="1" applyFont="1" applyFill="1" applyBorder="1" applyAlignment="1">
      <alignment horizontal="left"/>
    </xf>
    <xf numFmtId="169" fontId="85" fillId="33" borderId="45" xfId="62" applyNumberFormat="1" applyFont="1" applyFill="1" applyBorder="1" applyAlignment="1">
      <alignment horizontal="left"/>
    </xf>
    <xf numFmtId="0" fontId="85" fillId="33" borderId="45" xfId="62" applyFont="1" applyFill="1" applyBorder="1" applyAlignment="1">
      <alignment horizontal="left"/>
    </xf>
    <xf numFmtId="0" fontId="43" fillId="34" borderId="48" xfId="62" applyFont="1" applyFill="1" applyBorder="1" applyAlignment="1">
      <alignment horizontal="left"/>
    </xf>
    <xf numFmtId="0" fontId="43" fillId="34" borderId="49" xfId="62" applyFont="1" applyFill="1" applyBorder="1" applyAlignment="1">
      <alignment horizontal="left"/>
    </xf>
    <xf numFmtId="0" fontId="43" fillId="33" borderId="26" xfId="62" applyFont="1" applyFill="1" applyBorder="1" applyAlignment="1">
      <alignment horizontal="left"/>
    </xf>
    <xf numFmtId="0" fontId="43" fillId="33" borderId="57" xfId="62" applyFont="1" applyFill="1" applyBorder="1" applyAlignment="1">
      <alignment horizontal="left"/>
    </xf>
    <xf numFmtId="0" fontId="43" fillId="33" borderId="58" xfId="62" applyFont="1" applyFill="1" applyBorder="1" applyAlignment="1">
      <alignment horizontal="left"/>
    </xf>
    <xf numFmtId="169" fontId="85" fillId="33" borderId="60" xfId="62" applyNumberFormat="1" applyFont="1" applyFill="1" applyBorder="1" applyAlignment="1">
      <alignment horizontal="left"/>
    </xf>
    <xf numFmtId="0" fontId="85" fillId="33" borderId="60" xfId="62" applyFont="1" applyFill="1" applyBorder="1" applyAlignment="1">
      <alignment horizontal="left"/>
    </xf>
    <xf numFmtId="0" fontId="79" fillId="0" borderId="62" xfId="62" applyFont="1" applyBorder="1" applyAlignment="1">
      <alignment horizontal="right"/>
    </xf>
    <xf numFmtId="0" fontId="43" fillId="0" borderId="63" xfId="62" applyFont="1" applyBorder="1" applyAlignment="1">
      <alignment horizontal="left" vertical="center"/>
    </xf>
    <xf numFmtId="0" fontId="79" fillId="0" borderId="55" xfId="62" applyFont="1" applyFill="1" applyBorder="1" applyAlignment="1">
      <alignment horizontal="right"/>
    </xf>
    <xf numFmtId="0" fontId="79" fillId="0" borderId="56" xfId="62" applyFont="1" applyFill="1" applyBorder="1" applyAlignment="1">
      <alignment horizontal="right"/>
    </xf>
    <xf numFmtId="0" fontId="79" fillId="0" borderId="26" xfId="62" applyFont="1" applyFill="1" applyBorder="1" applyAlignment="1">
      <alignment horizontal="center" vertical="center" wrapText="1"/>
    </xf>
    <xf numFmtId="0" fontId="79" fillId="0" borderId="29" xfId="62" applyFont="1" applyFill="1" applyBorder="1" applyAlignment="1">
      <alignment horizontal="center" vertical="center" wrapText="1"/>
    </xf>
    <xf numFmtId="170" fontId="79" fillId="0" borderId="26" xfId="65" applyNumberFormat="1" applyFont="1" applyFill="1" applyBorder="1" applyAlignment="1">
      <alignment horizontal="center" vertical="center"/>
    </xf>
    <xf numFmtId="170" fontId="79" fillId="0" borderId="29" xfId="65" applyNumberFormat="1" applyFont="1" applyFill="1" applyBorder="1" applyAlignment="1">
      <alignment horizontal="center" vertical="center"/>
    </xf>
    <xf numFmtId="0" fontId="79" fillId="0" borderId="26" xfId="66" applyFont="1" applyFill="1" applyBorder="1" applyAlignment="1">
      <alignment horizontal="center" wrapText="1"/>
    </xf>
    <xf numFmtId="0" fontId="79" fillId="0" borderId="29" xfId="66" applyFont="1" applyFill="1" applyBorder="1" applyAlignment="1">
      <alignment horizontal="center" wrapText="1"/>
    </xf>
    <xf numFmtId="0" fontId="79" fillId="0" borderId="26" xfId="62" applyFont="1" applyFill="1" applyBorder="1" applyAlignment="1">
      <alignment horizontal="center" wrapText="1"/>
    </xf>
    <xf numFmtId="0" fontId="79" fillId="0" borderId="29" xfId="62" applyFont="1" applyFill="1" applyBorder="1" applyAlignment="1">
      <alignment horizontal="center" wrapText="1"/>
    </xf>
    <xf numFmtId="0" fontId="79" fillId="0" borderId="25" xfId="62" applyFont="1" applyFill="1" applyBorder="1" applyAlignment="1"/>
    <xf numFmtId="0" fontId="79" fillId="0" borderId="28" xfId="62" applyFont="1" applyFill="1" applyBorder="1" applyAlignment="1"/>
    <xf numFmtId="169" fontId="43" fillId="33" borderId="41" xfId="62" applyNumberFormat="1" applyFont="1" applyFill="1" applyBorder="1" applyAlignment="1">
      <alignment horizontal="left"/>
    </xf>
    <xf numFmtId="0" fontId="79" fillId="0" borderId="0" xfId="62" applyFont="1" applyAlignment="1">
      <alignment horizontal="right" vertical="center" wrapText="1"/>
    </xf>
    <xf numFmtId="0" fontId="84" fillId="0" borderId="25" xfId="64" applyFont="1" applyFill="1" applyBorder="1" applyAlignment="1"/>
    <xf numFmtId="0" fontId="84" fillId="0" borderId="28" xfId="64" applyFont="1" applyFill="1" applyBorder="1" applyAlignment="1"/>
    <xf numFmtId="0" fontId="84" fillId="0" borderId="26" xfId="62" applyFont="1" applyFill="1" applyBorder="1" applyAlignment="1">
      <alignment horizontal="center" vertical="center" wrapText="1"/>
    </xf>
    <xf numFmtId="0" fontId="84" fillId="0" borderId="29" xfId="62" applyFont="1" applyFill="1" applyBorder="1" applyAlignment="1">
      <alignment horizontal="center" vertical="center" wrapText="1"/>
    </xf>
    <xf numFmtId="4" fontId="84" fillId="0" borderId="26" xfId="65" applyNumberFormat="1" applyFont="1" applyFill="1" applyBorder="1" applyAlignment="1">
      <alignment horizontal="center" vertical="center"/>
    </xf>
    <xf numFmtId="4" fontId="84" fillId="0" borderId="29" xfId="65" applyNumberFormat="1" applyFont="1" applyFill="1" applyBorder="1" applyAlignment="1">
      <alignment horizontal="center" vertical="center"/>
    </xf>
    <xf numFmtId="0" fontId="84" fillId="0" borderId="26" xfId="64" applyFont="1" applyFill="1" applyBorder="1" applyAlignment="1">
      <alignment horizontal="center" vertical="center" wrapText="1"/>
    </xf>
    <xf numFmtId="0" fontId="84" fillId="0" borderId="29" xfId="64" applyFont="1" applyFill="1" applyBorder="1" applyAlignment="1">
      <alignment horizontal="center" vertical="center" wrapText="1"/>
    </xf>
    <xf numFmtId="0" fontId="43" fillId="33" borderId="25" xfId="62" applyFont="1" applyFill="1" applyBorder="1" applyAlignment="1">
      <alignment horizontal="left"/>
    </xf>
    <xf numFmtId="0" fontId="79" fillId="0" borderId="33" xfId="0" applyFont="1" applyFill="1" applyBorder="1" applyAlignment="1">
      <alignment horizontal="center" vertical="center" wrapText="1"/>
    </xf>
    <xf numFmtId="0" fontId="79" fillId="0" borderId="34" xfId="0" applyFont="1" applyFill="1" applyBorder="1" applyAlignment="1">
      <alignment horizontal="center" vertical="center" wrapText="1"/>
    </xf>
    <xf numFmtId="4" fontId="79" fillId="0" borderId="26" xfId="65" applyNumberFormat="1" applyFont="1" applyFill="1" applyBorder="1" applyAlignment="1">
      <alignment horizontal="center" vertical="center"/>
    </xf>
    <xf numFmtId="4" fontId="79" fillId="0" borderId="29" xfId="65" applyNumberFormat="1" applyFont="1" applyFill="1" applyBorder="1" applyAlignment="1">
      <alignment horizontal="center" vertical="center"/>
    </xf>
    <xf numFmtId="0" fontId="79" fillId="0" borderId="26" xfId="64" applyFont="1" applyFill="1" applyBorder="1" applyAlignment="1">
      <alignment horizontal="center" vertical="center" wrapText="1"/>
    </xf>
    <xf numFmtId="0" fontId="79" fillId="0" borderId="29" xfId="64" applyFont="1" applyFill="1" applyBorder="1" applyAlignment="1">
      <alignment horizontal="center" vertical="center" wrapText="1"/>
    </xf>
    <xf numFmtId="0" fontId="79" fillId="0" borderId="25" xfId="64" applyFont="1" applyFill="1" applyBorder="1" applyAlignment="1"/>
    <xf numFmtId="0" fontId="79" fillId="0" borderId="28" xfId="64" applyFont="1" applyFill="1" applyBorder="1" applyAlignment="1"/>
    <xf numFmtId="0" fontId="79" fillId="0" borderId="26" xfId="64" applyFont="1" applyFill="1" applyBorder="1" applyAlignment="1">
      <alignment horizontal="center" wrapText="1"/>
    </xf>
    <xf numFmtId="0" fontId="79" fillId="0" borderId="29" xfId="64" applyFont="1" applyFill="1" applyBorder="1" applyAlignment="1">
      <alignment horizontal="center" wrapText="1"/>
    </xf>
    <xf numFmtId="0" fontId="79" fillId="0" borderId="26" xfId="0" applyFont="1" applyFill="1" applyBorder="1" applyAlignment="1">
      <alignment horizontal="center" vertical="center" wrapText="1"/>
    </xf>
    <xf numFmtId="0" fontId="79" fillId="0" borderId="29" xfId="0" applyFont="1" applyFill="1" applyBorder="1" applyAlignment="1">
      <alignment horizontal="center" vertical="center" wrapText="1"/>
    </xf>
    <xf numFmtId="4" fontId="79" fillId="0" borderId="38" xfId="65" applyNumberFormat="1" applyFont="1" applyFill="1" applyBorder="1" applyAlignment="1">
      <alignment horizontal="center" vertical="center"/>
    </xf>
    <xf numFmtId="4" fontId="79" fillId="0" borderId="37" xfId="65" applyNumberFormat="1" applyFont="1" applyFill="1" applyBorder="1" applyAlignment="1">
      <alignment horizontal="center" vertical="center"/>
    </xf>
    <xf numFmtId="3" fontId="79" fillId="0" borderId="26" xfId="62" applyNumberFormat="1" applyFont="1" applyFill="1" applyBorder="1" applyAlignment="1">
      <alignment horizontal="center" vertical="center" wrapText="1"/>
    </xf>
    <xf numFmtId="0" fontId="79" fillId="0" borderId="67" xfId="64" applyFont="1" applyFill="1" applyBorder="1" applyAlignment="1"/>
    <xf numFmtId="0" fontId="79" fillId="0" borderId="35" xfId="64" applyFont="1" applyFill="1" applyBorder="1" applyAlignment="1"/>
    <xf numFmtId="0" fontId="79" fillId="0" borderId="31" xfId="0" applyFont="1" applyFill="1" applyBorder="1" applyAlignment="1">
      <alignment horizontal="center" vertical="center" wrapText="1"/>
    </xf>
    <xf numFmtId="0" fontId="79" fillId="0" borderId="32" xfId="0" applyFont="1" applyFill="1" applyBorder="1" applyAlignment="1">
      <alignment horizontal="center" vertical="center" wrapText="1"/>
    </xf>
    <xf numFmtId="4" fontId="79" fillId="0" borderId="31" xfId="65" applyNumberFormat="1" applyFont="1" applyFill="1" applyBorder="1" applyAlignment="1">
      <alignment horizontal="center" vertical="center"/>
    </xf>
    <xf numFmtId="4" fontId="79" fillId="0" borderId="32" xfId="65" applyNumberFormat="1" applyFont="1" applyFill="1" applyBorder="1" applyAlignment="1">
      <alignment horizontal="center" vertical="center"/>
    </xf>
    <xf numFmtId="0" fontId="79" fillId="0" borderId="31" xfId="64" applyFont="1" applyFill="1" applyBorder="1" applyAlignment="1">
      <alignment horizontal="center" vertical="center" wrapText="1"/>
    </xf>
    <xf numFmtId="0" fontId="79" fillId="0" borderId="32" xfId="64" applyFont="1" applyFill="1" applyBorder="1" applyAlignment="1">
      <alignment horizontal="center" vertical="center" wrapText="1"/>
    </xf>
    <xf numFmtId="0" fontId="79" fillId="0" borderId="31" xfId="64" applyFont="1" applyFill="1" applyBorder="1" applyAlignment="1">
      <alignment horizontal="center" wrapText="1"/>
    </xf>
    <xf numFmtId="0" fontId="79" fillId="0" borderId="32" xfId="64" applyFont="1" applyFill="1" applyBorder="1" applyAlignment="1">
      <alignment horizontal="center" wrapText="1"/>
    </xf>
    <xf numFmtId="14" fontId="79" fillId="0" borderId="31" xfId="64" applyNumberFormat="1" applyFont="1" applyFill="1" applyBorder="1" applyAlignment="1">
      <alignment horizontal="center" wrapText="1"/>
    </xf>
    <xf numFmtId="0" fontId="79" fillId="0" borderId="31" xfId="0" applyFont="1" applyFill="1" applyBorder="1" applyAlignment="1">
      <alignment horizontal="center" wrapText="1"/>
    </xf>
    <xf numFmtId="0" fontId="79" fillId="0" borderId="32" xfId="0" applyFont="1" applyFill="1" applyBorder="1" applyAlignment="1">
      <alignment horizontal="center" wrapText="1"/>
    </xf>
    <xf numFmtId="0" fontId="79" fillId="0" borderId="26" xfId="0" applyFont="1" applyFill="1" applyBorder="1" applyAlignment="1">
      <alignment horizontal="center" wrapText="1"/>
    </xf>
    <xf numFmtId="0" fontId="79" fillId="0" borderId="29" xfId="0" applyFont="1" applyFill="1" applyBorder="1" applyAlignment="1">
      <alignment horizontal="center" wrapText="1"/>
    </xf>
    <xf numFmtId="0" fontId="79" fillId="0" borderId="33" xfId="64" applyFont="1" applyFill="1" applyBorder="1" applyAlignment="1">
      <alignment horizontal="center" vertical="center" wrapText="1"/>
    </xf>
    <xf numFmtId="0" fontId="79" fillId="0" borderId="34" xfId="64" applyFont="1" applyFill="1" applyBorder="1" applyAlignment="1">
      <alignment horizontal="center" vertical="center" wrapText="1"/>
    </xf>
    <xf numFmtId="0" fontId="84" fillId="0" borderId="67" xfId="64" applyFont="1" applyFill="1" applyBorder="1" applyAlignment="1"/>
    <xf numFmtId="0" fontId="84" fillId="0" borderId="35" xfId="64" applyFont="1" applyFill="1" applyBorder="1" applyAlignment="1"/>
    <xf numFmtId="0" fontId="84" fillId="0" borderId="31" xfId="64" applyFont="1" applyFill="1" applyBorder="1" applyAlignment="1">
      <alignment horizontal="center" vertical="center" wrapText="1"/>
    </xf>
    <xf numFmtId="0" fontId="84" fillId="0" borderId="32" xfId="64" applyFont="1" applyFill="1" applyBorder="1" applyAlignment="1">
      <alignment horizontal="center" vertical="center" wrapText="1"/>
    </xf>
    <xf numFmtId="4" fontId="84" fillId="0" borderId="31" xfId="65" applyNumberFormat="1" applyFont="1" applyFill="1" applyBorder="1" applyAlignment="1">
      <alignment horizontal="center" vertical="center"/>
    </xf>
    <xf numFmtId="4" fontId="84" fillId="0" borderId="32" xfId="65" applyNumberFormat="1" applyFont="1" applyFill="1" applyBorder="1" applyAlignment="1">
      <alignment horizontal="center" vertical="center"/>
    </xf>
    <xf numFmtId="0" fontId="84" fillId="0" borderId="31" xfId="64" applyFont="1" applyFill="1" applyBorder="1" applyAlignment="1">
      <alignment horizontal="center" wrapText="1"/>
    </xf>
    <xf numFmtId="0" fontId="84" fillId="0" borderId="32" xfId="64" applyFont="1" applyFill="1" applyBorder="1" applyAlignment="1">
      <alignment horizontal="center" wrapText="1"/>
    </xf>
    <xf numFmtId="0" fontId="84" fillId="0" borderId="26" xfId="64" applyFont="1" applyFill="1" applyBorder="1" applyAlignment="1">
      <alignment horizontal="center" wrapText="1"/>
    </xf>
    <xf numFmtId="0" fontId="84" fillId="0" borderId="29" xfId="64" applyFont="1" applyFill="1" applyBorder="1" applyAlignment="1">
      <alignment horizontal="center" wrapText="1"/>
    </xf>
    <xf numFmtId="0" fontId="4" fillId="0" borderId="32" xfId="64" applyFill="1" applyBorder="1" applyAlignment="1">
      <alignment horizontal="center" vertical="center" wrapText="1"/>
    </xf>
    <xf numFmtId="0" fontId="4" fillId="0" borderId="29" xfId="64" applyFill="1" applyBorder="1" applyAlignment="1">
      <alignment horizontal="center" vertical="center" wrapText="1"/>
    </xf>
    <xf numFmtId="0" fontId="8" fillId="0" borderId="0" xfId="62" applyFont="1" applyBorder="1" applyAlignment="1">
      <alignment horizontal="center"/>
    </xf>
    <xf numFmtId="0" fontId="80" fillId="25" borderId="15" xfId="62" applyFont="1" applyFill="1" applyBorder="1" applyAlignment="1">
      <alignment horizontal="center" vertical="center" wrapText="1"/>
    </xf>
    <xf numFmtId="0" fontId="80" fillId="25" borderId="20" xfId="62" applyFont="1" applyFill="1" applyBorder="1" applyAlignment="1">
      <alignment horizontal="center" vertical="center" wrapText="1"/>
    </xf>
    <xf numFmtId="0" fontId="80" fillId="25" borderId="16" xfId="62" applyFont="1" applyFill="1" applyBorder="1" applyAlignment="1">
      <alignment horizontal="center" vertical="center" wrapText="1"/>
    </xf>
    <xf numFmtId="0" fontId="80" fillId="25" borderId="21" xfId="62" applyFont="1" applyFill="1" applyBorder="1" applyAlignment="1">
      <alignment horizontal="center" vertical="center" wrapText="1"/>
    </xf>
    <xf numFmtId="0" fontId="80" fillId="27" borderId="17" xfId="62" applyFont="1" applyFill="1" applyBorder="1" applyAlignment="1">
      <alignment horizontal="center" vertical="center"/>
    </xf>
    <xf numFmtId="0" fontId="80" fillId="27" borderId="22" xfId="62" applyFont="1" applyFill="1" applyBorder="1" applyAlignment="1">
      <alignment horizontal="center" vertical="center"/>
    </xf>
    <xf numFmtId="4" fontId="79" fillId="0" borderId="26" xfId="65" applyNumberFormat="1" applyFont="1" applyFill="1" applyBorder="1" applyAlignment="1">
      <alignment horizontal="center" vertical="center" wrapText="1"/>
    </xf>
    <xf numFmtId="4" fontId="79" fillId="0" borderId="29" xfId="65" applyNumberFormat="1" applyFont="1" applyFill="1" applyBorder="1" applyAlignment="1">
      <alignment horizontal="center" vertical="center" wrapText="1"/>
    </xf>
    <xf numFmtId="0" fontId="5" fillId="0" borderId="0" xfId="59" applyFont="1" applyAlignment="1">
      <alignment horizontal="left" wrapText="1"/>
    </xf>
    <xf numFmtId="0" fontId="61" fillId="0" borderId="0" xfId="59" applyFont="1" applyAlignment="1">
      <alignment horizontal="center"/>
    </xf>
    <xf numFmtId="0" fontId="43" fillId="27" borderId="10" xfId="59" applyFont="1" applyFill="1" applyBorder="1" applyAlignment="1">
      <alignment horizontal="center" vertical="center" wrapText="1"/>
    </xf>
    <xf numFmtId="0" fontId="6" fillId="0" borderId="10" xfId="59" applyFont="1" applyBorder="1" applyAlignment="1">
      <alignment horizontal="left" wrapText="1"/>
    </xf>
    <xf numFmtId="0" fontId="8" fillId="31" borderId="10" xfId="59" applyFont="1" applyFill="1" applyBorder="1" applyAlignment="1">
      <alignment horizontal="left" wrapText="1"/>
    </xf>
    <xf numFmtId="0" fontId="43" fillId="27" borderId="10" xfId="59" applyFont="1" applyFill="1" applyBorder="1" applyAlignment="1">
      <alignment horizontal="center" wrapText="1"/>
    </xf>
    <xf numFmtId="0" fontId="12" fillId="29" borderId="0" xfId="60" applyFont="1" applyFill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3" fontId="12" fillId="29" borderId="0" xfId="60" applyNumberFormat="1" applyFont="1" applyFill="1" applyAlignment="1">
      <alignment horizontal="right" vertical="top" wrapText="1"/>
    </xf>
    <xf numFmtId="0" fontId="6" fillId="29" borderId="0" xfId="60" applyFont="1" applyFill="1" applyAlignment="1">
      <alignment horizontal="right" vertical="top" wrapText="1"/>
    </xf>
    <xf numFmtId="0" fontId="8" fillId="29" borderId="0" xfId="60" applyFont="1" applyFill="1" applyAlignment="1">
      <alignment horizontal="left" vertical="top" wrapText="1"/>
    </xf>
    <xf numFmtId="0" fontId="11" fillId="29" borderId="0" xfId="60" applyFont="1" applyFill="1" applyAlignment="1">
      <alignment horizontal="left" vertical="top" wrapText="1"/>
    </xf>
    <xf numFmtId="3" fontId="11" fillId="29" borderId="0" xfId="60" applyNumberFormat="1" applyFont="1" applyFill="1" applyAlignment="1">
      <alignment horizontal="right" vertical="top" wrapText="1"/>
    </xf>
    <xf numFmtId="0" fontId="77" fillId="29" borderId="0" xfId="60" applyFont="1" applyFill="1" applyAlignment="1">
      <alignment horizontal="left" vertical="top" wrapText="1"/>
    </xf>
    <xf numFmtId="0" fontId="78" fillId="0" borderId="0" xfId="0" applyFont="1" applyAlignment="1">
      <alignment horizontal="left" vertical="top" wrapText="1"/>
    </xf>
    <xf numFmtId="0" fontId="36" fillId="29" borderId="0" xfId="60" applyFont="1" applyFill="1" applyAlignment="1">
      <alignment horizontal="left" vertical="top" wrapText="1"/>
    </xf>
    <xf numFmtId="3" fontId="36" fillId="29" borderId="0" xfId="60" applyNumberFormat="1" applyFont="1" applyFill="1" applyAlignment="1">
      <alignment horizontal="right" vertical="top" wrapText="1"/>
    </xf>
    <xf numFmtId="0" fontId="44" fillId="0" borderId="0" xfId="0" applyFont="1" applyAlignment="1">
      <alignment horizontal="left" vertical="top" wrapText="1"/>
    </xf>
    <xf numFmtId="0" fontId="5" fillId="29" borderId="0" xfId="60" applyFont="1" applyFill="1" applyAlignment="1">
      <alignment horizontal="right" vertical="top" wrapText="1"/>
    </xf>
    <xf numFmtId="0" fontId="61" fillId="29" borderId="14" xfId="60" applyFont="1" applyFill="1" applyBorder="1" applyAlignment="1">
      <alignment horizontal="center" vertical="top" wrapText="1"/>
    </xf>
    <xf numFmtId="0" fontId="8" fillId="29" borderId="13" xfId="60" applyFont="1" applyFill="1" applyBorder="1" applyAlignment="1">
      <alignment horizontal="center" vertical="center" wrapText="1"/>
    </xf>
    <xf numFmtId="0" fontId="8" fillId="29" borderId="12" xfId="60" applyFont="1" applyFill="1" applyBorder="1" applyAlignment="1">
      <alignment horizontal="center" vertical="center" wrapText="1"/>
    </xf>
    <xf numFmtId="0" fontId="8" fillId="29" borderId="11" xfId="60" applyFont="1" applyFill="1" applyBorder="1" applyAlignment="1">
      <alignment horizontal="center" vertical="center" wrapText="1"/>
    </xf>
    <xf numFmtId="0" fontId="91" fillId="0" borderId="0" xfId="64" applyFont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29"/>
    <cellStyle name="Comma_Pašvaldības saistības 2" xfId="65"/>
    <cellStyle name="Currency 2" xfId="30"/>
    <cellStyle name="Currency 2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/>
    <cellStyle name="Normal 2 2" xfId="42"/>
    <cellStyle name="Normal 2 2 2" xfId="64"/>
    <cellStyle name="Normal 3" xfId="43"/>
    <cellStyle name="Normal 3 2" xfId="63"/>
    <cellStyle name="Normal 4" xfId="44"/>
    <cellStyle name="Normal 5" xfId="45"/>
    <cellStyle name="Normal 5 2" xfId="46"/>
    <cellStyle name="Normal 5 2 2" xfId="62"/>
    <cellStyle name="Normal 6" xfId="58"/>
    <cellStyle name="Normal 6 2" xfId="66"/>
    <cellStyle name="Normal 7" xfId="59"/>
    <cellStyle name="Normal 8" xfId="60"/>
    <cellStyle name="Normal 9" xfId="61"/>
    <cellStyle name="Normal_Pamatformas 2" xfId="68"/>
    <cellStyle name="Note" xfId="47" builtinId="10" customBuiltin="1"/>
    <cellStyle name="Output" xfId="48" builtinId="21" customBuiltin="1"/>
    <cellStyle name="Percent 2" xfId="49"/>
    <cellStyle name="Percent 2 2" xfId="50"/>
    <cellStyle name="Percent 3" xfId="51"/>
    <cellStyle name="Percent 3 2" xfId="52"/>
    <cellStyle name="Percent 4" xfId="53"/>
    <cellStyle name="Percent 4 2" xfId="67"/>
    <cellStyle name="Percent 5" xfId="54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zoomScaleNormal="100" workbookViewId="0">
      <selection activeCell="E12" sqref="E12"/>
    </sheetView>
  </sheetViews>
  <sheetFormatPr defaultRowHeight="15" x14ac:dyDescent="0.25"/>
  <cols>
    <col min="1" max="1" width="12.140625" style="11" customWidth="1"/>
    <col min="2" max="2" width="57.7109375" style="11" customWidth="1"/>
    <col min="3" max="3" width="16.140625" style="34" customWidth="1"/>
    <col min="4" max="16384" width="9.140625" style="11"/>
  </cols>
  <sheetData>
    <row r="1" spans="1:3" x14ac:dyDescent="0.25">
      <c r="A1" s="33" t="s">
        <v>164</v>
      </c>
      <c r="B1" s="33"/>
      <c r="C1" s="39" t="s">
        <v>84</v>
      </c>
    </row>
    <row r="2" spans="1:3" x14ac:dyDescent="0.25">
      <c r="A2" s="40"/>
      <c r="B2" s="525" t="s">
        <v>607</v>
      </c>
      <c r="C2" s="525"/>
    </row>
    <row r="3" spans="1:3" x14ac:dyDescent="0.25">
      <c r="A3" s="40"/>
      <c r="B3" s="525" t="s">
        <v>463</v>
      </c>
      <c r="C3" s="525"/>
    </row>
    <row r="4" spans="1:3" x14ac:dyDescent="0.25">
      <c r="A4" s="40"/>
      <c r="B4" s="40"/>
      <c r="C4" s="41"/>
    </row>
    <row r="5" spans="1:3" x14ac:dyDescent="0.25">
      <c r="A5" s="526" t="s">
        <v>464</v>
      </c>
      <c r="B5" s="526"/>
      <c r="C5" s="526"/>
    </row>
    <row r="6" spans="1:3" x14ac:dyDescent="0.25">
      <c r="A6" s="40"/>
      <c r="B6" s="78" t="s">
        <v>20</v>
      </c>
      <c r="C6" s="41"/>
    </row>
    <row r="7" spans="1:3" x14ac:dyDescent="0.25">
      <c r="A7" s="40"/>
      <c r="B7" s="42"/>
      <c r="C7" s="218" t="s">
        <v>328</v>
      </c>
    </row>
    <row r="8" spans="1:3" ht="29.25" x14ac:dyDescent="0.25">
      <c r="A8" s="79" t="s">
        <v>225</v>
      </c>
      <c r="B8" s="213" t="s">
        <v>130</v>
      </c>
      <c r="C8" s="80" t="s">
        <v>465</v>
      </c>
    </row>
    <row r="9" spans="1:3" x14ac:dyDescent="0.25">
      <c r="A9" s="81"/>
      <c r="B9" s="82" t="s">
        <v>174</v>
      </c>
      <c r="C9" s="83">
        <f>C10+C19+C51+C60</f>
        <v>59249809</v>
      </c>
    </row>
    <row r="10" spans="1:3" x14ac:dyDescent="0.25">
      <c r="A10" s="81"/>
      <c r="B10" s="82" t="s">
        <v>170</v>
      </c>
      <c r="C10" s="83">
        <f>C11+C14+C18</f>
        <v>44915303</v>
      </c>
    </row>
    <row r="11" spans="1:3" x14ac:dyDescent="0.25">
      <c r="A11" s="141" t="s">
        <v>41</v>
      </c>
      <c r="B11" s="142" t="s">
        <v>21</v>
      </c>
      <c r="C11" s="143">
        <f>C12+C13</f>
        <v>40825129</v>
      </c>
    </row>
    <row r="12" spans="1:3" ht="30" customHeight="1" x14ac:dyDescent="0.25">
      <c r="A12" s="144" t="s">
        <v>203</v>
      </c>
      <c r="B12" s="145" t="s">
        <v>158</v>
      </c>
      <c r="C12" s="146">
        <v>296857</v>
      </c>
    </row>
    <row r="13" spans="1:3" ht="30" x14ac:dyDescent="0.25">
      <c r="A13" s="144" t="s">
        <v>206</v>
      </c>
      <c r="B13" s="145" t="s">
        <v>159</v>
      </c>
      <c r="C13" s="146">
        <v>40528272</v>
      </c>
    </row>
    <row r="14" spans="1:3" x14ac:dyDescent="0.25">
      <c r="A14" s="147" t="s">
        <v>226</v>
      </c>
      <c r="B14" s="142" t="s">
        <v>22</v>
      </c>
      <c r="C14" s="143">
        <f>C15+C16+C17</f>
        <v>3669610</v>
      </c>
    </row>
    <row r="15" spans="1:3" x14ac:dyDescent="0.25">
      <c r="A15" s="144" t="s">
        <v>227</v>
      </c>
      <c r="B15" s="145" t="s">
        <v>23</v>
      </c>
      <c r="C15" s="146">
        <v>1408171</v>
      </c>
    </row>
    <row r="16" spans="1:3" x14ac:dyDescent="0.25">
      <c r="A16" s="148" t="s">
        <v>228</v>
      </c>
      <c r="B16" s="149" t="s">
        <v>131</v>
      </c>
      <c r="C16" s="150">
        <v>1470393</v>
      </c>
    </row>
    <row r="17" spans="1:3" x14ac:dyDescent="0.25">
      <c r="A17" s="148" t="s">
        <v>229</v>
      </c>
      <c r="B17" s="149" t="s">
        <v>201</v>
      </c>
      <c r="C17" s="150">
        <v>791046</v>
      </c>
    </row>
    <row r="18" spans="1:3" x14ac:dyDescent="0.25">
      <c r="A18" s="141" t="s">
        <v>230</v>
      </c>
      <c r="B18" s="142" t="s">
        <v>0</v>
      </c>
      <c r="C18" s="143">
        <v>420564</v>
      </c>
    </row>
    <row r="19" spans="1:3" x14ac:dyDescent="0.25">
      <c r="A19" s="81"/>
      <c r="B19" s="82" t="s">
        <v>171</v>
      </c>
      <c r="C19" s="83">
        <f>C20+C22+C36+C40+C47</f>
        <v>250085</v>
      </c>
    </row>
    <row r="20" spans="1:3" hidden="1" x14ac:dyDescent="0.25">
      <c r="A20" s="87" t="s">
        <v>36</v>
      </c>
      <c r="B20" s="88" t="s">
        <v>24</v>
      </c>
      <c r="C20" s="89">
        <f>C21</f>
        <v>0</v>
      </c>
    </row>
    <row r="21" spans="1:3" hidden="1" x14ac:dyDescent="0.25">
      <c r="A21" s="84" t="s">
        <v>231</v>
      </c>
      <c r="B21" s="85" t="s">
        <v>132</v>
      </c>
      <c r="C21" s="86"/>
    </row>
    <row r="22" spans="1:3" x14ac:dyDescent="0.25">
      <c r="A22" s="147" t="s">
        <v>37</v>
      </c>
      <c r="B22" s="142" t="s">
        <v>25</v>
      </c>
      <c r="C22" s="143">
        <f>C23+C28</f>
        <v>59500</v>
      </c>
    </row>
    <row r="23" spans="1:3" x14ac:dyDescent="0.25">
      <c r="A23" s="151" t="s">
        <v>232</v>
      </c>
      <c r="B23" s="104" t="s">
        <v>1</v>
      </c>
      <c r="C23" s="143">
        <f>SUM(C25+C26+C27+C24)</f>
        <v>17000</v>
      </c>
    </row>
    <row r="24" spans="1:3" ht="30" x14ac:dyDescent="0.25">
      <c r="A24" s="144" t="s">
        <v>233</v>
      </c>
      <c r="B24" s="145" t="s">
        <v>287</v>
      </c>
      <c r="C24" s="146">
        <v>2000</v>
      </c>
    </row>
    <row r="25" spans="1:3" ht="60" x14ac:dyDescent="0.25">
      <c r="A25" s="144" t="s">
        <v>234</v>
      </c>
      <c r="B25" s="145" t="s">
        <v>336</v>
      </c>
      <c r="C25" s="152">
        <v>8000</v>
      </c>
    </row>
    <row r="26" spans="1:3" ht="15.75" hidden="1" customHeight="1" x14ac:dyDescent="0.25">
      <c r="A26" s="153" t="s">
        <v>235</v>
      </c>
      <c r="B26" s="154" t="s">
        <v>133</v>
      </c>
      <c r="C26" s="155">
        <v>0</v>
      </c>
    </row>
    <row r="27" spans="1:3" ht="15" customHeight="1" x14ac:dyDescent="0.25">
      <c r="A27" s="144" t="s">
        <v>236</v>
      </c>
      <c r="B27" s="145" t="s">
        <v>160</v>
      </c>
      <c r="C27" s="152">
        <v>7000</v>
      </c>
    </row>
    <row r="28" spans="1:3" x14ac:dyDescent="0.25">
      <c r="A28" s="151" t="s">
        <v>237</v>
      </c>
      <c r="B28" s="104" t="s">
        <v>2</v>
      </c>
      <c r="C28" s="143">
        <f>SUM(C29:C35)</f>
        <v>42500</v>
      </c>
    </row>
    <row r="29" spans="1:3" ht="30" x14ac:dyDescent="0.25">
      <c r="A29" s="144" t="s">
        <v>90</v>
      </c>
      <c r="B29" s="145" t="s">
        <v>337</v>
      </c>
      <c r="C29" s="152">
        <v>10000</v>
      </c>
    </row>
    <row r="30" spans="1:3" ht="30" x14ac:dyDescent="0.25">
      <c r="A30" s="144" t="s">
        <v>91</v>
      </c>
      <c r="B30" s="145" t="s">
        <v>134</v>
      </c>
      <c r="C30" s="152">
        <v>500</v>
      </c>
    </row>
    <row r="31" spans="1:3" x14ac:dyDescent="0.25">
      <c r="A31" s="144" t="s">
        <v>109</v>
      </c>
      <c r="B31" s="145" t="s">
        <v>135</v>
      </c>
      <c r="C31" s="152">
        <v>2500</v>
      </c>
    </row>
    <row r="32" spans="1:3" x14ac:dyDescent="0.25">
      <c r="A32" s="144" t="s">
        <v>238</v>
      </c>
      <c r="B32" s="145" t="s">
        <v>136</v>
      </c>
      <c r="C32" s="152">
        <v>3000</v>
      </c>
    </row>
    <row r="33" spans="1:3" ht="30" x14ac:dyDescent="0.25">
      <c r="A33" s="144" t="s">
        <v>239</v>
      </c>
      <c r="B33" s="145" t="s">
        <v>137</v>
      </c>
      <c r="C33" s="152">
        <v>7500</v>
      </c>
    </row>
    <row r="34" spans="1:3" ht="30" x14ac:dyDescent="0.25">
      <c r="A34" s="144" t="s">
        <v>221</v>
      </c>
      <c r="B34" s="145" t="s">
        <v>539</v>
      </c>
      <c r="C34" s="152">
        <v>15000</v>
      </c>
    </row>
    <row r="35" spans="1:3" x14ac:dyDescent="0.25">
      <c r="A35" s="144" t="s">
        <v>288</v>
      </c>
      <c r="B35" s="145" t="s">
        <v>314</v>
      </c>
      <c r="C35" s="152">
        <v>4000</v>
      </c>
    </row>
    <row r="36" spans="1:3" x14ac:dyDescent="0.25">
      <c r="A36" s="147" t="s">
        <v>38</v>
      </c>
      <c r="B36" s="142" t="s">
        <v>3</v>
      </c>
      <c r="C36" s="143">
        <f>C37+C38</f>
        <v>135000</v>
      </c>
    </row>
    <row r="37" spans="1:3" x14ac:dyDescent="0.25">
      <c r="A37" s="156" t="s">
        <v>240</v>
      </c>
      <c r="B37" s="145" t="s">
        <v>138</v>
      </c>
      <c r="C37" s="146">
        <v>62000</v>
      </c>
    </row>
    <row r="38" spans="1:3" x14ac:dyDescent="0.25">
      <c r="A38" s="151" t="s">
        <v>357</v>
      </c>
      <c r="B38" s="104" t="s">
        <v>358</v>
      </c>
      <c r="C38" s="143">
        <f>C39</f>
        <v>73000</v>
      </c>
    </row>
    <row r="39" spans="1:3" ht="30" x14ac:dyDescent="0.25">
      <c r="A39" s="156" t="s">
        <v>343</v>
      </c>
      <c r="B39" s="145" t="s">
        <v>370</v>
      </c>
      <c r="C39" s="146">
        <v>73000</v>
      </c>
    </row>
    <row r="40" spans="1:3" hidden="1" x14ac:dyDescent="0.25">
      <c r="A40" s="87" t="s">
        <v>241</v>
      </c>
      <c r="B40" s="88" t="s">
        <v>4</v>
      </c>
      <c r="C40" s="89">
        <f>C41+C45</f>
        <v>0</v>
      </c>
    </row>
    <row r="41" spans="1:3" hidden="1" x14ac:dyDescent="0.25">
      <c r="A41" s="90" t="s">
        <v>242</v>
      </c>
      <c r="B41" s="91" t="s">
        <v>141</v>
      </c>
      <c r="C41" s="89">
        <f>C42+C44+C43</f>
        <v>0</v>
      </c>
    </row>
    <row r="42" spans="1:3" hidden="1" x14ac:dyDescent="0.25">
      <c r="A42" s="84" t="s">
        <v>243</v>
      </c>
      <c r="B42" s="85" t="s">
        <v>315</v>
      </c>
      <c r="C42" s="86"/>
    </row>
    <row r="43" spans="1:3" hidden="1" x14ac:dyDescent="0.25">
      <c r="A43" s="84" t="s">
        <v>244</v>
      </c>
      <c r="B43" s="85" t="s">
        <v>202</v>
      </c>
      <c r="C43" s="86"/>
    </row>
    <row r="44" spans="1:3" hidden="1" x14ac:dyDescent="0.25">
      <c r="A44" s="84" t="s">
        <v>245</v>
      </c>
      <c r="B44" s="85" t="s">
        <v>316</v>
      </c>
      <c r="C44" s="86"/>
    </row>
    <row r="45" spans="1:3" hidden="1" x14ac:dyDescent="0.25">
      <c r="A45" s="92" t="s">
        <v>246</v>
      </c>
      <c r="B45" s="91" t="s">
        <v>214</v>
      </c>
      <c r="C45" s="89">
        <f>C46</f>
        <v>0</v>
      </c>
    </row>
    <row r="46" spans="1:3" ht="30" hidden="1" x14ac:dyDescent="0.25">
      <c r="A46" s="84" t="s">
        <v>247</v>
      </c>
      <c r="B46" s="85" t="s">
        <v>176</v>
      </c>
      <c r="C46" s="86"/>
    </row>
    <row r="47" spans="1:3" ht="29.25" x14ac:dyDescent="0.25">
      <c r="A47" s="147" t="s">
        <v>248</v>
      </c>
      <c r="B47" s="142" t="s">
        <v>540</v>
      </c>
      <c r="C47" s="143">
        <f>C48+C49+C50</f>
        <v>55585</v>
      </c>
    </row>
    <row r="48" spans="1:3" x14ac:dyDescent="0.25">
      <c r="A48" s="144" t="s">
        <v>249</v>
      </c>
      <c r="B48" s="145" t="s">
        <v>5</v>
      </c>
      <c r="C48" s="146">
        <v>33413</v>
      </c>
    </row>
    <row r="49" spans="1:5" x14ac:dyDescent="0.25">
      <c r="A49" s="144" t="s">
        <v>250</v>
      </c>
      <c r="B49" s="145" t="s">
        <v>6</v>
      </c>
      <c r="C49" s="146">
        <v>22172</v>
      </c>
    </row>
    <row r="50" spans="1:5" ht="30" hidden="1" x14ac:dyDescent="0.25">
      <c r="A50" s="93" t="s">
        <v>433</v>
      </c>
      <c r="B50" s="85" t="s">
        <v>434</v>
      </c>
      <c r="C50" s="86"/>
    </row>
    <row r="51" spans="1:5" x14ac:dyDescent="0.25">
      <c r="A51" s="81"/>
      <c r="B51" s="82" t="s">
        <v>172</v>
      </c>
      <c r="C51" s="83">
        <f>C52+C58</f>
        <v>12539143</v>
      </c>
    </row>
    <row r="52" spans="1:5" x14ac:dyDescent="0.25">
      <c r="A52" s="147" t="s">
        <v>251</v>
      </c>
      <c r="B52" s="142" t="s">
        <v>26</v>
      </c>
      <c r="C52" s="143">
        <f>C53</f>
        <v>11847867</v>
      </c>
    </row>
    <row r="53" spans="1:5" x14ac:dyDescent="0.25">
      <c r="A53" s="151" t="s">
        <v>252</v>
      </c>
      <c r="B53" s="104" t="s">
        <v>276</v>
      </c>
      <c r="C53" s="143">
        <f>C54+C55+C56+C57</f>
        <v>11847867</v>
      </c>
    </row>
    <row r="54" spans="1:5" ht="30" x14ac:dyDescent="0.25">
      <c r="A54" s="108" t="s">
        <v>253</v>
      </c>
      <c r="B54" s="145" t="s">
        <v>275</v>
      </c>
      <c r="C54" s="146">
        <f>9311691+10113</f>
        <v>9321804</v>
      </c>
    </row>
    <row r="55" spans="1:5" ht="60" x14ac:dyDescent="0.25">
      <c r="A55" s="108" t="s">
        <v>254</v>
      </c>
      <c r="B55" s="145" t="s">
        <v>277</v>
      </c>
      <c r="C55" s="146">
        <f>417349-13140</f>
        <v>404209</v>
      </c>
    </row>
    <row r="56" spans="1:5" ht="30" x14ac:dyDescent="0.25">
      <c r="A56" s="108" t="s">
        <v>338</v>
      </c>
      <c r="B56" s="145" t="s">
        <v>432</v>
      </c>
      <c r="C56" s="146">
        <v>2121854</v>
      </c>
    </row>
    <row r="57" spans="1:5" ht="30" hidden="1" x14ac:dyDescent="0.25">
      <c r="A57" s="108" t="s">
        <v>255</v>
      </c>
      <c r="B57" s="145" t="s">
        <v>278</v>
      </c>
      <c r="C57" s="146">
        <v>0</v>
      </c>
    </row>
    <row r="58" spans="1:5" x14ac:dyDescent="0.25">
      <c r="A58" s="104" t="s">
        <v>256</v>
      </c>
      <c r="B58" s="142" t="s">
        <v>139</v>
      </c>
      <c r="C58" s="143">
        <f>SUM(C59)</f>
        <v>691276</v>
      </c>
    </row>
    <row r="59" spans="1:5" x14ac:dyDescent="0.25">
      <c r="A59" s="108" t="s">
        <v>257</v>
      </c>
      <c r="B59" s="145" t="s">
        <v>279</v>
      </c>
      <c r="C59" s="146">
        <v>691276</v>
      </c>
    </row>
    <row r="60" spans="1:5" s="7" customFormat="1" ht="14.25" x14ac:dyDescent="0.2">
      <c r="A60" s="82"/>
      <c r="B60" s="82" t="s">
        <v>177</v>
      </c>
      <c r="C60" s="83">
        <f>SUM(C61)</f>
        <v>1545278</v>
      </c>
      <c r="D60" s="25"/>
      <c r="E60" s="25"/>
    </row>
    <row r="61" spans="1:5" x14ac:dyDescent="0.25">
      <c r="A61" s="147" t="s">
        <v>258</v>
      </c>
      <c r="B61" s="142" t="s">
        <v>339</v>
      </c>
      <c r="C61" s="143">
        <f>C62+C63+C69</f>
        <v>1545278</v>
      </c>
      <c r="D61" s="33"/>
      <c r="E61" s="33"/>
    </row>
    <row r="62" spans="1:5" hidden="1" x14ac:dyDescent="0.25">
      <c r="A62" s="90" t="s">
        <v>333</v>
      </c>
      <c r="B62" s="91" t="s">
        <v>340</v>
      </c>
      <c r="C62" s="89"/>
      <c r="D62" s="33"/>
      <c r="E62" s="33"/>
    </row>
    <row r="63" spans="1:5" ht="29.25" x14ac:dyDescent="0.25">
      <c r="A63" s="151" t="s">
        <v>259</v>
      </c>
      <c r="B63" s="104" t="s">
        <v>341</v>
      </c>
      <c r="C63" s="143">
        <f>C64+C65+C66+C67+C68</f>
        <v>1458136</v>
      </c>
      <c r="D63" s="33"/>
      <c r="E63" s="33"/>
    </row>
    <row r="64" spans="1:5" ht="29.25" hidden="1" customHeight="1" x14ac:dyDescent="0.25">
      <c r="A64" s="153" t="s">
        <v>260</v>
      </c>
      <c r="B64" s="154" t="s">
        <v>140</v>
      </c>
      <c r="C64" s="157"/>
      <c r="D64" s="33"/>
      <c r="E64" s="33"/>
    </row>
    <row r="65" spans="1:5" x14ac:dyDescent="0.25">
      <c r="A65" s="144" t="s">
        <v>261</v>
      </c>
      <c r="B65" s="145" t="s">
        <v>7</v>
      </c>
      <c r="C65" s="146">
        <f>275358+2500-7600</f>
        <v>270258</v>
      </c>
      <c r="D65" s="33"/>
      <c r="E65" s="33"/>
    </row>
    <row r="66" spans="1:5" ht="30" x14ac:dyDescent="0.25">
      <c r="A66" s="144" t="s">
        <v>262</v>
      </c>
      <c r="B66" s="145" t="s">
        <v>8</v>
      </c>
      <c r="C66" s="146">
        <v>500</v>
      </c>
      <c r="D66" s="33"/>
      <c r="E66" s="33"/>
    </row>
    <row r="67" spans="1:5" x14ac:dyDescent="0.25">
      <c r="A67" s="144" t="s">
        <v>263</v>
      </c>
      <c r="B67" s="145" t="s">
        <v>9</v>
      </c>
      <c r="C67" s="146">
        <v>472903</v>
      </c>
      <c r="D67" s="33"/>
      <c r="E67" s="33"/>
    </row>
    <row r="68" spans="1:5" ht="16.5" customHeight="1" x14ac:dyDescent="0.25">
      <c r="A68" s="144" t="s">
        <v>264</v>
      </c>
      <c r="B68" s="145" t="s">
        <v>342</v>
      </c>
      <c r="C68" s="146">
        <v>714475</v>
      </c>
      <c r="D68" s="33"/>
      <c r="E68" s="33"/>
    </row>
    <row r="69" spans="1:5" ht="43.5" x14ac:dyDescent="0.25">
      <c r="A69" s="151" t="s">
        <v>476</v>
      </c>
      <c r="B69" s="104" t="s">
        <v>541</v>
      </c>
      <c r="C69" s="143">
        <f>C70+C71</f>
        <v>87142</v>
      </c>
      <c r="D69" s="33"/>
      <c r="E69" s="33"/>
    </row>
    <row r="70" spans="1:5" ht="15.75" customHeight="1" x14ac:dyDescent="0.25">
      <c r="A70" s="144" t="s">
        <v>477</v>
      </c>
      <c r="B70" s="145" t="s">
        <v>478</v>
      </c>
      <c r="C70" s="152">
        <f>10000+960</f>
        <v>10960</v>
      </c>
      <c r="D70" s="33"/>
      <c r="E70" s="33"/>
    </row>
    <row r="71" spans="1:5" x14ac:dyDescent="0.25">
      <c r="A71" s="144" t="s">
        <v>317</v>
      </c>
      <c r="B71" s="145" t="s">
        <v>280</v>
      </c>
      <c r="C71" s="152">
        <f>46884+25923+3375</f>
        <v>76182</v>
      </c>
      <c r="D71" s="33"/>
      <c r="E71" s="33"/>
    </row>
    <row r="72" spans="1:5" x14ac:dyDescent="0.25">
      <c r="A72" s="158"/>
      <c r="B72" s="82" t="s">
        <v>173</v>
      </c>
      <c r="C72" s="83">
        <f>SUM(C73:C74)</f>
        <v>12229440</v>
      </c>
    </row>
    <row r="73" spans="1:5" x14ac:dyDescent="0.25">
      <c r="A73" s="159" t="s">
        <v>178</v>
      </c>
      <c r="B73" s="160" t="s">
        <v>359</v>
      </c>
      <c r="C73" s="150">
        <v>4197547</v>
      </c>
    </row>
    <row r="74" spans="1:5" x14ac:dyDescent="0.25">
      <c r="A74" s="161" t="s">
        <v>18</v>
      </c>
      <c r="B74" s="162" t="s">
        <v>19</v>
      </c>
      <c r="C74" s="150">
        <f>225384+7806509</f>
        <v>8031893</v>
      </c>
    </row>
    <row r="75" spans="1:5" x14ac:dyDescent="0.25">
      <c r="A75" s="158"/>
      <c r="B75" s="82" t="s">
        <v>175</v>
      </c>
      <c r="C75" s="83">
        <f>C9+C72</f>
        <v>71479249</v>
      </c>
    </row>
    <row r="76" spans="1:5" x14ac:dyDescent="0.25">
      <c r="A76" s="40"/>
      <c r="B76" s="43"/>
      <c r="C76" s="41"/>
    </row>
    <row r="77" spans="1:5" x14ac:dyDescent="0.25">
      <c r="A77" s="33" t="s">
        <v>27</v>
      </c>
      <c r="B77" s="33"/>
      <c r="C77" s="34" t="s">
        <v>28</v>
      </c>
    </row>
    <row r="84" spans="2:3" x14ac:dyDescent="0.25">
      <c r="B84" s="16"/>
      <c r="C84" s="35"/>
    </row>
  </sheetData>
  <mergeCells count="3">
    <mergeCell ref="B2:C2"/>
    <mergeCell ref="B3:C3"/>
    <mergeCell ref="A5:C5"/>
  </mergeCells>
  <printOptions horizontalCentered="1"/>
  <pageMargins left="0.98425196850393704" right="0.98425196850393704" top="0.78740157480314965" bottom="0.78740157480314965" header="0.19685039370078741" footer="0.19685039370078741"/>
  <pageSetup paperSize="9" scale="95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2"/>
  <sheetViews>
    <sheetView workbookViewId="0">
      <selection activeCell="P20" sqref="P20"/>
    </sheetView>
  </sheetViews>
  <sheetFormatPr defaultRowHeight="12.75" x14ac:dyDescent="0.2"/>
  <cols>
    <col min="1" max="1" width="10.7109375" customWidth="1"/>
    <col min="2" max="2" width="60.7109375" customWidth="1"/>
    <col min="3" max="3" width="13" customWidth="1"/>
    <col min="4" max="4" width="14.7109375" customWidth="1"/>
    <col min="5" max="5" width="12" customWidth="1"/>
    <col min="6" max="6" width="14.140625" customWidth="1"/>
    <col min="7" max="7" width="12" customWidth="1"/>
    <col min="8" max="8" width="13" customWidth="1"/>
    <col min="9" max="9" width="14.42578125" customWidth="1"/>
  </cols>
  <sheetData>
    <row r="1" spans="1:10" ht="15.75" x14ac:dyDescent="0.25">
      <c r="A1" s="163" t="s">
        <v>164</v>
      </c>
      <c r="B1" s="163"/>
      <c r="C1" s="163"/>
      <c r="D1" s="163"/>
      <c r="E1" s="163"/>
      <c r="F1" s="163"/>
      <c r="G1" s="163"/>
      <c r="H1" s="164" t="s">
        <v>166</v>
      </c>
    </row>
    <row r="2" spans="1:10" ht="15" x14ac:dyDescent="0.25">
      <c r="A2" s="163"/>
      <c r="B2" s="163"/>
      <c r="C2" s="163"/>
      <c r="D2" s="163"/>
      <c r="E2" s="163"/>
      <c r="F2" s="163"/>
      <c r="G2" s="163"/>
      <c r="H2" s="165" t="s">
        <v>440</v>
      </c>
    </row>
    <row r="3" spans="1:10" ht="15" x14ac:dyDescent="0.25">
      <c r="A3" s="163"/>
      <c r="B3" s="163"/>
      <c r="C3" s="163"/>
      <c r="D3" s="163"/>
      <c r="E3" s="163"/>
      <c r="F3" s="163"/>
      <c r="G3" s="163"/>
      <c r="H3" s="27" t="s">
        <v>463</v>
      </c>
    </row>
    <row r="4" spans="1:10" ht="20.25" x14ac:dyDescent="0.3">
      <c r="A4" s="527" t="s">
        <v>466</v>
      </c>
      <c r="B4" s="527"/>
      <c r="C4" s="527"/>
      <c r="D4" s="527"/>
      <c r="E4" s="527"/>
      <c r="F4" s="527"/>
      <c r="G4" s="527"/>
      <c r="H4" s="527"/>
    </row>
    <row r="5" spans="1:10" ht="20.25" x14ac:dyDescent="0.3">
      <c r="A5" s="530" t="s">
        <v>330</v>
      </c>
      <c r="B5" s="530"/>
      <c r="C5" s="530"/>
      <c r="D5" s="530"/>
      <c r="E5" s="530"/>
      <c r="F5" s="530"/>
      <c r="G5" s="530"/>
      <c r="H5" s="530"/>
    </row>
    <row r="6" spans="1:10" ht="20.25" x14ac:dyDescent="0.3">
      <c r="A6" s="166"/>
      <c r="B6" s="166"/>
      <c r="C6" s="166"/>
      <c r="D6" s="166"/>
      <c r="E6" s="166"/>
      <c r="F6" s="166"/>
      <c r="G6" s="166"/>
      <c r="H6" s="167" t="s">
        <v>328</v>
      </c>
    </row>
    <row r="7" spans="1:10" s="12" customFormat="1" ht="14.25" x14ac:dyDescent="0.2">
      <c r="A7" s="529" t="s">
        <v>225</v>
      </c>
      <c r="B7" s="529" t="s">
        <v>30</v>
      </c>
      <c r="C7" s="529" t="s">
        <v>467</v>
      </c>
      <c r="D7" s="528" t="s">
        <v>54</v>
      </c>
      <c r="E7" s="528"/>
      <c r="F7" s="528"/>
      <c r="G7" s="528"/>
      <c r="H7" s="528"/>
    </row>
    <row r="8" spans="1:10" s="12" customFormat="1" ht="71.25" x14ac:dyDescent="0.2">
      <c r="A8" s="529"/>
      <c r="B8" s="529"/>
      <c r="C8" s="529"/>
      <c r="D8" s="219" t="s">
        <v>266</v>
      </c>
      <c r="E8" s="219" t="s">
        <v>267</v>
      </c>
      <c r="F8" s="219" t="s">
        <v>26</v>
      </c>
      <c r="G8" s="219" t="s">
        <v>269</v>
      </c>
      <c r="H8" s="219" t="s">
        <v>468</v>
      </c>
    </row>
    <row r="9" spans="1:10" s="13" customFormat="1" ht="16.5" x14ac:dyDescent="0.25">
      <c r="A9" s="168"/>
      <c r="B9" s="169" t="s">
        <v>29</v>
      </c>
      <c r="C9" s="170">
        <f t="shared" ref="C9:H9" si="0">C10+C11+C12+C13+C14+C16+C17+C18+C15</f>
        <v>65328187</v>
      </c>
      <c r="D9" s="170">
        <f t="shared" si="0"/>
        <v>51840480</v>
      </c>
      <c r="E9" s="171">
        <f t="shared" si="0"/>
        <v>1605978</v>
      </c>
      <c r="F9" s="171">
        <f t="shared" si="0"/>
        <v>9086423</v>
      </c>
      <c r="G9" s="171">
        <f t="shared" si="0"/>
        <v>691276</v>
      </c>
      <c r="H9" s="171">
        <f t="shared" si="0"/>
        <v>2104030</v>
      </c>
    </row>
    <row r="10" spans="1:10" ht="15" x14ac:dyDescent="0.25">
      <c r="A10" s="172" t="s">
        <v>31</v>
      </c>
      <c r="B10" s="160" t="s">
        <v>10</v>
      </c>
      <c r="C10" s="106">
        <f>D10+E10+F10+G10+H10</f>
        <v>6483501</v>
      </c>
      <c r="D10" s="123">
        <f>'3.pielikums'!D10</f>
        <v>5588148</v>
      </c>
      <c r="E10" s="123">
        <f>'3.pielikums'!E10</f>
        <v>99500</v>
      </c>
      <c r="F10" s="123">
        <f>'3.pielikums'!F10</f>
        <v>0</v>
      </c>
      <c r="G10" s="123">
        <f>'3.pielikums'!G10</f>
        <v>634044</v>
      </c>
      <c r="H10" s="123">
        <f>'3.pielikums'!H10</f>
        <v>161809</v>
      </c>
      <c r="J10" s="9"/>
    </row>
    <row r="11" spans="1:10" ht="15" x14ac:dyDescent="0.25">
      <c r="A11" s="172" t="s">
        <v>32</v>
      </c>
      <c r="B11" s="160" t="s">
        <v>12</v>
      </c>
      <c r="C11" s="106">
        <f t="shared" ref="C11:C24" si="1">D11+E11+F11+G11+H11</f>
        <v>3441609</v>
      </c>
      <c r="D11" s="123">
        <f>'3.pielikums'!D29</f>
        <v>3273820</v>
      </c>
      <c r="E11" s="123">
        <f>'3.pielikums'!E29</f>
        <v>130300</v>
      </c>
      <c r="F11" s="123">
        <f>'3.pielikums'!F29</f>
        <v>1571</v>
      </c>
      <c r="G11" s="122">
        <f>'3.pielikums'!G29</f>
        <v>0</v>
      </c>
      <c r="H11" s="123">
        <f>'3.pielikums'!H29</f>
        <v>35918</v>
      </c>
    </row>
    <row r="12" spans="1:10" ht="15" x14ac:dyDescent="0.25">
      <c r="A12" s="172" t="s">
        <v>33</v>
      </c>
      <c r="B12" s="160" t="s">
        <v>13</v>
      </c>
      <c r="C12" s="106">
        <f t="shared" si="1"/>
        <v>2654651</v>
      </c>
      <c r="D12" s="123">
        <f>'3.pielikums'!D34</f>
        <v>1845483</v>
      </c>
      <c r="E12" s="123">
        <f>'3.pielikums'!E34</f>
        <v>74950</v>
      </c>
      <c r="F12" s="123">
        <f>'3.pielikums'!F34</f>
        <v>0</v>
      </c>
      <c r="G12" s="122">
        <f>'3.pielikums'!G34</f>
        <v>31255</v>
      </c>
      <c r="H12" s="123">
        <f>'3.pielikums'!H34</f>
        <v>702963</v>
      </c>
    </row>
    <row r="13" spans="1:10" ht="15" x14ac:dyDescent="0.25">
      <c r="A13" s="172" t="s">
        <v>34</v>
      </c>
      <c r="B13" s="160" t="s">
        <v>14</v>
      </c>
      <c r="C13" s="106">
        <f t="shared" si="1"/>
        <v>2128936</v>
      </c>
      <c r="D13" s="123">
        <f>'3.pielikums'!D56</f>
        <v>2108847</v>
      </c>
      <c r="E13" s="123">
        <f>'3.pielikums'!E56</f>
        <v>0</v>
      </c>
      <c r="F13" s="123">
        <f>'3.pielikums'!F56</f>
        <v>0</v>
      </c>
      <c r="G13" s="122">
        <f>'3.pielikums'!G56</f>
        <v>0</v>
      </c>
      <c r="H13" s="123">
        <f>'3.pielikums'!H56</f>
        <v>20089</v>
      </c>
    </row>
    <row r="14" spans="1:10" ht="15" x14ac:dyDescent="0.25">
      <c r="A14" s="172" t="s">
        <v>35</v>
      </c>
      <c r="B14" s="160" t="s">
        <v>179</v>
      </c>
      <c r="C14" s="106">
        <f t="shared" si="1"/>
        <v>4600622</v>
      </c>
      <c r="D14" s="123">
        <f>'3.pielikums'!D65</f>
        <v>4453709</v>
      </c>
      <c r="E14" s="123">
        <f>'3.pielikums'!E65</f>
        <v>134700</v>
      </c>
      <c r="F14" s="123">
        <f>'3.pielikums'!F65</f>
        <v>0</v>
      </c>
      <c r="G14" s="122">
        <f>'3.pielikums'!G65</f>
        <v>0</v>
      </c>
      <c r="H14" s="123">
        <f>'3.pielikums'!H65</f>
        <v>12213</v>
      </c>
    </row>
    <row r="15" spans="1:10" ht="15" x14ac:dyDescent="0.25">
      <c r="A15" s="172" t="s">
        <v>162</v>
      </c>
      <c r="B15" s="160" t="s">
        <v>163</v>
      </c>
      <c r="C15" s="106">
        <f t="shared" si="1"/>
        <v>180431</v>
      </c>
      <c r="D15" s="123">
        <f>'3.pielikums'!D76</f>
        <v>134400</v>
      </c>
      <c r="E15" s="123">
        <f>'3.pielikums'!E76</f>
        <v>0</v>
      </c>
      <c r="F15" s="123">
        <f>'3.pielikums'!F76</f>
        <v>0</v>
      </c>
      <c r="G15" s="122">
        <f>'3.pielikums'!G76</f>
        <v>0</v>
      </c>
      <c r="H15" s="123">
        <f>'3.pielikums'!H76</f>
        <v>46031</v>
      </c>
    </row>
    <row r="16" spans="1:10" ht="15" x14ac:dyDescent="0.25">
      <c r="A16" s="172" t="s">
        <v>36</v>
      </c>
      <c r="B16" s="160" t="s">
        <v>15</v>
      </c>
      <c r="C16" s="106">
        <f t="shared" si="1"/>
        <v>7468042</v>
      </c>
      <c r="D16" s="123">
        <f>'3.pielikums'!D82</f>
        <v>6798928</v>
      </c>
      <c r="E16" s="123">
        <f>'3.pielikums'!E82</f>
        <v>510966</v>
      </c>
      <c r="F16" s="123">
        <f>'3.pielikums'!F82</f>
        <v>22356</v>
      </c>
      <c r="G16" s="122">
        <f>'3.pielikums'!G82</f>
        <v>19020</v>
      </c>
      <c r="H16" s="123">
        <f>'3.pielikums'!H82</f>
        <v>116772</v>
      </c>
    </row>
    <row r="17" spans="1:9" ht="15" x14ac:dyDescent="0.25">
      <c r="A17" s="172" t="s">
        <v>37</v>
      </c>
      <c r="B17" s="160" t="s">
        <v>16</v>
      </c>
      <c r="C17" s="106">
        <f t="shared" si="1"/>
        <v>33560161</v>
      </c>
      <c r="D17" s="123">
        <f>'3.pielikums'!D112</f>
        <v>23301383</v>
      </c>
      <c r="E17" s="123">
        <f>'3.pielikums'!E112</f>
        <v>616154</v>
      </c>
      <c r="F17" s="123">
        <f>'3.pielikums'!F112</f>
        <v>8713004</v>
      </c>
      <c r="G17" s="123">
        <f>'3.pielikums'!G112</f>
        <v>0</v>
      </c>
      <c r="H17" s="123">
        <f>'3.pielikums'!H112</f>
        <v>929620</v>
      </c>
    </row>
    <row r="18" spans="1:9" ht="15" x14ac:dyDescent="0.25">
      <c r="A18" s="173" t="s">
        <v>38</v>
      </c>
      <c r="B18" s="162" t="s">
        <v>17</v>
      </c>
      <c r="C18" s="106">
        <f t="shared" si="1"/>
        <v>4810234</v>
      </c>
      <c r="D18" s="122">
        <f>'3.pielikums'!D145</f>
        <v>4335762</v>
      </c>
      <c r="E18" s="122">
        <f>'3.pielikums'!E145</f>
        <v>39408</v>
      </c>
      <c r="F18" s="122">
        <f>'3.pielikums'!F145</f>
        <v>349492</v>
      </c>
      <c r="G18" s="122">
        <f>'3.pielikums'!G145</f>
        <v>6957</v>
      </c>
      <c r="H18" s="122">
        <f>'3.pielikums'!H145</f>
        <v>78615</v>
      </c>
    </row>
    <row r="19" spans="1:9" s="13" customFormat="1" ht="16.5" x14ac:dyDescent="0.25">
      <c r="A19" s="168"/>
      <c r="B19" s="168" t="s">
        <v>53</v>
      </c>
      <c r="C19" s="170">
        <f>C20+C21+C27</f>
        <v>6151062</v>
      </c>
      <c r="D19" s="170">
        <f>D20+D21</f>
        <v>467128</v>
      </c>
      <c r="E19" s="170">
        <f>E20+E21</f>
        <v>0</v>
      </c>
      <c r="F19" s="170">
        <f>F20+F21</f>
        <v>2761444</v>
      </c>
      <c r="G19" s="170">
        <f>G20+G21</f>
        <v>0</v>
      </c>
      <c r="H19" s="170">
        <f>H20+H21</f>
        <v>2093517</v>
      </c>
    </row>
    <row r="20" spans="1:9" ht="16.5" customHeight="1" x14ac:dyDescent="0.25">
      <c r="A20" s="174" t="s">
        <v>180</v>
      </c>
      <c r="B20" s="159" t="s">
        <v>181</v>
      </c>
      <c r="C20" s="106">
        <f t="shared" si="1"/>
        <v>4854961</v>
      </c>
      <c r="D20" s="123">
        <f>'3.pielikums'!D178</f>
        <v>0</v>
      </c>
      <c r="E20" s="123">
        <f>'3.pielikums'!E178</f>
        <v>0</v>
      </c>
      <c r="F20" s="123">
        <f>'3.pielikums'!F178</f>
        <v>2761444</v>
      </c>
      <c r="G20" s="123">
        <f>'3.pielikums'!G178</f>
        <v>0</v>
      </c>
      <c r="H20" s="123">
        <f>'3.pielikums'!H178</f>
        <v>2093517</v>
      </c>
    </row>
    <row r="21" spans="1:9" ht="17.25" customHeight="1" x14ac:dyDescent="0.25">
      <c r="A21" s="174" t="s">
        <v>98</v>
      </c>
      <c r="B21" s="160" t="s">
        <v>165</v>
      </c>
      <c r="C21" s="106">
        <f>D21+E21+F21+G21+H21</f>
        <v>467128</v>
      </c>
      <c r="D21" s="123">
        <f>'3.pielikums'!D179</f>
        <v>467128</v>
      </c>
      <c r="E21" s="123">
        <f>'3.pielikums'!E179</f>
        <v>0</v>
      </c>
      <c r="F21" s="123">
        <f>'3.pielikums'!F179</f>
        <v>0</v>
      </c>
      <c r="G21" s="123">
        <f>'3.pielikums'!G179</f>
        <v>0</v>
      </c>
      <c r="H21" s="123">
        <f>'3.pielikums'!H179</f>
        <v>0</v>
      </c>
    </row>
    <row r="22" spans="1:9" ht="15.75" hidden="1" customHeight="1" x14ac:dyDescent="0.2">
      <c r="A22" s="174"/>
      <c r="B22" s="175" t="s">
        <v>318</v>
      </c>
      <c r="C22" s="176">
        <f t="shared" si="1"/>
        <v>0</v>
      </c>
      <c r="D22" s="176">
        <f>'3.pielikums'!D180</f>
        <v>0</v>
      </c>
      <c r="E22" s="176">
        <f>'3.pielikums'!E180</f>
        <v>0</v>
      </c>
      <c r="F22" s="176">
        <f>'3.pielikums'!F180</f>
        <v>0</v>
      </c>
      <c r="G22" s="176">
        <f>'3.pielikums'!G180</f>
        <v>0</v>
      </c>
      <c r="H22" s="176">
        <f>'3.pielikums'!H180</f>
        <v>0</v>
      </c>
    </row>
    <row r="23" spans="1:9" hidden="1" x14ac:dyDescent="0.2">
      <c r="A23" s="174"/>
      <c r="B23" s="175" t="s">
        <v>431</v>
      </c>
      <c r="C23" s="176">
        <f t="shared" si="1"/>
        <v>0</v>
      </c>
      <c r="D23" s="176">
        <f>'3.pielikums'!D181</f>
        <v>0</v>
      </c>
      <c r="E23" s="176">
        <f>'3.pielikums'!E181</f>
        <v>0</v>
      </c>
      <c r="F23" s="176">
        <f>'3.pielikums'!F181</f>
        <v>0</v>
      </c>
      <c r="G23" s="176">
        <f>'3.pielikums'!G181</f>
        <v>0</v>
      </c>
      <c r="H23" s="176">
        <f>'3.pielikums'!H181</f>
        <v>0</v>
      </c>
    </row>
    <row r="24" spans="1:9" ht="15.75" x14ac:dyDescent="0.25">
      <c r="A24" s="177"/>
      <c r="B24" s="209" t="s">
        <v>148</v>
      </c>
      <c r="C24" s="210">
        <f t="shared" si="1"/>
        <v>467128</v>
      </c>
      <c r="D24" s="210">
        <f>'3.pielikums'!D182</f>
        <v>467128</v>
      </c>
      <c r="E24" s="210">
        <f>'3.pielikums'!E182</f>
        <v>0</v>
      </c>
      <c r="F24" s="210">
        <f>'3.pielikums'!F182</f>
        <v>0</v>
      </c>
      <c r="G24" s="210">
        <f>'3.pielikums'!G182</f>
        <v>0</v>
      </c>
      <c r="H24" s="210">
        <f>'3.pielikums'!H182</f>
        <v>0</v>
      </c>
      <c r="I24" s="6"/>
    </row>
    <row r="25" spans="1:9" ht="15.75" hidden="1" x14ac:dyDescent="0.25">
      <c r="A25" s="177"/>
      <c r="B25" s="175" t="s">
        <v>435</v>
      </c>
      <c r="C25" s="176">
        <f t="shared" ref="C25:C26" si="2">D25+E25+F25+G25+H25</f>
        <v>0</v>
      </c>
      <c r="D25" s="176">
        <f>'3.pielikums'!D183</f>
        <v>0</v>
      </c>
      <c r="E25" s="176">
        <f>'3.pielikums'!E183</f>
        <v>0</v>
      </c>
      <c r="F25" s="176">
        <f>'3.pielikums'!F183</f>
        <v>0</v>
      </c>
      <c r="G25" s="176">
        <f>'3.pielikums'!G183</f>
        <v>0</v>
      </c>
      <c r="H25" s="176">
        <f>'3.pielikums'!H183</f>
        <v>0</v>
      </c>
      <c r="I25" s="6"/>
    </row>
    <row r="26" spans="1:9" ht="15.75" hidden="1" x14ac:dyDescent="0.25">
      <c r="A26" s="177"/>
      <c r="B26" s="175" t="s">
        <v>319</v>
      </c>
      <c r="C26" s="176">
        <f t="shared" si="2"/>
        <v>0</v>
      </c>
      <c r="D26" s="176">
        <f>'3.pielikums'!D184</f>
        <v>0</v>
      </c>
      <c r="E26" s="176">
        <f>'3.pielikums'!E184</f>
        <v>0</v>
      </c>
      <c r="F26" s="176">
        <f>'3.pielikums'!F184</f>
        <v>0</v>
      </c>
      <c r="G26" s="176">
        <f>'3.pielikums'!G184</f>
        <v>0</v>
      </c>
      <c r="H26" s="176">
        <f>'3.pielikums'!H184</f>
        <v>0</v>
      </c>
      <c r="I26" s="6"/>
    </row>
    <row r="27" spans="1:9" ht="15.75" x14ac:dyDescent="0.25">
      <c r="A27" s="161" t="s">
        <v>178</v>
      </c>
      <c r="B27" s="178" t="s">
        <v>356</v>
      </c>
      <c r="C27" s="106">
        <f>'3.pielikums'!C185</f>
        <v>828973</v>
      </c>
      <c r="D27" s="123">
        <v>0</v>
      </c>
      <c r="E27" s="123">
        <v>0</v>
      </c>
      <c r="F27" s="123">
        <v>0</v>
      </c>
      <c r="G27" s="123">
        <v>0</v>
      </c>
      <c r="H27" s="123">
        <v>0</v>
      </c>
      <c r="I27" s="6"/>
    </row>
    <row r="28" spans="1:9" s="14" customFormat="1" ht="21.75" customHeight="1" x14ac:dyDescent="0.25">
      <c r="A28" s="179"/>
      <c r="B28" s="180" t="s">
        <v>82</v>
      </c>
      <c r="C28" s="181">
        <f>C9+C19</f>
        <v>71479249</v>
      </c>
      <c r="D28" s="181">
        <f t="shared" ref="D28:H28" si="3">D9+D19</f>
        <v>52307608</v>
      </c>
      <c r="E28" s="181">
        <f t="shared" si="3"/>
        <v>1605978</v>
      </c>
      <c r="F28" s="181">
        <f t="shared" si="3"/>
        <v>11847867</v>
      </c>
      <c r="G28" s="181">
        <f t="shared" si="3"/>
        <v>691276</v>
      </c>
      <c r="H28" s="181">
        <f t="shared" si="3"/>
        <v>4197547</v>
      </c>
    </row>
    <row r="29" spans="1:9" s="5" customFormat="1" ht="18.75" x14ac:dyDescent="0.3">
      <c r="A29" s="2"/>
      <c r="B29" s="182"/>
      <c r="C29" s="183"/>
      <c r="D29" s="184"/>
    </row>
    <row r="30" spans="1:9" ht="18.75" x14ac:dyDescent="0.3">
      <c r="A30" s="185" t="s">
        <v>27</v>
      </c>
      <c r="B30" s="185"/>
      <c r="C30" s="186"/>
      <c r="D30" s="187"/>
      <c r="E30" s="186"/>
      <c r="F30" s="5"/>
      <c r="G30" s="5"/>
      <c r="H30" s="188" t="s">
        <v>28</v>
      </c>
    </row>
    <row r="31" spans="1:9" x14ac:dyDescent="0.2">
      <c r="C31" s="9"/>
    </row>
    <row r="32" spans="1:9" s="4" customFormat="1" ht="20.25" x14ac:dyDescent="0.3">
      <c r="C32" s="22"/>
    </row>
  </sheetData>
  <mergeCells count="6">
    <mergeCell ref="A4:H4"/>
    <mergeCell ref="D7:H7"/>
    <mergeCell ref="C7:C8"/>
    <mergeCell ref="A7:A8"/>
    <mergeCell ref="B7:B8"/>
    <mergeCell ref="A5:H5"/>
  </mergeCells>
  <phoneticPr fontId="0" type="noConversion"/>
  <printOptions horizontalCentered="1"/>
  <pageMargins left="0.78740157480314965" right="0.78740157480314965" top="0.78740157480314965" bottom="0.78740157480314965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93"/>
  <sheetViews>
    <sheetView tabSelected="1" zoomScale="90" zoomScaleNormal="90" workbookViewId="0">
      <pane ySplit="8" topLeftCell="A99" activePane="bottomLeft" state="frozen"/>
      <selection pane="bottomLeft" activeCell="M110" sqref="M110"/>
    </sheetView>
  </sheetViews>
  <sheetFormatPr defaultRowHeight="15.75" x14ac:dyDescent="0.25"/>
  <cols>
    <col min="1" max="1" width="11.5703125" style="11" customWidth="1"/>
    <col min="2" max="2" width="48.42578125" style="19" customWidth="1"/>
    <col min="3" max="3" width="14.5703125" style="1" customWidth="1"/>
    <col min="4" max="4" width="13.7109375" style="15" customWidth="1"/>
    <col min="5" max="5" width="12.140625" style="1" customWidth="1"/>
    <col min="6" max="6" width="13.28515625" style="1" customWidth="1"/>
    <col min="7" max="7" width="11.7109375" style="1" customWidth="1"/>
    <col min="8" max="8" width="13.5703125" style="1" customWidth="1"/>
    <col min="9" max="16384" width="9.140625" style="1"/>
  </cols>
  <sheetData>
    <row r="1" spans="1:8" x14ac:dyDescent="0.25">
      <c r="A1" s="11" t="s">
        <v>164</v>
      </c>
      <c r="B1" s="45"/>
      <c r="C1" s="46"/>
      <c r="D1" s="47"/>
      <c r="E1" s="46"/>
      <c r="H1" s="520" t="s">
        <v>80</v>
      </c>
    </row>
    <row r="2" spans="1:8" x14ac:dyDescent="0.25">
      <c r="A2" s="44"/>
      <c r="B2" s="45"/>
      <c r="C2" s="46"/>
      <c r="D2" s="47"/>
      <c r="E2" s="46"/>
      <c r="H2" s="27" t="s">
        <v>440</v>
      </c>
    </row>
    <row r="3" spans="1:8" x14ac:dyDescent="0.25">
      <c r="A3" s="44"/>
      <c r="B3" s="45"/>
      <c r="C3" s="46"/>
      <c r="D3" s="47"/>
      <c r="E3" s="46"/>
      <c r="H3" s="27" t="s">
        <v>463</v>
      </c>
    </row>
    <row r="4" spans="1:8" x14ac:dyDescent="0.25">
      <c r="A4" s="531" t="s">
        <v>466</v>
      </c>
      <c r="B4" s="532"/>
      <c r="C4" s="532"/>
      <c r="D4" s="532"/>
      <c r="E4" s="532"/>
      <c r="F4" s="532"/>
      <c r="G4" s="532"/>
      <c r="H4" s="532"/>
    </row>
    <row r="5" spans="1:8" x14ac:dyDescent="0.25">
      <c r="A5" s="531" t="s">
        <v>81</v>
      </c>
      <c r="B5" s="532"/>
      <c r="C5" s="532"/>
      <c r="D5" s="532"/>
      <c r="E5" s="532"/>
      <c r="F5" s="532"/>
      <c r="G5" s="532"/>
      <c r="H5" s="532"/>
    </row>
    <row r="6" spans="1:8" x14ac:dyDescent="0.25">
      <c r="A6" s="94"/>
      <c r="C6" s="95"/>
      <c r="D6" s="96"/>
      <c r="E6" s="95"/>
      <c r="F6" s="95"/>
      <c r="G6" s="95"/>
      <c r="H6" s="97" t="s">
        <v>328</v>
      </c>
    </row>
    <row r="7" spans="1:8" x14ac:dyDescent="0.25">
      <c r="A7" s="535" t="s">
        <v>204</v>
      </c>
      <c r="B7" s="535" t="s">
        <v>30</v>
      </c>
      <c r="C7" s="535" t="s">
        <v>469</v>
      </c>
      <c r="D7" s="533" t="s">
        <v>54</v>
      </c>
      <c r="E7" s="534"/>
      <c r="F7" s="534"/>
      <c r="G7" s="534"/>
      <c r="H7" s="534"/>
    </row>
    <row r="8" spans="1:8" s="16" customFormat="1" ht="71.25" x14ac:dyDescent="0.25">
      <c r="A8" s="536"/>
      <c r="B8" s="537"/>
      <c r="C8" s="536"/>
      <c r="D8" s="80" t="s">
        <v>266</v>
      </c>
      <c r="E8" s="80" t="s">
        <v>267</v>
      </c>
      <c r="F8" s="80" t="s">
        <v>268</v>
      </c>
      <c r="G8" s="80" t="s">
        <v>269</v>
      </c>
      <c r="H8" s="80" t="s">
        <v>468</v>
      </c>
    </row>
    <row r="9" spans="1:8" s="17" customFormat="1" ht="36" customHeight="1" x14ac:dyDescent="0.25">
      <c r="A9" s="98"/>
      <c r="B9" s="99" t="s">
        <v>29</v>
      </c>
      <c r="C9" s="100">
        <f>SUM(D9+E9+F9+G9+H9)</f>
        <v>65328187</v>
      </c>
      <c r="D9" s="100">
        <f>SUM(D10+D29+D34+D56+D65+D82+D112+D145+D76)</f>
        <v>51840480</v>
      </c>
      <c r="E9" s="100">
        <f>SUM(E10+E29+E34+E56+E65+E82+E112+E145+E76)</f>
        <v>1605978</v>
      </c>
      <c r="F9" s="100">
        <f>SUM(F10+F29+F34+F56+F65+F82+F112+F145+F76)</f>
        <v>9086423</v>
      </c>
      <c r="G9" s="100">
        <f>SUM(G10+G29+G34+G56+G65+G82+G112+G145+G76)</f>
        <v>691276</v>
      </c>
      <c r="H9" s="100">
        <f>SUM(H10+H29+H34+H56+H65+H82+H112+H145+H76)</f>
        <v>2104030</v>
      </c>
    </row>
    <row r="10" spans="1:8" s="17" customFormat="1" x14ac:dyDescent="0.25">
      <c r="A10" s="101" t="s">
        <v>31</v>
      </c>
      <c r="B10" s="102" t="s">
        <v>10</v>
      </c>
      <c r="C10" s="103">
        <f>SUM(D10+E10+F10+G10+H10)</f>
        <v>6483501</v>
      </c>
      <c r="D10" s="103">
        <f>SUM(D11+D15+D19+D22+D23+D24+D28)</f>
        <v>5588148</v>
      </c>
      <c r="E10" s="103">
        <f t="shared" ref="E10:H10" si="0">SUM(E11+E15+E19+E22+E23+E24+E28)</f>
        <v>99500</v>
      </c>
      <c r="F10" s="103">
        <f t="shared" si="0"/>
        <v>0</v>
      </c>
      <c r="G10" s="103">
        <f t="shared" si="0"/>
        <v>634044</v>
      </c>
      <c r="H10" s="103">
        <f t="shared" si="0"/>
        <v>161809</v>
      </c>
    </row>
    <row r="11" spans="1:8" x14ac:dyDescent="0.25">
      <c r="A11" s="104" t="s">
        <v>41</v>
      </c>
      <c r="B11" s="105" t="s">
        <v>270</v>
      </c>
      <c r="C11" s="106">
        <f>SUM(D11+E11+F11+G11+H11)</f>
        <v>3852445</v>
      </c>
      <c r="D11" s="107">
        <f>D12+D13+D14</f>
        <v>3649946</v>
      </c>
      <c r="E11" s="107">
        <f>E12+E13+E14</f>
        <v>99500</v>
      </c>
      <c r="F11" s="107">
        <f>F12+F13+F14</f>
        <v>0</v>
      </c>
      <c r="G11" s="107">
        <f>G12+G13+G14</f>
        <v>0</v>
      </c>
      <c r="H11" s="107">
        <f>H12+H13+H14</f>
        <v>102999</v>
      </c>
    </row>
    <row r="12" spans="1:8" s="3" customFormat="1" x14ac:dyDescent="0.25">
      <c r="A12" s="108" t="s">
        <v>203</v>
      </c>
      <c r="B12" s="109" t="s">
        <v>205</v>
      </c>
      <c r="C12" s="110">
        <f>SUM(D12:H12)</f>
        <v>3724965</v>
      </c>
      <c r="D12" s="111">
        <v>3625357</v>
      </c>
      <c r="E12" s="112">
        <v>99500</v>
      </c>
      <c r="F12" s="113">
        <v>0</v>
      </c>
      <c r="G12" s="113">
        <v>0</v>
      </c>
      <c r="H12" s="113">
        <v>108</v>
      </c>
    </row>
    <row r="13" spans="1:8" s="3" customFormat="1" ht="30" x14ac:dyDescent="0.25">
      <c r="A13" s="117" t="s">
        <v>344</v>
      </c>
      <c r="B13" s="114" t="s">
        <v>345</v>
      </c>
      <c r="C13" s="110">
        <f>SUM(D13:H13)</f>
        <v>118406</v>
      </c>
      <c r="D13" s="111">
        <v>19589</v>
      </c>
      <c r="E13" s="112">
        <v>0</v>
      </c>
      <c r="F13" s="113">
        <v>0</v>
      </c>
      <c r="G13" s="113">
        <v>0</v>
      </c>
      <c r="H13" s="113">
        <v>98817</v>
      </c>
    </row>
    <row r="14" spans="1:8" s="3" customFormat="1" ht="45" x14ac:dyDescent="0.25">
      <c r="A14" s="117" t="s">
        <v>346</v>
      </c>
      <c r="B14" s="114" t="s">
        <v>360</v>
      </c>
      <c r="C14" s="110">
        <f>SUM(D14:H14)</f>
        <v>9074</v>
      </c>
      <c r="D14" s="111">
        <v>5000</v>
      </c>
      <c r="E14" s="112">
        <v>0</v>
      </c>
      <c r="F14" s="113">
        <v>0</v>
      </c>
      <c r="G14" s="113">
        <v>0</v>
      </c>
      <c r="H14" s="113">
        <v>4074</v>
      </c>
    </row>
    <row r="15" spans="1:8" x14ac:dyDescent="0.25">
      <c r="A15" s="104" t="s">
        <v>39</v>
      </c>
      <c r="B15" s="105" t="s">
        <v>65</v>
      </c>
      <c r="C15" s="120">
        <f>SUM(C16:C18)</f>
        <v>339324</v>
      </c>
      <c r="D15" s="106">
        <f>D16+D18+D17</f>
        <v>339324</v>
      </c>
      <c r="E15" s="106">
        <f>E16+E18+E17</f>
        <v>0</v>
      </c>
      <c r="F15" s="106">
        <f>F16+F18+F17</f>
        <v>0</v>
      </c>
      <c r="G15" s="106">
        <f>G16+G18+G17</f>
        <v>0</v>
      </c>
      <c r="H15" s="106">
        <f>H16+H18+H17</f>
        <v>0</v>
      </c>
    </row>
    <row r="16" spans="1:8" s="3" customFormat="1" ht="30" x14ac:dyDescent="0.25">
      <c r="A16" s="117" t="s">
        <v>150</v>
      </c>
      <c r="B16" s="114" t="s">
        <v>427</v>
      </c>
      <c r="C16" s="110">
        <f t="shared" ref="C16:C100" si="1">SUM(D16+E16+F16+G16+H16)</f>
        <v>44237</v>
      </c>
      <c r="D16" s="113">
        <v>44237</v>
      </c>
      <c r="E16" s="113">
        <v>0</v>
      </c>
      <c r="F16" s="113">
        <v>0</v>
      </c>
      <c r="G16" s="113">
        <v>0</v>
      </c>
      <c r="H16" s="112">
        <v>0</v>
      </c>
    </row>
    <row r="17" spans="1:8" s="3" customFormat="1" ht="30" x14ac:dyDescent="0.25">
      <c r="A17" s="108" t="s">
        <v>151</v>
      </c>
      <c r="B17" s="109" t="s">
        <v>508</v>
      </c>
      <c r="C17" s="110">
        <f t="shared" si="1"/>
        <v>213387</v>
      </c>
      <c r="D17" s="112">
        <v>213387</v>
      </c>
      <c r="E17" s="113">
        <v>0</v>
      </c>
      <c r="F17" s="113">
        <v>0</v>
      </c>
      <c r="G17" s="113">
        <v>0</v>
      </c>
      <c r="H17" s="113">
        <v>0</v>
      </c>
    </row>
    <row r="18" spans="1:8" s="3" customFormat="1" ht="31.5" customHeight="1" x14ac:dyDescent="0.25">
      <c r="A18" s="108" t="s">
        <v>265</v>
      </c>
      <c r="B18" s="114" t="s">
        <v>224</v>
      </c>
      <c r="C18" s="110">
        <f>SUM(D18+E18+F18+G18+H18)</f>
        <v>81700</v>
      </c>
      <c r="D18" s="112">
        <v>81700</v>
      </c>
      <c r="E18" s="113">
        <v>0</v>
      </c>
      <c r="F18" s="113">
        <v>0</v>
      </c>
      <c r="G18" s="113">
        <v>0</v>
      </c>
      <c r="H18" s="113">
        <v>0</v>
      </c>
    </row>
    <row r="19" spans="1:8" s="3" customFormat="1" ht="31.5" customHeight="1" x14ac:dyDescent="0.25">
      <c r="A19" s="125" t="s">
        <v>48</v>
      </c>
      <c r="B19" s="126" t="s">
        <v>487</v>
      </c>
      <c r="C19" s="120">
        <f>SUM(D19:H19)</f>
        <v>649282</v>
      </c>
      <c r="D19" s="120">
        <f t="shared" ref="D19" si="2">D20+D21</f>
        <v>638381</v>
      </c>
      <c r="E19" s="120">
        <f t="shared" ref="E19" si="3">E20+E21</f>
        <v>0</v>
      </c>
      <c r="F19" s="120">
        <f t="shared" ref="F19" si="4">F20+F21</f>
        <v>0</v>
      </c>
      <c r="G19" s="120">
        <f t="shared" ref="G19" si="5">G20+G21</f>
        <v>0</v>
      </c>
      <c r="H19" s="120">
        <f t="shared" ref="H19" si="6">H20+H21</f>
        <v>10901</v>
      </c>
    </row>
    <row r="20" spans="1:8" x14ac:dyDescent="0.25">
      <c r="A20" s="117" t="s">
        <v>488</v>
      </c>
      <c r="B20" s="114" t="s">
        <v>364</v>
      </c>
      <c r="C20" s="112">
        <f t="shared" si="1"/>
        <v>493273</v>
      </c>
      <c r="D20" s="112">
        <v>493273</v>
      </c>
      <c r="E20" s="113">
        <v>0</v>
      </c>
      <c r="F20" s="113">
        <v>0</v>
      </c>
      <c r="G20" s="113">
        <v>0</v>
      </c>
      <c r="H20" s="113">
        <v>0</v>
      </c>
    </row>
    <row r="21" spans="1:8" ht="30" x14ac:dyDescent="0.25">
      <c r="A21" s="117" t="s">
        <v>480</v>
      </c>
      <c r="B21" s="114" t="s">
        <v>489</v>
      </c>
      <c r="C21" s="112">
        <f t="shared" si="1"/>
        <v>156009</v>
      </c>
      <c r="D21" s="112">
        <f>78901+70707-4500</f>
        <v>145108</v>
      </c>
      <c r="E21" s="113">
        <v>0</v>
      </c>
      <c r="F21" s="113">
        <v>0</v>
      </c>
      <c r="G21" s="113">
        <v>0</v>
      </c>
      <c r="H21" s="112">
        <v>10901</v>
      </c>
    </row>
    <row r="22" spans="1:8" hidden="1" x14ac:dyDescent="0.25">
      <c r="A22" s="91" t="s">
        <v>292</v>
      </c>
      <c r="B22" s="189" t="s">
        <v>439</v>
      </c>
      <c r="C22" s="190">
        <f t="shared" si="1"/>
        <v>0</v>
      </c>
      <c r="D22" s="190"/>
      <c r="E22" s="190"/>
      <c r="F22" s="190"/>
      <c r="G22" s="190"/>
      <c r="H22" s="190"/>
    </row>
    <row r="23" spans="1:8" x14ac:dyDescent="0.25">
      <c r="A23" s="211" t="s">
        <v>40</v>
      </c>
      <c r="B23" s="115" t="s">
        <v>365</v>
      </c>
      <c r="C23" s="110">
        <f t="shared" si="1"/>
        <v>300000</v>
      </c>
      <c r="D23" s="110">
        <v>300000</v>
      </c>
      <c r="E23" s="116">
        <v>0</v>
      </c>
      <c r="F23" s="116">
        <v>0</v>
      </c>
      <c r="G23" s="110">
        <v>0</v>
      </c>
      <c r="H23" s="110">
        <v>0</v>
      </c>
    </row>
    <row r="24" spans="1:8" ht="28.5" x14ac:dyDescent="0.25">
      <c r="A24" s="118" t="s">
        <v>42</v>
      </c>
      <c r="B24" s="131" t="s">
        <v>11</v>
      </c>
      <c r="C24" s="120">
        <f t="shared" si="1"/>
        <v>1133103</v>
      </c>
      <c r="D24" s="120">
        <f>D25+D26+D27</f>
        <v>451150</v>
      </c>
      <c r="E24" s="120">
        <f>E25+E26+E27</f>
        <v>0</v>
      </c>
      <c r="F24" s="120">
        <f>F25+F26+F27</f>
        <v>0</v>
      </c>
      <c r="G24" s="120">
        <f>G25+G26+G27</f>
        <v>634044</v>
      </c>
      <c r="H24" s="120">
        <f>H25+H26+H27</f>
        <v>47909</v>
      </c>
    </row>
    <row r="25" spans="1:8" s="8" customFormat="1" ht="30" x14ac:dyDescent="0.25">
      <c r="A25" s="117" t="s">
        <v>66</v>
      </c>
      <c r="B25" s="114" t="s">
        <v>69</v>
      </c>
      <c r="C25" s="110">
        <f>SUM(D25+E25+F25+G25+H25)</f>
        <v>641318</v>
      </c>
      <c r="D25" s="112">
        <v>-40635</v>
      </c>
      <c r="E25" s="112">
        <v>0</v>
      </c>
      <c r="F25" s="112">
        <v>0</v>
      </c>
      <c r="G25" s="112">
        <v>634044</v>
      </c>
      <c r="H25" s="112">
        <v>47909</v>
      </c>
    </row>
    <row r="26" spans="1:8" s="3" customFormat="1" ht="30" x14ac:dyDescent="0.25">
      <c r="A26" s="117" t="s">
        <v>67</v>
      </c>
      <c r="B26" s="114" t="s">
        <v>70</v>
      </c>
      <c r="C26" s="110">
        <f>SUM(D26+E26+F26+G26+H26)</f>
        <v>491785</v>
      </c>
      <c r="D26" s="112">
        <v>491785</v>
      </c>
      <c r="E26" s="112">
        <v>0</v>
      </c>
      <c r="F26" s="112">
        <v>0</v>
      </c>
      <c r="G26" s="112">
        <v>0</v>
      </c>
      <c r="H26" s="112">
        <v>0</v>
      </c>
    </row>
    <row r="27" spans="1:8" s="3" customFormat="1" ht="16.5" hidden="1" customHeight="1" x14ac:dyDescent="0.25">
      <c r="A27" s="191" t="s">
        <v>68</v>
      </c>
      <c r="B27" s="192" t="s">
        <v>142</v>
      </c>
      <c r="C27" s="190">
        <f t="shared" si="1"/>
        <v>0</v>
      </c>
      <c r="D27" s="193"/>
      <c r="E27" s="193"/>
      <c r="F27" s="193"/>
      <c r="G27" s="193"/>
      <c r="H27" s="193"/>
    </row>
    <row r="28" spans="1:8" x14ac:dyDescent="0.25">
      <c r="A28" s="212" t="s">
        <v>43</v>
      </c>
      <c r="B28" s="119" t="s">
        <v>366</v>
      </c>
      <c r="C28" s="110">
        <f t="shared" si="1"/>
        <v>209347</v>
      </c>
      <c r="D28" s="110">
        <v>209347</v>
      </c>
      <c r="E28" s="110">
        <v>0</v>
      </c>
      <c r="F28" s="110">
        <v>0</v>
      </c>
      <c r="G28" s="110">
        <v>0</v>
      </c>
      <c r="H28" s="110">
        <v>0</v>
      </c>
    </row>
    <row r="29" spans="1:8" s="17" customFormat="1" x14ac:dyDescent="0.25">
      <c r="A29" s="101" t="s">
        <v>32</v>
      </c>
      <c r="B29" s="102" t="s">
        <v>12</v>
      </c>
      <c r="C29" s="103">
        <f t="shared" si="1"/>
        <v>3441609</v>
      </c>
      <c r="D29" s="103">
        <f>SUM(D30+D31)</f>
        <v>3273820</v>
      </c>
      <c r="E29" s="103">
        <f>SUM(E30+E31)</f>
        <v>130300</v>
      </c>
      <c r="F29" s="103">
        <f>SUM(F30+F31)</f>
        <v>1571</v>
      </c>
      <c r="G29" s="103">
        <f>SUM(G30+G31)</f>
        <v>0</v>
      </c>
      <c r="H29" s="103">
        <f>SUM(H30+H31)</f>
        <v>35918</v>
      </c>
    </row>
    <row r="30" spans="1:8" ht="30" x14ac:dyDescent="0.25">
      <c r="A30" s="118" t="s">
        <v>44</v>
      </c>
      <c r="B30" s="119" t="s">
        <v>509</v>
      </c>
      <c r="C30" s="110">
        <f t="shared" si="1"/>
        <v>2917771</v>
      </c>
      <c r="D30" s="110">
        <v>2764693</v>
      </c>
      <c r="E30" s="110">
        <v>130300</v>
      </c>
      <c r="F30" s="110">
        <v>0</v>
      </c>
      <c r="G30" s="110">
        <v>0</v>
      </c>
      <c r="H30" s="110">
        <v>22778</v>
      </c>
    </row>
    <row r="31" spans="1:8" ht="28.5" x14ac:dyDescent="0.25">
      <c r="A31" s="118" t="s">
        <v>45</v>
      </c>
      <c r="B31" s="131" t="s">
        <v>71</v>
      </c>
      <c r="C31" s="120">
        <f t="shared" si="1"/>
        <v>523838</v>
      </c>
      <c r="D31" s="120">
        <f>D32+D33</f>
        <v>509127</v>
      </c>
      <c r="E31" s="120">
        <f>E32+E33</f>
        <v>0</v>
      </c>
      <c r="F31" s="106">
        <f>F32+F33</f>
        <v>1571</v>
      </c>
      <c r="G31" s="106">
        <f>G32+G33</f>
        <v>0</v>
      </c>
      <c r="H31" s="106">
        <f>H32+H33</f>
        <v>13140</v>
      </c>
    </row>
    <row r="32" spans="1:8" s="3" customFormat="1" ht="30" x14ac:dyDescent="0.25">
      <c r="A32" s="117" t="s">
        <v>89</v>
      </c>
      <c r="B32" s="130" t="s">
        <v>510</v>
      </c>
      <c r="C32" s="112">
        <f t="shared" si="1"/>
        <v>479704</v>
      </c>
      <c r="D32" s="112">
        <v>479704</v>
      </c>
      <c r="E32" s="112">
        <v>0</v>
      </c>
      <c r="F32" s="112">
        <v>0</v>
      </c>
      <c r="G32" s="112">
        <v>0</v>
      </c>
      <c r="H32" s="112">
        <v>0</v>
      </c>
    </row>
    <row r="33" spans="1:8" s="3" customFormat="1" ht="30" x14ac:dyDescent="0.25">
      <c r="A33" s="117" t="s">
        <v>496</v>
      </c>
      <c r="B33" s="130" t="s">
        <v>497</v>
      </c>
      <c r="C33" s="112">
        <f t="shared" si="1"/>
        <v>44134</v>
      </c>
      <c r="D33" s="112">
        <v>29423</v>
      </c>
      <c r="E33" s="112">
        <v>0</v>
      </c>
      <c r="F33" s="112">
        <f>14711-13140</f>
        <v>1571</v>
      </c>
      <c r="G33" s="112">
        <v>0</v>
      </c>
      <c r="H33" s="112">
        <v>13140</v>
      </c>
    </row>
    <row r="34" spans="1:8" s="17" customFormat="1" x14ac:dyDescent="0.25">
      <c r="A34" s="101" t="s">
        <v>33</v>
      </c>
      <c r="B34" s="102" t="s">
        <v>13</v>
      </c>
      <c r="C34" s="103">
        <f t="shared" ref="C34:C41" si="7">SUM(D34:H34)</f>
        <v>2654651</v>
      </c>
      <c r="D34" s="103">
        <f>SUM(D35+D42+D46)</f>
        <v>1845483</v>
      </c>
      <c r="E34" s="103">
        <f>SUM(E35+E42+E46)</f>
        <v>74950</v>
      </c>
      <c r="F34" s="103">
        <f>SUM(F35+F42+F46)</f>
        <v>0</v>
      </c>
      <c r="G34" s="103">
        <f>SUM(G35+G42+G46)</f>
        <v>31255</v>
      </c>
      <c r="H34" s="103">
        <f>SUM(H35+H42+H46)</f>
        <v>702963</v>
      </c>
    </row>
    <row r="35" spans="1:8" x14ac:dyDescent="0.25">
      <c r="A35" s="142" t="s">
        <v>46</v>
      </c>
      <c r="B35" s="105" t="s">
        <v>47</v>
      </c>
      <c r="C35" s="120">
        <f t="shared" si="7"/>
        <v>1970522</v>
      </c>
      <c r="D35" s="106">
        <f>SUM(D36:D41)</f>
        <v>1330734</v>
      </c>
      <c r="E35" s="106">
        <f>SUM(E36:E41)</f>
        <v>0</v>
      </c>
      <c r="F35" s="106">
        <f>SUM(F36:F41)</f>
        <v>0</v>
      </c>
      <c r="G35" s="106">
        <f>SUM(G36:G41)</f>
        <v>0</v>
      </c>
      <c r="H35" s="106">
        <f>SUM(H36:H41)</f>
        <v>639788</v>
      </c>
    </row>
    <row r="36" spans="1:8" s="3" customFormat="1" ht="30" x14ac:dyDescent="0.25">
      <c r="A36" s="117" t="s">
        <v>72</v>
      </c>
      <c r="B36" s="114" t="s">
        <v>143</v>
      </c>
      <c r="C36" s="112">
        <f t="shared" si="7"/>
        <v>422045</v>
      </c>
      <c r="D36" s="112">
        <v>422045</v>
      </c>
      <c r="E36" s="112">
        <v>0</v>
      </c>
      <c r="F36" s="112">
        <v>0</v>
      </c>
      <c r="G36" s="112">
        <v>0</v>
      </c>
      <c r="H36" s="112">
        <v>0</v>
      </c>
    </row>
    <row r="37" spans="1:8" s="3" customFormat="1" ht="30" x14ac:dyDescent="0.25">
      <c r="A37" s="117" t="s">
        <v>100</v>
      </c>
      <c r="B37" s="135" t="s">
        <v>335</v>
      </c>
      <c r="C37" s="112">
        <f t="shared" si="7"/>
        <v>1548477</v>
      </c>
      <c r="D37" s="112">
        <v>908689</v>
      </c>
      <c r="E37" s="112">
        <v>0</v>
      </c>
      <c r="F37" s="112">
        <v>0</v>
      </c>
      <c r="G37" s="112">
        <v>0</v>
      </c>
      <c r="H37" s="112">
        <v>639788</v>
      </c>
    </row>
    <row r="38" spans="1:8" s="3" customFormat="1" hidden="1" x14ac:dyDescent="0.25">
      <c r="A38" s="191"/>
      <c r="B38" s="194"/>
      <c r="C38" s="193">
        <f t="shared" si="7"/>
        <v>0</v>
      </c>
      <c r="D38" s="193"/>
      <c r="E38" s="193"/>
      <c r="F38" s="193"/>
      <c r="G38" s="193"/>
      <c r="H38" s="193"/>
    </row>
    <row r="39" spans="1:8" s="3" customFormat="1" ht="15" hidden="1" customHeight="1" x14ac:dyDescent="0.25">
      <c r="A39" s="191"/>
      <c r="B39" s="194"/>
      <c r="C39" s="193">
        <f t="shared" si="7"/>
        <v>0</v>
      </c>
      <c r="D39" s="193"/>
      <c r="E39" s="193"/>
      <c r="F39" s="193"/>
      <c r="G39" s="193"/>
      <c r="H39" s="193"/>
    </row>
    <row r="40" spans="1:8" s="3" customFormat="1" hidden="1" x14ac:dyDescent="0.25">
      <c r="A40" s="191"/>
      <c r="B40" s="194"/>
      <c r="C40" s="193">
        <f t="shared" si="7"/>
        <v>0</v>
      </c>
      <c r="D40" s="193"/>
      <c r="E40" s="193"/>
      <c r="F40" s="193"/>
      <c r="G40" s="193"/>
      <c r="H40" s="193"/>
    </row>
    <row r="41" spans="1:8" s="3" customFormat="1" hidden="1" x14ac:dyDescent="0.25">
      <c r="A41" s="191"/>
      <c r="B41" s="194"/>
      <c r="C41" s="193">
        <f t="shared" si="7"/>
        <v>0</v>
      </c>
      <c r="D41" s="193"/>
      <c r="E41" s="193"/>
      <c r="F41" s="193"/>
      <c r="G41" s="193"/>
      <c r="H41" s="193"/>
    </row>
    <row r="42" spans="1:8" x14ac:dyDescent="0.25">
      <c r="A42" s="195" t="s">
        <v>101</v>
      </c>
      <c r="B42" s="196" t="s">
        <v>152</v>
      </c>
      <c r="C42" s="120">
        <f>SUM(D42:H42)</f>
        <v>561051</v>
      </c>
      <c r="D42" s="120">
        <f>SUM(D43:D45)</f>
        <v>415671</v>
      </c>
      <c r="E42" s="120">
        <f t="shared" ref="E42:H42" si="8">SUM(E43:E45)</f>
        <v>64950</v>
      </c>
      <c r="F42" s="120">
        <f t="shared" si="8"/>
        <v>0</v>
      </c>
      <c r="G42" s="120">
        <f t="shared" si="8"/>
        <v>17255</v>
      </c>
      <c r="H42" s="120">
        <f t="shared" si="8"/>
        <v>63175</v>
      </c>
    </row>
    <row r="43" spans="1:8" s="3" customFormat="1" ht="30" x14ac:dyDescent="0.25">
      <c r="A43" s="127" t="s">
        <v>161</v>
      </c>
      <c r="B43" s="128" t="s">
        <v>511</v>
      </c>
      <c r="C43" s="112">
        <f t="shared" si="1"/>
        <v>406642</v>
      </c>
      <c r="D43" s="112">
        <v>316871</v>
      </c>
      <c r="E43" s="112">
        <v>64950</v>
      </c>
      <c r="F43" s="112">
        <v>0</v>
      </c>
      <c r="G43" s="112">
        <v>17255</v>
      </c>
      <c r="H43" s="112">
        <v>7566</v>
      </c>
    </row>
    <row r="44" spans="1:8" s="3" customFormat="1" ht="30" x14ac:dyDescent="0.25">
      <c r="A44" s="127" t="s">
        <v>481</v>
      </c>
      <c r="B44" s="128" t="s">
        <v>490</v>
      </c>
      <c r="C44" s="112">
        <f t="shared" si="1"/>
        <v>103871</v>
      </c>
      <c r="D44" s="112">
        <v>98800</v>
      </c>
      <c r="E44" s="112">
        <v>0</v>
      </c>
      <c r="F44" s="112">
        <v>0</v>
      </c>
      <c r="G44" s="112">
        <v>0</v>
      </c>
      <c r="H44" s="112">
        <v>5071</v>
      </c>
    </row>
    <row r="45" spans="1:8" s="3" customFormat="1" ht="34.5" customHeight="1" x14ac:dyDescent="0.25">
      <c r="A45" s="127" t="s">
        <v>500</v>
      </c>
      <c r="B45" s="128" t="s">
        <v>501</v>
      </c>
      <c r="C45" s="112">
        <f t="shared" si="1"/>
        <v>50538</v>
      </c>
      <c r="D45" s="112">
        <v>0</v>
      </c>
      <c r="E45" s="112">
        <v>0</v>
      </c>
      <c r="F45" s="112">
        <v>0</v>
      </c>
      <c r="G45" s="112">
        <v>0</v>
      </c>
      <c r="H45" s="112">
        <v>50538</v>
      </c>
    </row>
    <row r="46" spans="1:8" s="3" customFormat="1" x14ac:dyDescent="0.25">
      <c r="A46" s="195" t="s">
        <v>153</v>
      </c>
      <c r="B46" s="197" t="s">
        <v>154</v>
      </c>
      <c r="C46" s="120">
        <f>SUM(D46:H46)</f>
        <v>123078</v>
      </c>
      <c r="D46" s="120">
        <f>SUM(D47:D55)</f>
        <v>99078</v>
      </c>
      <c r="E46" s="120">
        <f>SUM(E47:E55)</f>
        <v>10000</v>
      </c>
      <c r="F46" s="106">
        <f>SUM(F47:F55)</f>
        <v>0</v>
      </c>
      <c r="G46" s="106">
        <f>SUM(G47:G55)</f>
        <v>14000</v>
      </c>
      <c r="H46" s="106">
        <f>SUM(H47:H55)</f>
        <v>0</v>
      </c>
    </row>
    <row r="47" spans="1:8" s="3" customFormat="1" ht="30" x14ac:dyDescent="0.25">
      <c r="A47" s="117" t="s">
        <v>183</v>
      </c>
      <c r="B47" s="114" t="s">
        <v>185</v>
      </c>
      <c r="C47" s="112">
        <f>SUM(D47+E47+F47+G47+H47)</f>
        <v>90078</v>
      </c>
      <c r="D47" s="112">
        <v>90078</v>
      </c>
      <c r="E47" s="112">
        <v>0</v>
      </c>
      <c r="F47" s="112">
        <v>0</v>
      </c>
      <c r="G47" s="112">
        <v>0</v>
      </c>
      <c r="H47" s="112">
        <v>0</v>
      </c>
    </row>
    <row r="48" spans="1:8" s="3" customFormat="1" ht="30" x14ac:dyDescent="0.25">
      <c r="A48" s="136" t="s">
        <v>184</v>
      </c>
      <c r="B48" s="114" t="s">
        <v>512</v>
      </c>
      <c r="C48" s="112">
        <f t="shared" ref="C48:C55" si="9">SUM(D48+E48+F48+G48+H48)</f>
        <v>30000</v>
      </c>
      <c r="D48" s="112">
        <v>6000</v>
      </c>
      <c r="E48" s="112">
        <v>10000</v>
      </c>
      <c r="F48" s="112">
        <v>0</v>
      </c>
      <c r="G48" s="113">
        <v>14000</v>
      </c>
      <c r="H48" s="112">
        <v>0</v>
      </c>
    </row>
    <row r="49" spans="1:8" s="3" customFormat="1" x14ac:dyDescent="0.25">
      <c r="A49" s="136" t="s">
        <v>271</v>
      </c>
      <c r="B49" s="114" t="s">
        <v>272</v>
      </c>
      <c r="C49" s="112">
        <f t="shared" ref="C49" si="10">SUM(D49+E49+F49+G49+H49)</f>
        <v>3000</v>
      </c>
      <c r="D49" s="112">
        <v>3000</v>
      </c>
      <c r="E49" s="112">
        <v>0</v>
      </c>
      <c r="F49" s="112">
        <v>0</v>
      </c>
      <c r="G49" s="112">
        <v>0</v>
      </c>
      <c r="H49" s="112">
        <v>0</v>
      </c>
    </row>
    <row r="50" spans="1:8" s="3" customFormat="1" hidden="1" x14ac:dyDescent="0.25">
      <c r="A50" s="198"/>
      <c r="B50" s="192"/>
      <c r="C50" s="193">
        <f t="shared" si="9"/>
        <v>0</v>
      </c>
      <c r="D50" s="193"/>
      <c r="E50" s="193"/>
      <c r="F50" s="193"/>
      <c r="G50" s="193"/>
      <c r="H50" s="193"/>
    </row>
    <row r="51" spans="1:8" s="3" customFormat="1" hidden="1" x14ac:dyDescent="0.25">
      <c r="A51" s="199"/>
      <c r="B51" s="200"/>
      <c r="C51" s="201">
        <f t="shared" si="9"/>
        <v>0</v>
      </c>
      <c r="D51" s="201"/>
      <c r="E51" s="201"/>
      <c r="F51" s="201"/>
      <c r="G51" s="201"/>
      <c r="H51" s="201"/>
    </row>
    <row r="52" spans="1:8" s="3" customFormat="1" hidden="1" x14ac:dyDescent="0.25">
      <c r="A52" s="198"/>
      <c r="B52" s="192"/>
      <c r="C52" s="193">
        <f t="shared" si="9"/>
        <v>0</v>
      </c>
      <c r="D52" s="193"/>
      <c r="E52" s="193"/>
      <c r="F52" s="193"/>
      <c r="G52" s="193"/>
      <c r="H52" s="193"/>
    </row>
    <row r="53" spans="1:8" s="3" customFormat="1" hidden="1" x14ac:dyDescent="0.25">
      <c r="A53" s="198"/>
      <c r="B53" s="192"/>
      <c r="C53" s="193">
        <f t="shared" si="9"/>
        <v>0</v>
      </c>
      <c r="D53" s="193"/>
      <c r="E53" s="193"/>
      <c r="F53" s="193"/>
      <c r="G53" s="193"/>
      <c r="H53" s="193"/>
    </row>
    <row r="54" spans="1:8" s="3" customFormat="1" hidden="1" x14ac:dyDescent="0.25">
      <c r="A54" s="198"/>
      <c r="B54" s="192"/>
      <c r="C54" s="193">
        <f t="shared" si="9"/>
        <v>0</v>
      </c>
      <c r="D54" s="193"/>
      <c r="E54" s="193"/>
      <c r="F54" s="193"/>
      <c r="G54" s="193"/>
      <c r="H54" s="193"/>
    </row>
    <row r="55" spans="1:8" s="3" customFormat="1" hidden="1" x14ac:dyDescent="0.25">
      <c r="A55" s="198"/>
      <c r="B55" s="192"/>
      <c r="C55" s="193">
        <f t="shared" si="9"/>
        <v>0</v>
      </c>
      <c r="D55" s="193"/>
      <c r="E55" s="193"/>
      <c r="F55" s="193"/>
      <c r="G55" s="193"/>
      <c r="H55" s="193"/>
    </row>
    <row r="56" spans="1:8" s="17" customFormat="1" x14ac:dyDescent="0.25">
      <c r="A56" s="101" t="s">
        <v>34</v>
      </c>
      <c r="B56" s="102" t="s">
        <v>14</v>
      </c>
      <c r="C56" s="103">
        <f>SUM(D56+E56+F56+G56+H56)</f>
        <v>2128936</v>
      </c>
      <c r="D56" s="103">
        <f>SUM(D57+D60+D61)</f>
        <v>2108847</v>
      </c>
      <c r="E56" s="103">
        <f>SUM(E57+E60+E61)</f>
        <v>0</v>
      </c>
      <c r="F56" s="103">
        <f>SUM(F57+F60+F61)</f>
        <v>0</v>
      </c>
      <c r="G56" s="103">
        <f>SUM(G57+G60+G61)</f>
        <v>0</v>
      </c>
      <c r="H56" s="103">
        <f>SUM(H57+H60+H61)</f>
        <v>20089</v>
      </c>
    </row>
    <row r="57" spans="1:8" x14ac:dyDescent="0.25">
      <c r="A57" s="118" t="s">
        <v>49</v>
      </c>
      <c r="B57" s="131" t="s">
        <v>50</v>
      </c>
      <c r="C57" s="120">
        <f t="shared" si="1"/>
        <v>1401052</v>
      </c>
      <c r="D57" s="120">
        <f>SUM(D58+D59)</f>
        <v>1401052</v>
      </c>
      <c r="E57" s="106">
        <f>SUM(E58+E59)</f>
        <v>0</v>
      </c>
      <c r="F57" s="106">
        <f>SUM(F58+F59)</f>
        <v>0</v>
      </c>
      <c r="G57" s="106">
        <f>SUM(G58+G59)</f>
        <v>0</v>
      </c>
      <c r="H57" s="106">
        <f>SUM(H58+H59)</f>
        <v>0</v>
      </c>
    </row>
    <row r="58" spans="1:8" s="3" customFormat="1" ht="30" x14ac:dyDescent="0.25">
      <c r="A58" s="117" t="s">
        <v>73</v>
      </c>
      <c r="B58" s="114" t="s">
        <v>296</v>
      </c>
      <c r="C58" s="112">
        <f t="shared" si="1"/>
        <v>989101</v>
      </c>
      <c r="D58" s="112">
        <f>1000101-11000</f>
        <v>989101</v>
      </c>
      <c r="E58" s="112">
        <v>0</v>
      </c>
      <c r="F58" s="112">
        <v>0</v>
      </c>
      <c r="G58" s="112">
        <v>0</v>
      </c>
      <c r="H58" s="112">
        <v>0</v>
      </c>
    </row>
    <row r="59" spans="1:8" s="3" customFormat="1" ht="30" x14ac:dyDescent="0.25">
      <c r="A59" s="117" t="s">
        <v>156</v>
      </c>
      <c r="B59" s="114" t="s">
        <v>155</v>
      </c>
      <c r="C59" s="112">
        <f t="shared" si="1"/>
        <v>411951</v>
      </c>
      <c r="D59" s="112">
        <v>411951</v>
      </c>
      <c r="E59" s="112">
        <v>0</v>
      </c>
      <c r="F59" s="112">
        <v>0</v>
      </c>
      <c r="G59" s="112">
        <v>0</v>
      </c>
      <c r="H59" s="112">
        <v>0</v>
      </c>
    </row>
    <row r="60" spans="1:8" x14ac:dyDescent="0.25">
      <c r="A60" s="212" t="s">
        <v>348</v>
      </c>
      <c r="B60" s="119" t="s">
        <v>96</v>
      </c>
      <c r="C60" s="110">
        <f t="shared" si="1"/>
        <v>579200</v>
      </c>
      <c r="D60" s="110">
        <v>579200</v>
      </c>
      <c r="E60" s="110">
        <v>0</v>
      </c>
      <c r="F60" s="110">
        <v>0</v>
      </c>
      <c r="G60" s="110">
        <v>0</v>
      </c>
      <c r="H60" s="110">
        <v>0</v>
      </c>
    </row>
    <row r="61" spans="1:8" x14ac:dyDescent="0.25">
      <c r="A61" s="125" t="s">
        <v>482</v>
      </c>
      <c r="B61" s="129" t="s">
        <v>491</v>
      </c>
      <c r="C61" s="120">
        <f>SUM(D61+E61+F61+G61+H61)</f>
        <v>148684</v>
      </c>
      <c r="D61" s="120">
        <f>D62+D63+D64</f>
        <v>128595</v>
      </c>
      <c r="E61" s="120">
        <f>E62+E63+E64</f>
        <v>0</v>
      </c>
      <c r="F61" s="120">
        <f>F62+F63+F64</f>
        <v>0</v>
      </c>
      <c r="G61" s="120">
        <f>G62+G63+G64</f>
        <v>0</v>
      </c>
      <c r="H61" s="120">
        <f>H62+H63+H64</f>
        <v>20089</v>
      </c>
    </row>
    <row r="62" spans="1:8" x14ac:dyDescent="0.25">
      <c r="A62" s="117" t="s">
        <v>347</v>
      </c>
      <c r="B62" s="114" t="s">
        <v>428</v>
      </c>
      <c r="C62" s="112">
        <f t="shared" ref="C62" si="11">SUM(D62+E62+F62+G62+H62)</f>
        <v>92070</v>
      </c>
      <c r="D62" s="112">
        <v>85595</v>
      </c>
      <c r="E62" s="112">
        <v>0</v>
      </c>
      <c r="F62" s="112">
        <v>0</v>
      </c>
      <c r="G62" s="112">
        <v>0</v>
      </c>
      <c r="H62" s="112">
        <v>6475</v>
      </c>
    </row>
    <row r="63" spans="1:8" ht="45" x14ac:dyDescent="0.25">
      <c r="A63" s="117" t="s">
        <v>483</v>
      </c>
      <c r="B63" s="114" t="s">
        <v>492</v>
      </c>
      <c r="C63" s="112">
        <f t="shared" si="1"/>
        <v>56614</v>
      </c>
      <c r="D63" s="112">
        <v>43000</v>
      </c>
      <c r="E63" s="112">
        <v>0</v>
      </c>
      <c r="F63" s="112">
        <v>0</v>
      </c>
      <c r="G63" s="112">
        <v>0</v>
      </c>
      <c r="H63" s="112">
        <v>13614</v>
      </c>
    </row>
    <row r="64" spans="1:8" hidden="1" x14ac:dyDescent="0.25">
      <c r="A64" s="117"/>
      <c r="B64" s="114"/>
      <c r="C64" s="112"/>
      <c r="D64" s="112"/>
      <c r="E64" s="112"/>
      <c r="F64" s="112"/>
      <c r="G64" s="112"/>
      <c r="H64" s="112"/>
    </row>
    <row r="65" spans="1:8" s="17" customFormat="1" x14ac:dyDescent="0.25">
      <c r="A65" s="101" t="s">
        <v>35</v>
      </c>
      <c r="B65" s="102" t="s">
        <v>179</v>
      </c>
      <c r="C65" s="103">
        <f t="shared" si="1"/>
        <v>4600622</v>
      </c>
      <c r="D65" s="103">
        <f>SUM(D66+D67+D68)</f>
        <v>4453709</v>
      </c>
      <c r="E65" s="103">
        <f>SUM(E66+E67+E68)</f>
        <v>134700</v>
      </c>
      <c r="F65" s="103">
        <f>SUM(F66+F67+F68)</f>
        <v>0</v>
      </c>
      <c r="G65" s="103">
        <f>SUM(G66+G67+G68)</f>
        <v>0</v>
      </c>
      <c r="H65" s="103">
        <f>SUM(H66+H67+H68)</f>
        <v>12213</v>
      </c>
    </row>
    <row r="66" spans="1:8" s="17" customFormat="1" ht="21" customHeight="1" x14ac:dyDescent="0.25">
      <c r="A66" s="212" t="s">
        <v>297</v>
      </c>
      <c r="B66" s="119" t="s">
        <v>323</v>
      </c>
      <c r="C66" s="110">
        <f t="shared" si="1"/>
        <v>919802</v>
      </c>
      <c r="D66" s="121">
        <v>919802</v>
      </c>
      <c r="E66" s="110">
        <v>0</v>
      </c>
      <c r="F66" s="110">
        <v>0</v>
      </c>
      <c r="G66" s="110">
        <v>0</v>
      </c>
      <c r="H66" s="110">
        <v>0</v>
      </c>
    </row>
    <row r="67" spans="1:8" x14ac:dyDescent="0.25">
      <c r="A67" s="212" t="s">
        <v>349</v>
      </c>
      <c r="B67" s="119" t="s">
        <v>51</v>
      </c>
      <c r="C67" s="110">
        <f t="shared" si="1"/>
        <v>599490</v>
      </c>
      <c r="D67" s="110">
        <v>599490</v>
      </c>
      <c r="E67" s="110">
        <v>0</v>
      </c>
      <c r="F67" s="110">
        <v>0</v>
      </c>
      <c r="G67" s="110">
        <v>0</v>
      </c>
      <c r="H67" s="110">
        <v>0</v>
      </c>
    </row>
    <row r="68" spans="1:8" ht="28.5" x14ac:dyDescent="0.25">
      <c r="A68" s="118" t="s">
        <v>52</v>
      </c>
      <c r="B68" s="131" t="s">
        <v>281</v>
      </c>
      <c r="C68" s="120">
        <f t="shared" si="1"/>
        <v>3081330</v>
      </c>
      <c r="D68" s="120">
        <f>SUM(D69:D75)</f>
        <v>2934417</v>
      </c>
      <c r="E68" s="120">
        <f t="shared" ref="E68:H68" si="12">SUM(E69:E75)</f>
        <v>134700</v>
      </c>
      <c r="F68" s="120">
        <f t="shared" si="12"/>
        <v>0</v>
      </c>
      <c r="G68" s="120">
        <f t="shared" si="12"/>
        <v>0</v>
      </c>
      <c r="H68" s="120">
        <f t="shared" si="12"/>
        <v>12213</v>
      </c>
    </row>
    <row r="69" spans="1:8" s="3" customFormat="1" x14ac:dyDescent="0.25">
      <c r="A69" s="117" t="s">
        <v>74</v>
      </c>
      <c r="B69" s="114" t="s">
        <v>513</v>
      </c>
      <c r="C69" s="112">
        <f t="shared" si="1"/>
        <v>898600</v>
      </c>
      <c r="D69" s="112">
        <f>742823+21000</f>
        <v>763823</v>
      </c>
      <c r="E69" s="112">
        <v>134700</v>
      </c>
      <c r="F69" s="112">
        <v>0</v>
      </c>
      <c r="G69" s="112">
        <v>0</v>
      </c>
      <c r="H69" s="113">
        <v>77</v>
      </c>
    </row>
    <row r="70" spans="1:8" s="3" customFormat="1" ht="30.75" customHeight="1" x14ac:dyDescent="0.25">
      <c r="A70" s="117" t="s">
        <v>75</v>
      </c>
      <c r="B70" s="114" t="s">
        <v>97</v>
      </c>
      <c r="C70" s="112">
        <f t="shared" si="1"/>
        <v>1553158</v>
      </c>
      <c r="D70" s="112">
        <f>1563158-10000</f>
        <v>1553158</v>
      </c>
      <c r="E70" s="112">
        <v>0</v>
      </c>
      <c r="F70" s="112">
        <v>0</v>
      </c>
      <c r="G70" s="112">
        <v>0</v>
      </c>
      <c r="H70" s="112">
        <v>0</v>
      </c>
    </row>
    <row r="71" spans="1:8" s="3" customFormat="1" ht="30" x14ac:dyDescent="0.25">
      <c r="A71" s="117" t="s">
        <v>79</v>
      </c>
      <c r="B71" s="114" t="s">
        <v>144</v>
      </c>
      <c r="C71" s="112">
        <f t="shared" si="1"/>
        <v>285171</v>
      </c>
      <c r="D71" s="112">
        <v>285171</v>
      </c>
      <c r="E71" s="112">
        <v>0</v>
      </c>
      <c r="F71" s="112">
        <v>0</v>
      </c>
      <c r="G71" s="112">
        <v>0</v>
      </c>
      <c r="H71" s="112">
        <v>0</v>
      </c>
    </row>
    <row r="72" spans="1:8" s="3" customFormat="1" ht="30" x14ac:dyDescent="0.25">
      <c r="A72" s="117" t="s">
        <v>85</v>
      </c>
      <c r="B72" s="114" t="s">
        <v>145</v>
      </c>
      <c r="C72" s="112">
        <f t="shared" si="1"/>
        <v>288580</v>
      </c>
      <c r="D72" s="112">
        <v>282765</v>
      </c>
      <c r="E72" s="112">
        <v>0</v>
      </c>
      <c r="F72" s="112">
        <v>0</v>
      </c>
      <c r="G72" s="112">
        <v>0</v>
      </c>
      <c r="H72" s="113">
        <v>5815</v>
      </c>
    </row>
    <row r="73" spans="1:8" s="3" customFormat="1" ht="30" x14ac:dyDescent="0.25">
      <c r="A73" s="117" t="s">
        <v>289</v>
      </c>
      <c r="B73" s="114" t="s">
        <v>298</v>
      </c>
      <c r="C73" s="112">
        <f t="shared" si="1"/>
        <v>34500</v>
      </c>
      <c r="D73" s="112">
        <v>34500</v>
      </c>
      <c r="E73" s="112">
        <v>0</v>
      </c>
      <c r="F73" s="112">
        <v>0</v>
      </c>
      <c r="G73" s="112">
        <v>0</v>
      </c>
      <c r="H73" s="112">
        <v>0</v>
      </c>
    </row>
    <row r="74" spans="1:8" s="3" customFormat="1" ht="45" x14ac:dyDescent="0.25">
      <c r="A74" s="117" t="s">
        <v>479</v>
      </c>
      <c r="B74" s="114" t="s">
        <v>493</v>
      </c>
      <c r="C74" s="112">
        <f t="shared" si="1"/>
        <v>15000</v>
      </c>
      <c r="D74" s="112">
        <v>15000</v>
      </c>
      <c r="E74" s="112">
        <v>0</v>
      </c>
      <c r="F74" s="112">
        <v>0</v>
      </c>
      <c r="G74" s="112">
        <v>0</v>
      </c>
      <c r="H74" s="112">
        <v>0</v>
      </c>
    </row>
    <row r="75" spans="1:8" s="3" customFormat="1" ht="30" x14ac:dyDescent="0.25">
      <c r="A75" s="117" t="s">
        <v>502</v>
      </c>
      <c r="B75" s="114" t="s">
        <v>503</v>
      </c>
      <c r="C75" s="112">
        <f t="shared" si="1"/>
        <v>6321</v>
      </c>
      <c r="D75" s="112">
        <v>0</v>
      </c>
      <c r="E75" s="112">
        <v>0</v>
      </c>
      <c r="F75" s="112">
        <v>0</v>
      </c>
      <c r="G75" s="112">
        <v>0</v>
      </c>
      <c r="H75" s="113">
        <v>6321</v>
      </c>
    </row>
    <row r="76" spans="1:8" s="3" customFormat="1" x14ac:dyDescent="0.25">
      <c r="A76" s="101" t="s">
        <v>162</v>
      </c>
      <c r="B76" s="102" t="s">
        <v>163</v>
      </c>
      <c r="C76" s="103">
        <f t="shared" ref="C76:H76" si="13">C77+C78+C79+C80+C81</f>
        <v>180431</v>
      </c>
      <c r="D76" s="103">
        <f>D77+D78+D79+D80+D81</f>
        <v>134400</v>
      </c>
      <c r="E76" s="103">
        <f t="shared" si="13"/>
        <v>0</v>
      </c>
      <c r="F76" s="103">
        <f t="shared" si="13"/>
        <v>0</v>
      </c>
      <c r="G76" s="103">
        <f t="shared" si="13"/>
        <v>0</v>
      </c>
      <c r="H76" s="103">
        <f t="shared" si="13"/>
        <v>46031</v>
      </c>
    </row>
    <row r="77" spans="1:8" s="3" customFormat="1" x14ac:dyDescent="0.25">
      <c r="A77" s="108" t="s">
        <v>186</v>
      </c>
      <c r="B77" s="109" t="s">
        <v>187</v>
      </c>
      <c r="C77" s="112">
        <f t="shared" si="1"/>
        <v>60000</v>
      </c>
      <c r="D77" s="113">
        <v>60000</v>
      </c>
      <c r="E77" s="112">
        <v>0</v>
      </c>
      <c r="F77" s="112">
        <v>0</v>
      </c>
      <c r="G77" s="112">
        <v>0</v>
      </c>
      <c r="H77" s="112">
        <v>0</v>
      </c>
    </row>
    <row r="78" spans="1:8" s="3" customFormat="1" ht="30" x14ac:dyDescent="0.25">
      <c r="A78" s="108" t="s">
        <v>188</v>
      </c>
      <c r="B78" s="109" t="s">
        <v>189</v>
      </c>
      <c r="C78" s="112">
        <f t="shared" si="1"/>
        <v>12400</v>
      </c>
      <c r="D78" s="113">
        <v>12400</v>
      </c>
      <c r="E78" s="112">
        <v>0</v>
      </c>
      <c r="F78" s="112">
        <v>0</v>
      </c>
      <c r="G78" s="112">
        <v>0</v>
      </c>
      <c r="H78" s="112">
        <v>0</v>
      </c>
    </row>
    <row r="79" spans="1:8" s="3" customFormat="1" x14ac:dyDescent="0.25">
      <c r="A79" s="108" t="s">
        <v>190</v>
      </c>
      <c r="B79" s="109" t="s">
        <v>191</v>
      </c>
      <c r="C79" s="112">
        <f t="shared" si="1"/>
        <v>37000</v>
      </c>
      <c r="D79" s="113">
        <v>37000</v>
      </c>
      <c r="E79" s="112">
        <v>0</v>
      </c>
      <c r="F79" s="112">
        <v>0</v>
      </c>
      <c r="G79" s="112">
        <v>0</v>
      </c>
      <c r="H79" s="112">
        <v>0</v>
      </c>
    </row>
    <row r="80" spans="1:8" s="3" customFormat="1" x14ac:dyDescent="0.25">
      <c r="A80" s="108" t="s">
        <v>169</v>
      </c>
      <c r="B80" s="109" t="s">
        <v>299</v>
      </c>
      <c r="C80" s="112">
        <f t="shared" si="1"/>
        <v>5000</v>
      </c>
      <c r="D80" s="113">
        <v>5000</v>
      </c>
      <c r="E80" s="112">
        <v>0</v>
      </c>
      <c r="F80" s="112">
        <v>0</v>
      </c>
      <c r="G80" s="112">
        <v>0</v>
      </c>
      <c r="H80" s="112">
        <v>0</v>
      </c>
    </row>
    <row r="81" spans="1:8" s="3" customFormat="1" ht="45" x14ac:dyDescent="0.25">
      <c r="A81" s="117" t="s">
        <v>484</v>
      </c>
      <c r="B81" s="114" t="s">
        <v>494</v>
      </c>
      <c r="C81" s="112">
        <f t="shared" si="1"/>
        <v>66031</v>
      </c>
      <c r="D81" s="112">
        <v>20000</v>
      </c>
      <c r="E81" s="112">
        <v>0</v>
      </c>
      <c r="F81" s="112">
        <v>0</v>
      </c>
      <c r="G81" s="112">
        <v>0</v>
      </c>
      <c r="H81" s="112">
        <v>46031</v>
      </c>
    </row>
    <row r="82" spans="1:8" s="17" customFormat="1" x14ac:dyDescent="0.25">
      <c r="A82" s="101" t="s">
        <v>36</v>
      </c>
      <c r="B82" s="102" t="s">
        <v>15</v>
      </c>
      <c r="C82" s="103">
        <f t="shared" si="1"/>
        <v>7468042</v>
      </c>
      <c r="D82" s="103">
        <f>SUM(D83+D88+D106+D107)</f>
        <v>6798928</v>
      </c>
      <c r="E82" s="103">
        <f>SUM(E83+E88+E106+E107)</f>
        <v>510966</v>
      </c>
      <c r="F82" s="103">
        <f>SUM(F83+F88+F106+F107)</f>
        <v>22356</v>
      </c>
      <c r="G82" s="103">
        <f>SUM(G83+G88+G106+G107)</f>
        <v>19020</v>
      </c>
      <c r="H82" s="103">
        <f>SUM(H83+H88+H106+H107)</f>
        <v>116772</v>
      </c>
    </row>
    <row r="83" spans="1:8" x14ac:dyDescent="0.25">
      <c r="A83" s="104" t="s">
        <v>55</v>
      </c>
      <c r="B83" s="105" t="s">
        <v>56</v>
      </c>
      <c r="C83" s="106">
        <f t="shared" si="1"/>
        <v>1366162</v>
      </c>
      <c r="D83" s="106">
        <f>SUM(D84+D85+D86+D87)</f>
        <v>1331600</v>
      </c>
      <c r="E83" s="106">
        <f t="shared" ref="E83:H83" si="14">SUM(E84+E85+E86+E87)</f>
        <v>34148</v>
      </c>
      <c r="F83" s="106">
        <f t="shared" si="14"/>
        <v>0</v>
      </c>
      <c r="G83" s="106">
        <f t="shared" si="14"/>
        <v>0</v>
      </c>
      <c r="H83" s="106">
        <f t="shared" si="14"/>
        <v>414</v>
      </c>
    </row>
    <row r="84" spans="1:8" s="3" customFormat="1" ht="30" x14ac:dyDescent="0.25">
      <c r="A84" s="117" t="s">
        <v>77</v>
      </c>
      <c r="B84" s="114" t="s">
        <v>514</v>
      </c>
      <c r="C84" s="112">
        <f t="shared" si="1"/>
        <v>641727</v>
      </c>
      <c r="D84" s="112">
        <v>607165</v>
      </c>
      <c r="E84" s="112">
        <v>34148</v>
      </c>
      <c r="F84" s="112">
        <v>0</v>
      </c>
      <c r="G84" s="112">
        <v>0</v>
      </c>
      <c r="H84" s="113">
        <v>414</v>
      </c>
    </row>
    <row r="85" spans="1:8" s="3" customFormat="1" x14ac:dyDescent="0.25">
      <c r="A85" s="117" t="s">
        <v>78</v>
      </c>
      <c r="B85" s="114" t="s">
        <v>146</v>
      </c>
      <c r="C85" s="112">
        <f t="shared" si="1"/>
        <v>609435</v>
      </c>
      <c r="D85" s="112">
        <v>609435</v>
      </c>
      <c r="E85" s="112">
        <v>0</v>
      </c>
      <c r="F85" s="112">
        <v>0</v>
      </c>
      <c r="G85" s="112">
        <v>0</v>
      </c>
      <c r="H85" s="112">
        <v>0</v>
      </c>
    </row>
    <row r="86" spans="1:8" s="3" customFormat="1" ht="30" x14ac:dyDescent="0.25">
      <c r="A86" s="108" t="s">
        <v>209</v>
      </c>
      <c r="B86" s="109" t="s">
        <v>459</v>
      </c>
      <c r="C86" s="112">
        <f t="shared" si="1"/>
        <v>5000</v>
      </c>
      <c r="D86" s="112">
        <v>5000</v>
      </c>
      <c r="E86" s="112">
        <v>0</v>
      </c>
      <c r="F86" s="112">
        <v>0</v>
      </c>
      <c r="G86" s="112">
        <v>0</v>
      </c>
      <c r="H86" s="112">
        <v>0</v>
      </c>
    </row>
    <row r="87" spans="1:8" s="3" customFormat="1" ht="45" x14ac:dyDescent="0.25">
      <c r="A87" s="117" t="s">
        <v>485</v>
      </c>
      <c r="B87" s="114" t="s">
        <v>495</v>
      </c>
      <c r="C87" s="112">
        <f t="shared" si="1"/>
        <v>110000</v>
      </c>
      <c r="D87" s="112">
        <v>110000</v>
      </c>
      <c r="E87" s="112">
        <v>0</v>
      </c>
      <c r="F87" s="112">
        <v>0</v>
      </c>
      <c r="G87" s="112">
        <v>0</v>
      </c>
      <c r="H87" s="112">
        <v>0</v>
      </c>
    </row>
    <row r="88" spans="1:8" x14ac:dyDescent="0.25">
      <c r="A88" s="104" t="s">
        <v>57</v>
      </c>
      <c r="B88" s="105" t="s">
        <v>58</v>
      </c>
      <c r="C88" s="120">
        <f t="shared" si="1"/>
        <v>5456922</v>
      </c>
      <c r="D88" s="120">
        <f>D89+D93+D95+D98+D102</f>
        <v>4822370</v>
      </c>
      <c r="E88" s="120">
        <f>E89+E93+E95+E98+E102</f>
        <v>476818</v>
      </c>
      <c r="F88" s="120">
        <f>F89+F93+F95+F98+F102</f>
        <v>22356</v>
      </c>
      <c r="G88" s="106">
        <f>G89+G93+G95+G98+G102</f>
        <v>19020</v>
      </c>
      <c r="H88" s="106">
        <f>H89+H93+H95+H98+H102</f>
        <v>116358</v>
      </c>
    </row>
    <row r="89" spans="1:8" x14ac:dyDescent="0.25">
      <c r="A89" s="104" t="s">
        <v>59</v>
      </c>
      <c r="B89" s="131" t="s">
        <v>361</v>
      </c>
      <c r="C89" s="120">
        <f>SUM(D89+E89+F89+G89+H89)</f>
        <v>936587</v>
      </c>
      <c r="D89" s="120">
        <f>D90+D91+D92</f>
        <v>903204</v>
      </c>
      <c r="E89" s="120">
        <f t="shared" ref="E89:H89" si="15">E90+E91+E92</f>
        <v>5318</v>
      </c>
      <c r="F89" s="120">
        <f t="shared" si="15"/>
        <v>0</v>
      </c>
      <c r="G89" s="120">
        <f t="shared" si="15"/>
        <v>19020</v>
      </c>
      <c r="H89" s="120">
        <f t="shared" si="15"/>
        <v>9045</v>
      </c>
    </row>
    <row r="90" spans="1:8" ht="30" x14ac:dyDescent="0.25">
      <c r="A90" s="108" t="s">
        <v>350</v>
      </c>
      <c r="B90" s="109" t="s">
        <v>515</v>
      </c>
      <c r="C90" s="112">
        <f t="shared" si="1"/>
        <v>886267</v>
      </c>
      <c r="D90" s="112">
        <v>860949</v>
      </c>
      <c r="E90" s="112">
        <v>5318</v>
      </c>
      <c r="F90" s="112">
        <v>0</v>
      </c>
      <c r="G90" s="112">
        <v>19020</v>
      </c>
      <c r="H90" s="112">
        <v>980</v>
      </c>
    </row>
    <row r="91" spans="1:8" ht="30" hidden="1" x14ac:dyDescent="0.25">
      <c r="A91" s="202" t="s">
        <v>351</v>
      </c>
      <c r="B91" s="200" t="s">
        <v>429</v>
      </c>
      <c r="C91" s="201">
        <f t="shared" si="1"/>
        <v>0</v>
      </c>
      <c r="D91" s="201"/>
      <c r="E91" s="201"/>
      <c r="F91" s="112">
        <v>0</v>
      </c>
      <c r="G91" s="201"/>
      <c r="H91" s="201"/>
    </row>
    <row r="92" spans="1:8" ht="32.25" customHeight="1" x14ac:dyDescent="0.25">
      <c r="A92" s="117" t="s">
        <v>498</v>
      </c>
      <c r="B92" s="114" t="s">
        <v>499</v>
      </c>
      <c r="C92" s="112">
        <f t="shared" si="1"/>
        <v>50320</v>
      </c>
      <c r="D92" s="112">
        <v>42255</v>
      </c>
      <c r="E92" s="112">
        <v>0</v>
      </c>
      <c r="F92" s="112">
        <v>0</v>
      </c>
      <c r="G92" s="112">
        <v>0</v>
      </c>
      <c r="H92" s="112">
        <v>8065</v>
      </c>
    </row>
    <row r="93" spans="1:8" x14ac:dyDescent="0.25">
      <c r="A93" s="104" t="s">
        <v>60</v>
      </c>
      <c r="B93" s="105" t="s">
        <v>300</v>
      </c>
      <c r="C93" s="120">
        <f>SUM(D93+E93+F93+G93+H93)</f>
        <v>719000</v>
      </c>
      <c r="D93" s="120">
        <f>D94</f>
        <v>694619</v>
      </c>
      <c r="E93" s="120">
        <f>E94</f>
        <v>8000</v>
      </c>
      <c r="F93" s="120">
        <f>F94</f>
        <v>0</v>
      </c>
      <c r="G93" s="106">
        <f>G94</f>
        <v>0</v>
      </c>
      <c r="H93" s="106">
        <f>H94</f>
        <v>16381</v>
      </c>
    </row>
    <row r="94" spans="1:8" s="3" customFormat="1" ht="30" x14ac:dyDescent="0.25">
      <c r="A94" s="108" t="s">
        <v>99</v>
      </c>
      <c r="B94" s="109" t="s">
        <v>516</v>
      </c>
      <c r="C94" s="112">
        <f>SUM(D94+E94+F94+G94+H94)</f>
        <v>719000</v>
      </c>
      <c r="D94" s="112">
        <f>469235+225384</f>
        <v>694619</v>
      </c>
      <c r="E94" s="112">
        <v>8000</v>
      </c>
      <c r="F94" s="112">
        <v>0</v>
      </c>
      <c r="G94" s="112">
        <v>0</v>
      </c>
      <c r="H94" s="113">
        <f>15241+1140</f>
        <v>16381</v>
      </c>
    </row>
    <row r="95" spans="1:8" x14ac:dyDescent="0.25">
      <c r="A95" s="104" t="s">
        <v>61</v>
      </c>
      <c r="B95" s="105" t="s">
        <v>506</v>
      </c>
      <c r="C95" s="120">
        <f t="shared" si="1"/>
        <v>2240645</v>
      </c>
      <c r="D95" s="120">
        <f>SUM(D96:D97)</f>
        <v>1688214</v>
      </c>
      <c r="E95" s="120">
        <f>SUM(E96:E97)</f>
        <v>463500</v>
      </c>
      <c r="F95" s="120">
        <f>SUM(F96:F97)</f>
        <v>0</v>
      </c>
      <c r="G95" s="106">
        <f>SUM(G96:G97)</f>
        <v>0</v>
      </c>
      <c r="H95" s="106">
        <f>SUM(H96:H97)</f>
        <v>88931</v>
      </c>
    </row>
    <row r="96" spans="1:8" x14ac:dyDescent="0.25">
      <c r="A96" s="117" t="s">
        <v>215</v>
      </c>
      <c r="B96" s="114" t="s">
        <v>517</v>
      </c>
      <c r="C96" s="112">
        <f t="shared" si="1"/>
        <v>1403153</v>
      </c>
      <c r="D96" s="112">
        <v>1203889</v>
      </c>
      <c r="E96" s="112">
        <v>113500</v>
      </c>
      <c r="F96" s="112">
        <v>0</v>
      </c>
      <c r="G96" s="112">
        <v>0</v>
      </c>
      <c r="H96" s="112">
        <v>85764</v>
      </c>
    </row>
    <row r="97" spans="1:8" x14ac:dyDescent="0.25">
      <c r="A97" s="132" t="s">
        <v>216</v>
      </c>
      <c r="B97" s="133" t="s">
        <v>537</v>
      </c>
      <c r="C97" s="134">
        <f t="shared" si="1"/>
        <v>837492</v>
      </c>
      <c r="D97" s="112">
        <v>484325</v>
      </c>
      <c r="E97" s="112">
        <v>350000</v>
      </c>
      <c r="F97" s="112">
        <v>0</v>
      </c>
      <c r="G97" s="112">
        <v>0</v>
      </c>
      <c r="H97" s="112">
        <v>3167</v>
      </c>
    </row>
    <row r="98" spans="1:8" x14ac:dyDescent="0.25">
      <c r="A98" s="104" t="s">
        <v>62</v>
      </c>
      <c r="B98" s="105" t="s">
        <v>104</v>
      </c>
      <c r="C98" s="120">
        <f t="shared" si="1"/>
        <v>204898</v>
      </c>
      <c r="D98" s="120">
        <f>SUM(D99:D101)</f>
        <v>202897</v>
      </c>
      <c r="E98" s="120">
        <f>SUM(E99:E101)</f>
        <v>0</v>
      </c>
      <c r="F98" s="120">
        <f>SUM(F99:F101)</f>
        <v>0</v>
      </c>
      <c r="G98" s="106">
        <f>SUM(G99:G101)</f>
        <v>0</v>
      </c>
      <c r="H98" s="106">
        <f>SUM(H99:H101)</f>
        <v>2001</v>
      </c>
    </row>
    <row r="99" spans="1:8" x14ac:dyDescent="0.25">
      <c r="A99" s="108" t="s">
        <v>207</v>
      </c>
      <c r="B99" s="109" t="s">
        <v>362</v>
      </c>
      <c r="C99" s="112">
        <f t="shared" si="1"/>
        <v>102013</v>
      </c>
      <c r="D99" s="112">
        <v>102012</v>
      </c>
      <c r="E99" s="112">
        <v>0</v>
      </c>
      <c r="F99" s="112">
        <v>0</v>
      </c>
      <c r="G99" s="112">
        <v>0</v>
      </c>
      <c r="H99" s="113">
        <v>1</v>
      </c>
    </row>
    <row r="100" spans="1:8" x14ac:dyDescent="0.25">
      <c r="A100" s="108" t="s">
        <v>290</v>
      </c>
      <c r="B100" s="109" t="s">
        <v>363</v>
      </c>
      <c r="C100" s="112">
        <f t="shared" si="1"/>
        <v>81871</v>
      </c>
      <c r="D100" s="112">
        <v>79871</v>
      </c>
      <c r="E100" s="112">
        <v>0</v>
      </c>
      <c r="F100" s="112">
        <v>0</v>
      </c>
      <c r="G100" s="112">
        <v>0</v>
      </c>
      <c r="H100" s="113">
        <v>2000</v>
      </c>
    </row>
    <row r="101" spans="1:8" ht="16.5" customHeight="1" x14ac:dyDescent="0.25">
      <c r="A101" s="108" t="s">
        <v>210</v>
      </c>
      <c r="B101" s="109" t="s">
        <v>211</v>
      </c>
      <c r="C101" s="112">
        <f>SUM(D101+E101+F101+G101+H101)</f>
        <v>21014</v>
      </c>
      <c r="D101" s="112">
        <v>21014</v>
      </c>
      <c r="E101" s="112">
        <v>0</v>
      </c>
      <c r="F101" s="112">
        <v>0</v>
      </c>
      <c r="G101" s="112">
        <v>0</v>
      </c>
      <c r="H101" s="112">
        <v>0</v>
      </c>
    </row>
    <row r="102" spans="1:8" x14ac:dyDescent="0.25">
      <c r="A102" s="104" t="s">
        <v>63</v>
      </c>
      <c r="B102" s="105" t="s">
        <v>149</v>
      </c>
      <c r="C102" s="120">
        <f t="shared" ref="C102:C182" si="16">SUM(D102+E102+F102+G102+H102)</f>
        <v>1355792</v>
      </c>
      <c r="D102" s="120">
        <f>SUM(D103:D105)</f>
        <v>1333436</v>
      </c>
      <c r="E102" s="120">
        <f>SUM(E103:E105)</f>
        <v>0</v>
      </c>
      <c r="F102" s="120">
        <f>SUM(F103:F105)</f>
        <v>22356</v>
      </c>
      <c r="G102" s="106">
        <f>SUM(G103:G105)</f>
        <v>0</v>
      </c>
      <c r="H102" s="106">
        <f>SUM(H103:H105)</f>
        <v>0</v>
      </c>
    </row>
    <row r="103" spans="1:8" s="3" customFormat="1" ht="16.5" customHeight="1" x14ac:dyDescent="0.25">
      <c r="A103" s="108" t="s">
        <v>86</v>
      </c>
      <c r="B103" s="109" t="s">
        <v>367</v>
      </c>
      <c r="C103" s="112">
        <f t="shared" si="16"/>
        <v>397572</v>
      </c>
      <c r="D103" s="112">
        <v>375216</v>
      </c>
      <c r="E103" s="112">
        <v>0</v>
      </c>
      <c r="F103" s="112">
        <v>22356</v>
      </c>
      <c r="G103" s="112">
        <v>0</v>
      </c>
      <c r="H103" s="112">
        <v>0</v>
      </c>
    </row>
    <row r="104" spans="1:8" s="3" customFormat="1" x14ac:dyDescent="0.25">
      <c r="A104" s="108" t="s">
        <v>87</v>
      </c>
      <c r="B104" s="109" t="s">
        <v>147</v>
      </c>
      <c r="C104" s="112">
        <f t="shared" si="16"/>
        <v>520970</v>
      </c>
      <c r="D104" s="112">
        <v>520970</v>
      </c>
      <c r="E104" s="112">
        <v>0</v>
      </c>
      <c r="F104" s="112">
        <v>0</v>
      </c>
      <c r="G104" s="112">
        <v>0</v>
      </c>
      <c r="H104" s="112">
        <v>0</v>
      </c>
    </row>
    <row r="105" spans="1:8" s="3" customFormat="1" ht="30" x14ac:dyDescent="0.25">
      <c r="A105" s="117" t="s">
        <v>486</v>
      </c>
      <c r="B105" s="114" t="s">
        <v>518</v>
      </c>
      <c r="C105" s="112">
        <f t="shared" si="16"/>
        <v>437250</v>
      </c>
      <c r="D105" s="112">
        <v>437250</v>
      </c>
      <c r="E105" s="112">
        <v>0</v>
      </c>
      <c r="F105" s="112">
        <v>0</v>
      </c>
      <c r="G105" s="112">
        <v>0</v>
      </c>
      <c r="H105" s="112">
        <v>0</v>
      </c>
    </row>
    <row r="106" spans="1:8" x14ac:dyDescent="0.25">
      <c r="A106" s="211" t="s">
        <v>352</v>
      </c>
      <c r="B106" s="115" t="s">
        <v>519</v>
      </c>
      <c r="C106" s="110">
        <f t="shared" si="16"/>
        <v>399972</v>
      </c>
      <c r="D106" s="110">
        <v>399972</v>
      </c>
      <c r="E106" s="110">
        <v>0</v>
      </c>
      <c r="F106" s="110">
        <v>0</v>
      </c>
      <c r="G106" s="110">
        <v>0</v>
      </c>
      <c r="H106" s="110">
        <v>0</v>
      </c>
    </row>
    <row r="107" spans="1:8" ht="28.5" x14ac:dyDescent="0.25">
      <c r="A107" s="104" t="s">
        <v>64</v>
      </c>
      <c r="B107" s="105" t="s">
        <v>220</v>
      </c>
      <c r="C107" s="120">
        <f t="shared" si="16"/>
        <v>244986</v>
      </c>
      <c r="D107" s="120">
        <f>SUM(D108:D111)</f>
        <v>244986</v>
      </c>
      <c r="E107" s="120">
        <f>SUM(E108:E111)</f>
        <v>0</v>
      </c>
      <c r="F107" s="120">
        <f>SUM(F108:F111)</f>
        <v>0</v>
      </c>
      <c r="G107" s="106">
        <f>SUM(G108:G111)</f>
        <v>0</v>
      </c>
      <c r="H107" s="106">
        <f>SUM(H108:H111)</f>
        <v>0</v>
      </c>
    </row>
    <row r="108" spans="1:8" x14ac:dyDescent="0.25">
      <c r="A108" s="108" t="s">
        <v>212</v>
      </c>
      <c r="B108" s="109" t="s">
        <v>282</v>
      </c>
      <c r="C108" s="112">
        <f t="shared" si="16"/>
        <v>42686</v>
      </c>
      <c r="D108" s="112">
        <v>42686</v>
      </c>
      <c r="E108" s="112">
        <v>0</v>
      </c>
      <c r="F108" s="112">
        <v>0</v>
      </c>
      <c r="G108" s="112">
        <v>0</v>
      </c>
      <c r="H108" s="112">
        <v>0</v>
      </c>
    </row>
    <row r="109" spans="1:8" x14ac:dyDescent="0.25">
      <c r="A109" s="108" t="s">
        <v>213</v>
      </c>
      <c r="B109" s="109" t="s">
        <v>218</v>
      </c>
      <c r="C109" s="112">
        <f t="shared" si="16"/>
        <v>22350</v>
      </c>
      <c r="D109" s="112">
        <v>22350</v>
      </c>
      <c r="E109" s="112">
        <v>0</v>
      </c>
      <c r="F109" s="112">
        <v>0</v>
      </c>
      <c r="G109" s="112">
        <v>0</v>
      </c>
      <c r="H109" s="112">
        <v>0</v>
      </c>
    </row>
    <row r="110" spans="1:8" ht="30" x14ac:dyDescent="0.25">
      <c r="A110" s="108" t="s">
        <v>217</v>
      </c>
      <c r="B110" s="109" t="s">
        <v>937</v>
      </c>
      <c r="C110" s="112">
        <f t="shared" si="16"/>
        <v>4300</v>
      </c>
      <c r="D110" s="112">
        <v>4300</v>
      </c>
      <c r="E110" s="112">
        <v>0</v>
      </c>
      <c r="F110" s="112">
        <v>0</v>
      </c>
      <c r="G110" s="112">
        <v>0</v>
      </c>
      <c r="H110" s="112">
        <v>0</v>
      </c>
    </row>
    <row r="111" spans="1:8" ht="30" x14ac:dyDescent="0.25">
      <c r="A111" s="117" t="s">
        <v>219</v>
      </c>
      <c r="B111" s="114" t="s">
        <v>520</v>
      </c>
      <c r="C111" s="112">
        <f t="shared" si="16"/>
        <v>175650</v>
      </c>
      <c r="D111" s="205">
        <v>175650</v>
      </c>
      <c r="E111" s="112">
        <v>0</v>
      </c>
      <c r="F111" s="112">
        <v>0</v>
      </c>
      <c r="G111" s="112">
        <v>0</v>
      </c>
      <c r="H111" s="112">
        <v>0</v>
      </c>
    </row>
    <row r="112" spans="1:8" s="17" customFormat="1" x14ac:dyDescent="0.25">
      <c r="A112" s="101" t="s">
        <v>37</v>
      </c>
      <c r="B112" s="102" t="s">
        <v>16</v>
      </c>
      <c r="C112" s="103">
        <f t="shared" si="16"/>
        <v>33560161</v>
      </c>
      <c r="D112" s="103">
        <f>SUM(D113+D119+D129+D134+D138+D141)</f>
        <v>23301383</v>
      </c>
      <c r="E112" s="103">
        <f>SUM(E113+E119+E129+E134+E138+E141)</f>
        <v>616154</v>
      </c>
      <c r="F112" s="103">
        <f>SUM(F113+F119+F129+F134+F138+F141)</f>
        <v>8713004</v>
      </c>
      <c r="G112" s="103">
        <f>SUM(G113+G119+G129+G134+G138+G141)</f>
        <v>0</v>
      </c>
      <c r="H112" s="103">
        <f>SUM(H113+H119+H129+H134+H138+H141)</f>
        <v>929620</v>
      </c>
    </row>
    <row r="113" spans="1:8" x14ac:dyDescent="0.25">
      <c r="A113" s="118" t="s">
        <v>102</v>
      </c>
      <c r="B113" s="131" t="s">
        <v>301</v>
      </c>
      <c r="C113" s="120">
        <f t="shared" si="16"/>
        <v>7206540</v>
      </c>
      <c r="D113" s="120">
        <f>SUM(D114:D118)</f>
        <v>6432230</v>
      </c>
      <c r="E113" s="120">
        <f>SUM(E114:E118)</f>
        <v>108072</v>
      </c>
      <c r="F113" s="120">
        <f>SUM(F114:F118)</f>
        <v>607892</v>
      </c>
      <c r="G113" s="120">
        <f>SUM(G114:G118)</f>
        <v>0</v>
      </c>
      <c r="H113" s="106">
        <f>SUM(H114:H118)</f>
        <v>58346</v>
      </c>
    </row>
    <row r="114" spans="1:8" s="3" customFormat="1" ht="30" x14ac:dyDescent="0.25">
      <c r="A114" s="117" t="s">
        <v>192</v>
      </c>
      <c r="B114" s="114" t="s">
        <v>521</v>
      </c>
      <c r="C114" s="112">
        <f t="shared" si="16"/>
        <v>7206540</v>
      </c>
      <c r="D114" s="112">
        <v>6432230</v>
      </c>
      <c r="E114" s="112">
        <v>108072</v>
      </c>
      <c r="F114" s="112">
        <v>607892</v>
      </c>
      <c r="G114" s="112">
        <v>0</v>
      </c>
      <c r="H114" s="112">
        <f>51859+6487</f>
        <v>58346</v>
      </c>
    </row>
    <row r="115" spans="1:8" s="3" customFormat="1" hidden="1" x14ac:dyDescent="0.25">
      <c r="A115" s="52"/>
      <c r="B115" s="54"/>
      <c r="C115" s="53">
        <f t="shared" si="16"/>
        <v>0</v>
      </c>
      <c r="D115" s="48"/>
      <c r="E115" s="53"/>
      <c r="F115" s="53"/>
      <c r="G115" s="53"/>
      <c r="H115" s="53"/>
    </row>
    <row r="116" spans="1:8" s="3" customFormat="1" hidden="1" x14ac:dyDescent="0.25">
      <c r="A116" s="52"/>
      <c r="B116" s="54"/>
      <c r="C116" s="53">
        <f t="shared" si="16"/>
        <v>0</v>
      </c>
      <c r="D116" s="48"/>
      <c r="E116" s="53"/>
      <c r="F116" s="53"/>
      <c r="G116" s="53"/>
      <c r="H116" s="53"/>
    </row>
    <row r="117" spans="1:8" s="3" customFormat="1" hidden="1" x14ac:dyDescent="0.25">
      <c r="A117" s="52"/>
      <c r="B117" s="54"/>
      <c r="C117" s="53">
        <f t="shared" si="16"/>
        <v>0</v>
      </c>
      <c r="D117" s="48"/>
      <c r="E117" s="53"/>
      <c r="F117" s="53"/>
      <c r="G117" s="53"/>
      <c r="H117" s="53"/>
    </row>
    <row r="118" spans="1:8" s="3" customFormat="1" hidden="1" x14ac:dyDescent="0.25">
      <c r="A118" s="52"/>
      <c r="B118" s="54"/>
      <c r="C118" s="53">
        <f t="shared" si="16"/>
        <v>0</v>
      </c>
      <c r="D118" s="48"/>
      <c r="E118" s="53"/>
      <c r="F118" s="53"/>
      <c r="G118" s="53"/>
      <c r="H118" s="53"/>
    </row>
    <row r="119" spans="1:8" x14ac:dyDescent="0.25">
      <c r="A119" s="118" t="s">
        <v>105</v>
      </c>
      <c r="B119" s="131" t="s">
        <v>106</v>
      </c>
      <c r="C119" s="120">
        <f t="shared" si="16"/>
        <v>21063985</v>
      </c>
      <c r="D119" s="120">
        <f>SUM(D120+D126)</f>
        <v>13141609</v>
      </c>
      <c r="E119" s="120">
        <f>SUM(E120+E126)</f>
        <v>161262</v>
      </c>
      <c r="F119" s="120">
        <f>SUM(F120+F126)</f>
        <v>7218886</v>
      </c>
      <c r="G119" s="120">
        <f>SUM(G120+G126)</f>
        <v>0</v>
      </c>
      <c r="H119" s="106">
        <f>SUM(H120+H126)</f>
        <v>542228</v>
      </c>
    </row>
    <row r="120" spans="1:8" x14ac:dyDescent="0.25">
      <c r="A120" s="118" t="s">
        <v>208</v>
      </c>
      <c r="B120" s="131" t="s">
        <v>302</v>
      </c>
      <c r="C120" s="120">
        <f>SUM(D120+E120+F120+G120+H120)</f>
        <v>19734836</v>
      </c>
      <c r="D120" s="120">
        <f>SUM(D121:D125)</f>
        <v>12616210</v>
      </c>
      <c r="E120" s="120">
        <f>SUM(E121:E125)</f>
        <v>143708</v>
      </c>
      <c r="F120" s="120">
        <f>SUM(F121:F125)</f>
        <v>6595037</v>
      </c>
      <c r="G120" s="120">
        <f>SUM(G121:G125)</f>
        <v>0</v>
      </c>
      <c r="H120" s="106">
        <f>SUM(H121:H125)</f>
        <v>379881</v>
      </c>
    </row>
    <row r="121" spans="1:8" ht="30" x14ac:dyDescent="0.25">
      <c r="A121" s="117" t="s">
        <v>303</v>
      </c>
      <c r="B121" s="114" t="s">
        <v>522</v>
      </c>
      <c r="C121" s="112">
        <f t="shared" ref="C121" si="17">SUM(D121+E121+F121+G121+H121)</f>
        <v>10298570</v>
      </c>
      <c r="D121" s="112">
        <f>4767936-92</f>
        <v>4767844</v>
      </c>
      <c r="E121" s="112">
        <v>128727</v>
      </c>
      <c r="F121" s="112">
        <v>5163022</v>
      </c>
      <c r="G121" s="112">
        <v>0</v>
      </c>
      <c r="H121" s="113">
        <f>92115+146770+92</f>
        <v>238977</v>
      </c>
    </row>
    <row r="122" spans="1:8" ht="30" x14ac:dyDescent="0.25">
      <c r="A122" s="117" t="s">
        <v>304</v>
      </c>
      <c r="B122" s="114" t="s">
        <v>523</v>
      </c>
      <c r="C122" s="112">
        <f>SUM(D122+E122+F122+G122+H122)</f>
        <v>1571154</v>
      </c>
      <c r="D122" s="112">
        <v>112564</v>
      </c>
      <c r="E122" s="112">
        <v>11606</v>
      </c>
      <c r="F122" s="112">
        <v>1388952</v>
      </c>
      <c r="G122" s="112">
        <v>0</v>
      </c>
      <c r="H122" s="113">
        <f>22684+35348</f>
        <v>58032</v>
      </c>
    </row>
    <row r="123" spans="1:8" ht="18" customHeight="1" x14ac:dyDescent="0.25">
      <c r="A123" s="117" t="s">
        <v>294</v>
      </c>
      <c r="B123" s="137" t="s">
        <v>324</v>
      </c>
      <c r="C123" s="112">
        <f>SUM(D123+E123+F123+G123+H123)</f>
        <v>129310</v>
      </c>
      <c r="D123" s="112">
        <v>0</v>
      </c>
      <c r="E123" s="112">
        <v>3375</v>
      </c>
      <c r="F123" s="112">
        <v>43063</v>
      </c>
      <c r="G123" s="112">
        <v>0</v>
      </c>
      <c r="H123" s="113">
        <v>82872</v>
      </c>
    </row>
    <row r="124" spans="1:8" s="3" customFormat="1" x14ac:dyDescent="0.25">
      <c r="A124" s="117" t="s">
        <v>504</v>
      </c>
      <c r="B124" s="114" t="s">
        <v>505</v>
      </c>
      <c r="C124" s="112">
        <f>SUM(D124+E124+F124+G124+H124)</f>
        <v>7735802</v>
      </c>
      <c r="D124" s="112">
        <v>7735802</v>
      </c>
      <c r="E124" s="112">
        <v>0</v>
      </c>
      <c r="F124" s="112">
        <v>0</v>
      </c>
      <c r="G124" s="112">
        <v>0</v>
      </c>
      <c r="H124" s="112">
        <v>0</v>
      </c>
    </row>
    <row r="125" spans="1:8" s="3" customFormat="1" ht="21.75" hidden="1" customHeight="1" x14ac:dyDescent="0.25">
      <c r="A125" s="138"/>
      <c r="B125" s="139"/>
      <c r="C125" s="140">
        <f>SUM(D125+E125+F125+G125+H125)</f>
        <v>0</v>
      </c>
      <c r="D125" s="140"/>
      <c r="E125" s="140"/>
      <c r="F125" s="140"/>
      <c r="G125" s="140"/>
      <c r="H125" s="140"/>
    </row>
    <row r="126" spans="1:8" x14ac:dyDescent="0.25">
      <c r="A126" s="118" t="s">
        <v>193</v>
      </c>
      <c r="B126" s="131" t="s">
        <v>194</v>
      </c>
      <c r="C126" s="120">
        <f>SUM(D126:H126)</f>
        <v>1329149</v>
      </c>
      <c r="D126" s="120">
        <f>SUM(D127:D128)</f>
        <v>525399</v>
      </c>
      <c r="E126" s="120">
        <f>SUM(E127:E128)</f>
        <v>17554</v>
      </c>
      <c r="F126" s="120">
        <f>SUM(F127:F128)</f>
        <v>623849</v>
      </c>
      <c r="G126" s="120">
        <f>SUM(G127:G128)</f>
        <v>0</v>
      </c>
      <c r="H126" s="106">
        <f>SUM(H127:H128)</f>
        <v>162347</v>
      </c>
    </row>
    <row r="127" spans="1:8" s="18" customFormat="1" ht="30" x14ac:dyDescent="0.25">
      <c r="A127" s="117" t="s">
        <v>306</v>
      </c>
      <c r="B127" s="114" t="s">
        <v>524</v>
      </c>
      <c r="C127" s="112">
        <f t="shared" si="16"/>
        <v>902891</v>
      </c>
      <c r="D127" s="112">
        <v>525399</v>
      </c>
      <c r="E127" s="112">
        <v>17554</v>
      </c>
      <c r="F127" s="112">
        <v>333992</v>
      </c>
      <c r="G127" s="112">
        <v>0</v>
      </c>
      <c r="H127" s="112">
        <f>18752+7194</f>
        <v>25946</v>
      </c>
    </row>
    <row r="128" spans="1:8" s="18" customFormat="1" x14ac:dyDescent="0.25">
      <c r="A128" s="117" t="s">
        <v>307</v>
      </c>
      <c r="B128" s="114" t="s">
        <v>305</v>
      </c>
      <c r="C128" s="112">
        <f t="shared" si="16"/>
        <v>426258</v>
      </c>
      <c r="D128" s="112">
        <v>0</v>
      </c>
      <c r="E128" s="112">
        <v>0</v>
      </c>
      <c r="F128" s="112">
        <v>289857</v>
      </c>
      <c r="G128" s="112">
        <v>0</v>
      </c>
      <c r="H128" s="112">
        <v>136401</v>
      </c>
    </row>
    <row r="129" spans="1:8" x14ac:dyDescent="0.25">
      <c r="A129" s="118" t="s">
        <v>88</v>
      </c>
      <c r="B129" s="131" t="s">
        <v>107</v>
      </c>
      <c r="C129" s="120">
        <f>SUM(D129+E129+F129+G129+H129)</f>
        <v>3188121</v>
      </c>
      <c r="D129" s="120">
        <f>SUM(D130:D133)</f>
        <v>2126424</v>
      </c>
      <c r="E129" s="120">
        <f>SUM(E130:E133)</f>
        <v>181386</v>
      </c>
      <c r="F129" s="120">
        <f>SUM(F130:F133)</f>
        <v>807995</v>
      </c>
      <c r="G129" s="120">
        <f>SUM(G130:G133)</f>
        <v>0</v>
      </c>
      <c r="H129" s="106">
        <f>SUM(H130:H133)</f>
        <v>72316</v>
      </c>
    </row>
    <row r="130" spans="1:8" s="3" customFormat="1" ht="45" x14ac:dyDescent="0.25">
      <c r="A130" s="117" t="s">
        <v>90</v>
      </c>
      <c r="B130" s="114" t="s">
        <v>525</v>
      </c>
      <c r="C130" s="112">
        <f t="shared" si="16"/>
        <v>767453</v>
      </c>
      <c r="D130" s="112">
        <v>365199</v>
      </c>
      <c r="E130" s="112">
        <v>58274</v>
      </c>
      <c r="F130" s="112">
        <v>336984</v>
      </c>
      <c r="G130" s="112">
        <v>0</v>
      </c>
      <c r="H130" s="112">
        <f>3171+3825</f>
        <v>6996</v>
      </c>
    </row>
    <row r="131" spans="1:8" s="3" customFormat="1" ht="30" x14ac:dyDescent="0.25">
      <c r="A131" s="117" t="s">
        <v>91</v>
      </c>
      <c r="B131" s="114" t="s">
        <v>526</v>
      </c>
      <c r="C131" s="112">
        <f>SUM(D131+E131+F131+G131+H131)</f>
        <v>225524</v>
      </c>
      <c r="D131" s="112">
        <v>152635</v>
      </c>
      <c r="E131" s="112">
        <v>14606</v>
      </c>
      <c r="F131" s="112">
        <v>53204</v>
      </c>
      <c r="G131" s="112">
        <v>0</v>
      </c>
      <c r="H131" s="112">
        <f>2261+2818</f>
        <v>5079</v>
      </c>
    </row>
    <row r="132" spans="1:8" s="3" customFormat="1" x14ac:dyDescent="0.25">
      <c r="A132" s="117" t="s">
        <v>108</v>
      </c>
      <c r="B132" s="114" t="s">
        <v>527</v>
      </c>
      <c r="C132" s="112">
        <f>SUM(D132+E132+F132+G132+H132)</f>
        <v>2181616</v>
      </c>
      <c r="D132" s="112">
        <f>659690+320381+620919+7600</f>
        <v>1608590</v>
      </c>
      <c r="E132" s="112">
        <f>24000+10000+82106-7600</f>
        <v>108506</v>
      </c>
      <c r="F132" s="112">
        <v>417807</v>
      </c>
      <c r="G132" s="112">
        <v>0</v>
      </c>
      <c r="H132" s="113">
        <f>5402+1098+19289+13520+7404</f>
        <v>46713</v>
      </c>
    </row>
    <row r="133" spans="1:8" s="3" customFormat="1" ht="30" x14ac:dyDescent="0.25">
      <c r="A133" s="117" t="s">
        <v>295</v>
      </c>
      <c r="B133" s="114" t="s">
        <v>325</v>
      </c>
      <c r="C133" s="112">
        <f>SUM(D133+E133+F133+G133+H133)</f>
        <v>13528</v>
      </c>
      <c r="D133" s="112">
        <v>0</v>
      </c>
      <c r="E133" s="112">
        <v>0</v>
      </c>
      <c r="F133" s="112">
        <v>0</v>
      </c>
      <c r="G133" s="112">
        <v>0</v>
      </c>
      <c r="H133" s="112">
        <v>13528</v>
      </c>
    </row>
    <row r="134" spans="1:8" s="3" customFormat="1" x14ac:dyDescent="0.25">
      <c r="A134" s="118" t="s">
        <v>195</v>
      </c>
      <c r="B134" s="131" t="s">
        <v>196</v>
      </c>
      <c r="C134" s="120">
        <f t="shared" ref="C134:C140" si="18">SUM(D134+E134+F134+G134+H134)</f>
        <v>1122288</v>
      </c>
      <c r="D134" s="120">
        <f>D135+D136+D137</f>
        <v>812297</v>
      </c>
      <c r="E134" s="120">
        <f t="shared" ref="E134:H134" si="19">E135+E136+E137</f>
        <v>165084</v>
      </c>
      <c r="F134" s="120">
        <f t="shared" si="19"/>
        <v>48231</v>
      </c>
      <c r="G134" s="120">
        <f t="shared" si="19"/>
        <v>0</v>
      </c>
      <c r="H134" s="120">
        <f t="shared" si="19"/>
        <v>96676</v>
      </c>
    </row>
    <row r="135" spans="1:8" s="3" customFormat="1" ht="30" x14ac:dyDescent="0.25">
      <c r="A135" s="117" t="s">
        <v>197</v>
      </c>
      <c r="B135" s="114" t="s">
        <v>528</v>
      </c>
      <c r="C135" s="112">
        <f t="shared" si="18"/>
        <v>983522</v>
      </c>
      <c r="D135" s="112">
        <v>807297</v>
      </c>
      <c r="E135" s="112">
        <v>136661</v>
      </c>
      <c r="F135" s="112">
        <v>0</v>
      </c>
      <c r="G135" s="112">
        <v>0</v>
      </c>
      <c r="H135" s="112">
        <v>39564</v>
      </c>
    </row>
    <row r="136" spans="1:8" s="3" customFormat="1" ht="30" x14ac:dyDescent="0.25">
      <c r="A136" s="117" t="s">
        <v>198</v>
      </c>
      <c r="B136" s="114" t="s">
        <v>529</v>
      </c>
      <c r="C136" s="112">
        <f t="shared" si="18"/>
        <v>125797</v>
      </c>
      <c r="D136" s="112">
        <v>0</v>
      </c>
      <c r="E136" s="112">
        <f>2500+25923</f>
        <v>28423</v>
      </c>
      <c r="F136" s="112">
        <f>10113+38118</f>
        <v>48231</v>
      </c>
      <c r="G136" s="112">
        <v>0</v>
      </c>
      <c r="H136" s="112">
        <v>49143</v>
      </c>
    </row>
    <row r="137" spans="1:8" s="3" customFormat="1" x14ac:dyDescent="0.25">
      <c r="A137" s="117" t="s">
        <v>436</v>
      </c>
      <c r="B137" s="114" t="s">
        <v>437</v>
      </c>
      <c r="C137" s="112">
        <f t="shared" si="18"/>
        <v>12969</v>
      </c>
      <c r="D137" s="112">
        <v>5000</v>
      </c>
      <c r="E137" s="112">
        <v>0</v>
      </c>
      <c r="F137" s="112">
        <v>0</v>
      </c>
      <c r="G137" s="112">
        <v>0</v>
      </c>
      <c r="H137" s="112">
        <v>7969</v>
      </c>
    </row>
    <row r="138" spans="1:8" s="3" customFormat="1" x14ac:dyDescent="0.25">
      <c r="A138" s="118" t="s">
        <v>199</v>
      </c>
      <c r="B138" s="131" t="s">
        <v>223</v>
      </c>
      <c r="C138" s="120">
        <f t="shared" si="18"/>
        <v>6795</v>
      </c>
      <c r="D138" s="120">
        <f>SUM(D139:D140)</f>
        <v>6795</v>
      </c>
      <c r="E138" s="120">
        <f>SUM(E139:E140)</f>
        <v>0</v>
      </c>
      <c r="F138" s="120">
        <f>SUM(F139:F140)</f>
        <v>0</v>
      </c>
      <c r="G138" s="120">
        <f>SUM(G139:G140)</f>
        <v>0</v>
      </c>
      <c r="H138" s="106">
        <f>SUM(H139:H140)</f>
        <v>0</v>
      </c>
    </row>
    <row r="139" spans="1:8" s="3" customFormat="1" ht="16.5" customHeight="1" x14ac:dyDescent="0.25">
      <c r="A139" s="117" t="s">
        <v>221</v>
      </c>
      <c r="B139" s="114" t="s">
        <v>308</v>
      </c>
      <c r="C139" s="112">
        <f t="shared" si="18"/>
        <v>5395</v>
      </c>
      <c r="D139" s="112">
        <v>5395</v>
      </c>
      <c r="E139" s="112">
        <v>0</v>
      </c>
      <c r="F139" s="112">
        <v>0</v>
      </c>
      <c r="G139" s="112">
        <v>0</v>
      </c>
      <c r="H139" s="112">
        <v>0</v>
      </c>
    </row>
    <row r="140" spans="1:8" s="3" customFormat="1" x14ac:dyDescent="0.25">
      <c r="A140" s="117" t="s">
        <v>222</v>
      </c>
      <c r="B140" s="114" t="s">
        <v>309</v>
      </c>
      <c r="C140" s="112">
        <f t="shared" si="18"/>
        <v>1400</v>
      </c>
      <c r="D140" s="112">
        <v>1400</v>
      </c>
      <c r="E140" s="112">
        <v>0</v>
      </c>
      <c r="F140" s="112">
        <v>0</v>
      </c>
      <c r="G140" s="112">
        <v>0</v>
      </c>
      <c r="H140" s="112">
        <v>0</v>
      </c>
    </row>
    <row r="141" spans="1:8" s="3" customFormat="1" x14ac:dyDescent="0.25">
      <c r="A141" s="118" t="s">
        <v>103</v>
      </c>
      <c r="B141" s="131" t="s">
        <v>168</v>
      </c>
      <c r="C141" s="120">
        <f>SUM(D141+E141+F141+G141+H141)</f>
        <v>972432</v>
      </c>
      <c r="D141" s="120">
        <f>SUM(D142:D144)</f>
        <v>782028</v>
      </c>
      <c r="E141" s="120">
        <f>SUM(E142:E144)</f>
        <v>350</v>
      </c>
      <c r="F141" s="120">
        <f>SUM(F142:F144)</f>
        <v>30000</v>
      </c>
      <c r="G141" s="120">
        <f>SUM(G142:G144)</f>
        <v>0</v>
      </c>
      <c r="H141" s="106">
        <f>SUM(H142:H144)</f>
        <v>160054</v>
      </c>
    </row>
    <row r="142" spans="1:8" ht="30" x14ac:dyDescent="0.25">
      <c r="A142" s="117" t="s">
        <v>167</v>
      </c>
      <c r="B142" s="114" t="s">
        <v>530</v>
      </c>
      <c r="C142" s="112">
        <f>SUM(D142+E142+F142+G142+H142)</f>
        <v>721885</v>
      </c>
      <c r="D142" s="112">
        <f>717355+92</f>
        <v>717447</v>
      </c>
      <c r="E142" s="112">
        <v>0</v>
      </c>
      <c r="F142" s="112">
        <v>0</v>
      </c>
      <c r="G142" s="112">
        <v>0</v>
      </c>
      <c r="H142" s="112">
        <f>4530-92</f>
        <v>4438</v>
      </c>
    </row>
    <row r="143" spans="1:8" ht="30" x14ac:dyDescent="0.25">
      <c r="A143" s="117" t="s">
        <v>274</v>
      </c>
      <c r="B143" s="114" t="s">
        <v>531</v>
      </c>
      <c r="C143" s="112">
        <f>SUM(D143+E143+F143+G143+H143)</f>
        <v>178604</v>
      </c>
      <c r="D143" s="112">
        <v>0</v>
      </c>
      <c r="E143" s="112">
        <v>0</v>
      </c>
      <c r="F143" s="112">
        <v>30000</v>
      </c>
      <c r="G143" s="112">
        <v>0</v>
      </c>
      <c r="H143" s="112">
        <v>148604</v>
      </c>
    </row>
    <row r="144" spans="1:8" ht="30" x14ac:dyDescent="0.25">
      <c r="A144" s="117" t="s">
        <v>326</v>
      </c>
      <c r="B144" s="114" t="s">
        <v>532</v>
      </c>
      <c r="C144" s="112">
        <f>SUM(D144+E144+F144+G144+H144)</f>
        <v>71943</v>
      </c>
      <c r="D144" s="112">
        <v>64581</v>
      </c>
      <c r="E144" s="112">
        <v>350</v>
      </c>
      <c r="F144" s="112">
        <v>0</v>
      </c>
      <c r="G144" s="112">
        <v>0</v>
      </c>
      <c r="H144" s="113">
        <f>7012</f>
        <v>7012</v>
      </c>
    </row>
    <row r="145" spans="1:8" s="17" customFormat="1" x14ac:dyDescent="0.25">
      <c r="A145" s="101" t="s">
        <v>38</v>
      </c>
      <c r="B145" s="102" t="s">
        <v>17</v>
      </c>
      <c r="C145" s="103">
        <f t="shared" si="16"/>
        <v>4810234</v>
      </c>
      <c r="D145" s="103">
        <f>SUM(D146+D153+D156+D162+D163+D164+D172)</f>
        <v>4335762</v>
      </c>
      <c r="E145" s="103">
        <f>SUM(E146+E153+E156+E162+E163+E164+E172)</f>
        <v>39408</v>
      </c>
      <c r="F145" s="103">
        <f>SUM(F146+F153+F156+F162+F163+F164+F172)</f>
        <v>349492</v>
      </c>
      <c r="G145" s="103">
        <f>SUM(G146+G153+G156+G162+G163+G164+G172)</f>
        <v>6957</v>
      </c>
      <c r="H145" s="103">
        <f>SUM(H146+H153+H156+H162+H163+H164+H172)</f>
        <v>78615</v>
      </c>
    </row>
    <row r="146" spans="1:8" x14ac:dyDescent="0.25">
      <c r="A146" s="104" t="s">
        <v>92</v>
      </c>
      <c r="B146" s="105" t="s">
        <v>93</v>
      </c>
      <c r="C146" s="106">
        <f>SUM(D146+E146+F146+G146+H146)</f>
        <v>721721</v>
      </c>
      <c r="D146" s="106">
        <f>SUM(D147:D152)</f>
        <v>389529</v>
      </c>
      <c r="E146" s="106">
        <f t="shared" ref="E146:H146" si="20">SUM(E147:E152)</f>
        <v>22214</v>
      </c>
      <c r="F146" s="106">
        <f t="shared" si="20"/>
        <v>273940</v>
      </c>
      <c r="G146" s="106">
        <f t="shared" si="20"/>
        <v>6857</v>
      </c>
      <c r="H146" s="106">
        <f t="shared" si="20"/>
        <v>29181</v>
      </c>
    </row>
    <row r="147" spans="1:8" s="3" customFormat="1" ht="30" x14ac:dyDescent="0.25">
      <c r="A147" s="117" t="s">
        <v>110</v>
      </c>
      <c r="B147" s="114" t="s">
        <v>114</v>
      </c>
      <c r="C147" s="112">
        <f t="shared" si="16"/>
        <v>340163</v>
      </c>
      <c r="D147" s="112">
        <v>110116</v>
      </c>
      <c r="E147" s="112">
        <v>0</v>
      </c>
      <c r="F147" s="113">
        <v>229585</v>
      </c>
      <c r="G147" s="112">
        <v>0</v>
      </c>
      <c r="H147" s="113">
        <f>452+10</f>
        <v>462</v>
      </c>
    </row>
    <row r="148" spans="1:8" s="3" customFormat="1" ht="30" x14ac:dyDescent="0.25">
      <c r="A148" s="108" t="s">
        <v>353</v>
      </c>
      <c r="B148" s="114" t="s">
        <v>368</v>
      </c>
      <c r="C148" s="113">
        <f t="shared" si="16"/>
        <v>93454</v>
      </c>
      <c r="D148" s="113">
        <v>62718</v>
      </c>
      <c r="E148" s="113">
        <v>11258</v>
      </c>
      <c r="F148" s="112">
        <v>0</v>
      </c>
      <c r="G148" s="113">
        <v>6857</v>
      </c>
      <c r="H148" s="113">
        <f>6861+5760</f>
        <v>12621</v>
      </c>
    </row>
    <row r="149" spans="1:8" s="3" customFormat="1" x14ac:dyDescent="0.25">
      <c r="A149" s="108" t="s">
        <v>111</v>
      </c>
      <c r="B149" s="109" t="s">
        <v>115</v>
      </c>
      <c r="C149" s="113">
        <f t="shared" si="16"/>
        <v>76598</v>
      </c>
      <c r="D149" s="113">
        <v>70402</v>
      </c>
      <c r="E149" s="113">
        <v>4456</v>
      </c>
      <c r="F149" s="112">
        <v>0</v>
      </c>
      <c r="G149" s="112">
        <v>0</v>
      </c>
      <c r="H149" s="113">
        <v>1740</v>
      </c>
    </row>
    <row r="150" spans="1:8" s="3" customFormat="1" x14ac:dyDescent="0.25">
      <c r="A150" s="108" t="s">
        <v>112</v>
      </c>
      <c r="B150" s="109" t="s">
        <v>116</v>
      </c>
      <c r="C150" s="113">
        <f t="shared" si="16"/>
        <v>72128</v>
      </c>
      <c r="D150" s="113">
        <v>70094</v>
      </c>
      <c r="E150" s="113">
        <v>2000</v>
      </c>
      <c r="F150" s="112">
        <v>0</v>
      </c>
      <c r="G150" s="112">
        <v>0</v>
      </c>
      <c r="H150" s="113">
        <v>34</v>
      </c>
    </row>
    <row r="151" spans="1:8" s="3" customFormat="1" x14ac:dyDescent="0.25">
      <c r="A151" s="117" t="s">
        <v>113</v>
      </c>
      <c r="B151" s="114" t="s">
        <v>117</v>
      </c>
      <c r="C151" s="112">
        <f t="shared" si="16"/>
        <v>106791</v>
      </c>
      <c r="D151" s="112">
        <v>56199</v>
      </c>
      <c r="E151" s="113">
        <v>4500</v>
      </c>
      <c r="F151" s="113">
        <v>44355</v>
      </c>
      <c r="G151" s="112">
        <v>0</v>
      </c>
      <c r="H151" s="113">
        <f>336+1401</f>
        <v>1737</v>
      </c>
    </row>
    <row r="152" spans="1:8" s="3" customFormat="1" x14ac:dyDescent="0.25">
      <c r="A152" s="117" t="s">
        <v>438</v>
      </c>
      <c r="B152" s="114" t="s">
        <v>470</v>
      </c>
      <c r="C152" s="112">
        <f t="shared" si="16"/>
        <v>32587</v>
      </c>
      <c r="D152" s="112">
        <v>20000</v>
      </c>
      <c r="E152" s="112">
        <v>0</v>
      </c>
      <c r="F152" s="112">
        <v>0</v>
      </c>
      <c r="G152" s="112">
        <v>0</v>
      </c>
      <c r="H152" s="113">
        <v>12587</v>
      </c>
    </row>
    <row r="153" spans="1:8" x14ac:dyDescent="0.25">
      <c r="A153" s="118" t="s">
        <v>118</v>
      </c>
      <c r="B153" s="131" t="s">
        <v>119</v>
      </c>
      <c r="C153" s="120">
        <f t="shared" si="16"/>
        <v>449108</v>
      </c>
      <c r="D153" s="120">
        <f>SUM(D154+D155)</f>
        <v>442021</v>
      </c>
      <c r="E153" s="106">
        <f>SUM(E154+E155)</f>
        <v>0</v>
      </c>
      <c r="F153" s="106">
        <f>SUM(F154+F155)</f>
        <v>0</v>
      </c>
      <c r="G153" s="106">
        <f>SUM(G154+G155)</f>
        <v>0</v>
      </c>
      <c r="H153" s="106">
        <f>SUM(H154+H155)</f>
        <v>7087</v>
      </c>
    </row>
    <row r="154" spans="1:8" s="3" customFormat="1" x14ac:dyDescent="0.25">
      <c r="A154" s="117" t="s">
        <v>120</v>
      </c>
      <c r="B154" s="114" t="s">
        <v>122</v>
      </c>
      <c r="C154" s="112">
        <f t="shared" si="16"/>
        <v>246019</v>
      </c>
      <c r="D154" s="112">
        <v>244176</v>
      </c>
      <c r="E154" s="112">
        <v>0</v>
      </c>
      <c r="F154" s="112">
        <v>0</v>
      </c>
      <c r="G154" s="112">
        <v>0</v>
      </c>
      <c r="H154" s="113">
        <f>1784+59</f>
        <v>1843</v>
      </c>
    </row>
    <row r="155" spans="1:8" s="3" customFormat="1" x14ac:dyDescent="0.25">
      <c r="A155" s="117" t="s">
        <v>121</v>
      </c>
      <c r="B155" s="114" t="s">
        <v>286</v>
      </c>
      <c r="C155" s="112">
        <f t="shared" si="16"/>
        <v>203089</v>
      </c>
      <c r="D155" s="112">
        <v>197845</v>
      </c>
      <c r="E155" s="112">
        <v>0</v>
      </c>
      <c r="F155" s="112">
        <v>0</v>
      </c>
      <c r="G155" s="112">
        <v>0</v>
      </c>
      <c r="H155" s="113">
        <v>5244</v>
      </c>
    </row>
    <row r="156" spans="1:8" x14ac:dyDescent="0.25">
      <c r="A156" s="118" t="s">
        <v>94</v>
      </c>
      <c r="B156" s="131" t="s">
        <v>283</v>
      </c>
      <c r="C156" s="120">
        <f t="shared" si="16"/>
        <v>852234</v>
      </c>
      <c r="D156" s="120">
        <f>SUM(D157:D161)</f>
        <v>843667</v>
      </c>
      <c r="E156" s="106">
        <f>SUM(E157:E161)</f>
        <v>3094</v>
      </c>
      <c r="F156" s="106">
        <f>SUM(F157:F161)</f>
        <v>1600</v>
      </c>
      <c r="G156" s="106">
        <f>SUM(G157:G161)</f>
        <v>0</v>
      </c>
      <c r="H156" s="106">
        <f>SUM(H157:H161)</f>
        <v>3873</v>
      </c>
    </row>
    <row r="157" spans="1:8" s="3" customFormat="1" hidden="1" x14ac:dyDescent="0.25">
      <c r="A157" s="50"/>
      <c r="B157" s="51"/>
      <c r="C157" s="48">
        <f t="shared" si="16"/>
        <v>0</v>
      </c>
      <c r="D157" s="48"/>
      <c r="E157" s="49"/>
      <c r="F157" s="49"/>
      <c r="G157" s="49"/>
      <c r="H157" s="49"/>
    </row>
    <row r="158" spans="1:8" s="3" customFormat="1" ht="30" x14ac:dyDescent="0.25">
      <c r="A158" s="117" t="s">
        <v>157</v>
      </c>
      <c r="B158" s="114" t="s">
        <v>200</v>
      </c>
      <c r="C158" s="122">
        <f t="shared" si="16"/>
        <v>673725</v>
      </c>
      <c r="D158" s="112">
        <v>667772</v>
      </c>
      <c r="E158" s="112">
        <v>2134</v>
      </c>
      <c r="F158" s="112">
        <v>0</v>
      </c>
      <c r="G158" s="112">
        <v>0</v>
      </c>
      <c r="H158" s="112">
        <v>3819</v>
      </c>
    </row>
    <row r="159" spans="1:8" s="3" customFormat="1" ht="30" x14ac:dyDescent="0.25">
      <c r="A159" s="117" t="s">
        <v>123</v>
      </c>
      <c r="B159" s="114" t="s">
        <v>533</v>
      </c>
      <c r="C159" s="112">
        <f t="shared" si="16"/>
        <v>175949</v>
      </c>
      <c r="D159" s="112">
        <v>175895</v>
      </c>
      <c r="E159" s="112">
        <v>0</v>
      </c>
      <c r="F159" s="112">
        <v>0</v>
      </c>
      <c r="G159" s="112">
        <v>0</v>
      </c>
      <c r="H159" s="113">
        <v>54</v>
      </c>
    </row>
    <row r="160" spans="1:8" s="3" customFormat="1" hidden="1" x14ac:dyDescent="0.25">
      <c r="A160" s="50"/>
      <c r="B160" s="51"/>
      <c r="C160" s="48">
        <f t="shared" si="16"/>
        <v>0</v>
      </c>
      <c r="D160" s="48"/>
      <c r="E160" s="48"/>
      <c r="F160" s="48"/>
      <c r="G160" s="48"/>
      <c r="H160" s="48"/>
    </row>
    <row r="161" spans="1:8" s="3" customFormat="1" ht="45" x14ac:dyDescent="0.25">
      <c r="A161" s="117" t="s">
        <v>355</v>
      </c>
      <c r="B161" s="114" t="s">
        <v>369</v>
      </c>
      <c r="C161" s="112">
        <f t="shared" si="16"/>
        <v>2560</v>
      </c>
      <c r="D161" s="112">
        <v>0</v>
      </c>
      <c r="E161" s="112">
        <v>960</v>
      </c>
      <c r="F161" s="112">
        <v>1600</v>
      </c>
      <c r="G161" s="112">
        <v>0</v>
      </c>
      <c r="H161" s="112">
        <v>0</v>
      </c>
    </row>
    <row r="162" spans="1:8" s="3" customFormat="1" x14ac:dyDescent="0.25">
      <c r="A162" s="212" t="s">
        <v>273</v>
      </c>
      <c r="B162" s="119" t="s">
        <v>284</v>
      </c>
      <c r="C162" s="110">
        <f t="shared" si="16"/>
        <v>74089</v>
      </c>
      <c r="D162" s="110">
        <v>23000</v>
      </c>
      <c r="E162" s="110"/>
      <c r="F162" s="110">
        <v>50000</v>
      </c>
      <c r="G162" s="116"/>
      <c r="H162" s="116">
        <v>1089</v>
      </c>
    </row>
    <row r="163" spans="1:8" ht="30" x14ac:dyDescent="0.25">
      <c r="A163" s="212" t="s">
        <v>354</v>
      </c>
      <c r="B163" s="119" t="s">
        <v>534</v>
      </c>
      <c r="C163" s="110">
        <f t="shared" si="16"/>
        <v>390000</v>
      </c>
      <c r="D163" s="110">
        <v>390000</v>
      </c>
      <c r="E163" s="110">
        <v>0</v>
      </c>
      <c r="F163" s="110">
        <v>0</v>
      </c>
      <c r="G163" s="110">
        <v>0</v>
      </c>
      <c r="H163" s="110">
        <v>0</v>
      </c>
    </row>
    <row r="164" spans="1:8" ht="28.5" x14ac:dyDescent="0.25">
      <c r="A164" s="118" t="s">
        <v>95</v>
      </c>
      <c r="B164" s="131" t="s">
        <v>285</v>
      </c>
      <c r="C164" s="120">
        <f t="shared" si="16"/>
        <v>1020134</v>
      </c>
      <c r="D164" s="120">
        <f>SUM(D165:D171)</f>
        <v>1000849</v>
      </c>
      <c r="E164" s="106">
        <f>SUM(E165:E171)</f>
        <v>13600</v>
      </c>
      <c r="F164" s="106">
        <f>SUM(F165:F171)</f>
        <v>0</v>
      </c>
      <c r="G164" s="106">
        <f>SUM(G165:G171)</f>
        <v>100</v>
      </c>
      <c r="H164" s="106">
        <f>SUM(H165:H171)</f>
        <v>5585</v>
      </c>
    </row>
    <row r="165" spans="1:8" s="3" customFormat="1" x14ac:dyDescent="0.25">
      <c r="A165" s="117" t="s">
        <v>124</v>
      </c>
      <c r="B165" s="114" t="s">
        <v>128</v>
      </c>
      <c r="C165" s="112">
        <f t="shared" si="16"/>
        <v>8719</v>
      </c>
      <c r="D165" s="112">
        <v>8719</v>
      </c>
      <c r="E165" s="112">
        <v>0</v>
      </c>
      <c r="F165" s="112">
        <v>0</v>
      </c>
      <c r="G165" s="112">
        <v>0</v>
      </c>
      <c r="H165" s="112">
        <v>0</v>
      </c>
    </row>
    <row r="166" spans="1:8" s="3" customFormat="1" ht="15.75" hidden="1" customHeight="1" x14ac:dyDescent="0.25">
      <c r="A166" s="108"/>
      <c r="B166" s="109"/>
      <c r="C166" s="113"/>
      <c r="D166" s="113"/>
      <c r="E166" s="113"/>
      <c r="F166" s="113"/>
      <c r="G166" s="113"/>
      <c r="H166" s="113"/>
    </row>
    <row r="167" spans="1:8" s="3" customFormat="1" ht="30" x14ac:dyDescent="0.25">
      <c r="A167" s="108" t="s">
        <v>125</v>
      </c>
      <c r="B167" s="109" t="s">
        <v>129</v>
      </c>
      <c r="C167" s="113">
        <f t="shared" si="16"/>
        <v>91699</v>
      </c>
      <c r="D167" s="113">
        <v>91699</v>
      </c>
      <c r="E167" s="112">
        <v>0</v>
      </c>
      <c r="F167" s="112">
        <v>0</v>
      </c>
      <c r="G167" s="112">
        <v>0</v>
      </c>
      <c r="H167" s="112">
        <v>0</v>
      </c>
    </row>
    <row r="168" spans="1:8" s="3" customFormat="1" x14ac:dyDescent="0.25">
      <c r="A168" s="108" t="s">
        <v>329</v>
      </c>
      <c r="B168" s="114" t="s">
        <v>327</v>
      </c>
      <c r="C168" s="113">
        <f t="shared" si="16"/>
        <v>92506</v>
      </c>
      <c r="D168" s="113">
        <v>87850</v>
      </c>
      <c r="E168" s="113">
        <v>4000</v>
      </c>
      <c r="F168" s="112">
        <v>0</v>
      </c>
      <c r="G168" s="112">
        <v>0</v>
      </c>
      <c r="H168" s="113">
        <f>643+13</f>
        <v>656</v>
      </c>
    </row>
    <row r="169" spans="1:8" s="3" customFormat="1" ht="30" x14ac:dyDescent="0.25">
      <c r="A169" s="117" t="s">
        <v>126</v>
      </c>
      <c r="B169" s="114" t="s">
        <v>535</v>
      </c>
      <c r="C169" s="112">
        <f t="shared" si="16"/>
        <v>711500</v>
      </c>
      <c r="D169" s="112">
        <v>700126</v>
      </c>
      <c r="E169" s="112">
        <v>6500</v>
      </c>
      <c r="F169" s="112">
        <v>0</v>
      </c>
      <c r="G169" s="112">
        <v>0</v>
      </c>
      <c r="H169" s="112">
        <f>3933+941</f>
        <v>4874</v>
      </c>
    </row>
    <row r="170" spans="1:8" s="3" customFormat="1" x14ac:dyDescent="0.25">
      <c r="A170" s="108" t="s">
        <v>127</v>
      </c>
      <c r="B170" s="109" t="s">
        <v>430</v>
      </c>
      <c r="C170" s="113">
        <f t="shared" si="16"/>
        <v>17158</v>
      </c>
      <c r="D170" s="113">
        <v>14158</v>
      </c>
      <c r="E170" s="113">
        <v>3000</v>
      </c>
      <c r="F170" s="112">
        <v>0</v>
      </c>
      <c r="G170" s="112">
        <v>0</v>
      </c>
      <c r="H170" s="112">
        <v>0</v>
      </c>
    </row>
    <row r="171" spans="1:8" s="3" customFormat="1" ht="30" x14ac:dyDescent="0.25">
      <c r="A171" s="108" t="s">
        <v>291</v>
      </c>
      <c r="B171" s="114" t="s">
        <v>536</v>
      </c>
      <c r="C171" s="113">
        <f t="shared" si="16"/>
        <v>98552</v>
      </c>
      <c r="D171" s="113">
        <v>98297</v>
      </c>
      <c r="E171" s="113">
        <v>100</v>
      </c>
      <c r="F171" s="112">
        <v>0</v>
      </c>
      <c r="G171" s="113">
        <v>100</v>
      </c>
      <c r="H171" s="113">
        <v>55</v>
      </c>
    </row>
    <row r="172" spans="1:8" x14ac:dyDescent="0.25">
      <c r="A172" s="104" t="s">
        <v>310</v>
      </c>
      <c r="B172" s="105" t="s">
        <v>507</v>
      </c>
      <c r="C172" s="106">
        <f>D172+E172+F172+G172+H172</f>
        <v>1302948</v>
      </c>
      <c r="D172" s="106">
        <f>SUM(D173:D176)</f>
        <v>1246696</v>
      </c>
      <c r="E172" s="106">
        <f>SUM(E173:E176)</f>
        <v>500</v>
      </c>
      <c r="F172" s="106">
        <f>SUM(F173:F176)</f>
        <v>23952</v>
      </c>
      <c r="G172" s="106">
        <f>SUM(G173:G176)</f>
        <v>0</v>
      </c>
      <c r="H172" s="106">
        <f>SUM(H173:H176)</f>
        <v>31800</v>
      </c>
    </row>
    <row r="173" spans="1:8" ht="30" x14ac:dyDescent="0.25">
      <c r="A173" s="108" t="s">
        <v>334</v>
      </c>
      <c r="B173" s="109" t="s">
        <v>538</v>
      </c>
      <c r="C173" s="113">
        <f t="shared" si="16"/>
        <v>1049748</v>
      </c>
      <c r="D173" s="113">
        <v>1022410</v>
      </c>
      <c r="E173" s="113">
        <v>500</v>
      </c>
      <c r="F173" s="113">
        <v>23952</v>
      </c>
      <c r="G173" s="112">
        <v>0</v>
      </c>
      <c r="H173" s="113">
        <f>2620+266</f>
        <v>2886</v>
      </c>
    </row>
    <row r="174" spans="1:8" hidden="1" x14ac:dyDescent="0.25">
      <c r="A174" s="52"/>
      <c r="B174" s="54"/>
      <c r="C174" s="53">
        <f>SUM(D174+E174+F174+G174+H174)</f>
        <v>0</v>
      </c>
      <c r="D174" s="53"/>
      <c r="E174" s="53"/>
      <c r="F174" s="53"/>
      <c r="G174" s="53"/>
      <c r="H174" s="53"/>
    </row>
    <row r="175" spans="1:8" ht="30" x14ac:dyDescent="0.25">
      <c r="A175" s="108" t="s">
        <v>312</v>
      </c>
      <c r="B175" s="109" t="s">
        <v>311</v>
      </c>
      <c r="C175" s="113">
        <f t="shared" si="16"/>
        <v>8200</v>
      </c>
      <c r="D175" s="113">
        <v>8200</v>
      </c>
      <c r="E175" s="112">
        <v>0</v>
      </c>
      <c r="F175" s="112">
        <v>0</v>
      </c>
      <c r="G175" s="112">
        <v>0</v>
      </c>
      <c r="H175" s="112">
        <v>0</v>
      </c>
    </row>
    <row r="176" spans="1:8" ht="30" x14ac:dyDescent="0.25">
      <c r="A176" s="108" t="s">
        <v>293</v>
      </c>
      <c r="B176" s="109" t="s">
        <v>313</v>
      </c>
      <c r="C176" s="113">
        <f t="shared" si="16"/>
        <v>245000</v>
      </c>
      <c r="D176" s="113">
        <v>216086</v>
      </c>
      <c r="E176" s="112">
        <v>0</v>
      </c>
      <c r="F176" s="112">
        <v>0</v>
      </c>
      <c r="G176" s="112">
        <v>0</v>
      </c>
      <c r="H176" s="113">
        <v>28914</v>
      </c>
    </row>
    <row r="177" spans="1:9" s="17" customFormat="1" x14ac:dyDescent="0.25">
      <c r="A177" s="81"/>
      <c r="B177" s="102" t="s">
        <v>53</v>
      </c>
      <c r="C177" s="103">
        <f>SUM(D177+E177+F177+G177+H177)+C185</f>
        <v>6151062</v>
      </c>
      <c r="D177" s="103">
        <f>SUM(D178+D179)</f>
        <v>467128</v>
      </c>
      <c r="E177" s="103">
        <f>SUM(E178+E179)</f>
        <v>0</v>
      </c>
      <c r="F177" s="103">
        <f>SUM(F178+F179)</f>
        <v>2761444</v>
      </c>
      <c r="G177" s="103">
        <f>SUM(G178+G179)</f>
        <v>0</v>
      </c>
      <c r="H177" s="103">
        <f>SUM(H178+H179)</f>
        <v>2093517</v>
      </c>
      <c r="I177" s="26"/>
    </row>
    <row r="178" spans="1:9" x14ac:dyDescent="0.25">
      <c r="A178" s="124" t="s">
        <v>180</v>
      </c>
      <c r="B178" s="131" t="s">
        <v>181</v>
      </c>
      <c r="C178" s="120">
        <f t="shared" si="16"/>
        <v>4854961</v>
      </c>
      <c r="D178" s="120">
        <v>0</v>
      </c>
      <c r="E178" s="120"/>
      <c r="F178" s="120">
        <v>2761444</v>
      </c>
      <c r="G178" s="120"/>
      <c r="H178" s="120">
        <v>2093517</v>
      </c>
      <c r="I178" s="10"/>
    </row>
    <row r="179" spans="1:9" s="17" customFormat="1" ht="17.25" customHeight="1" x14ac:dyDescent="0.25">
      <c r="A179" s="124" t="s">
        <v>98</v>
      </c>
      <c r="B179" s="131" t="s">
        <v>182</v>
      </c>
      <c r="C179" s="120">
        <f t="shared" si="16"/>
        <v>467128</v>
      </c>
      <c r="D179" s="106">
        <f>D182+D180+D181+D183+D184</f>
        <v>467128</v>
      </c>
      <c r="E179" s="106">
        <f t="shared" ref="E179:H179" si="21">E182+E180+E181+E183+E184</f>
        <v>0</v>
      </c>
      <c r="F179" s="106">
        <f t="shared" si="21"/>
        <v>0</v>
      </c>
      <c r="G179" s="106">
        <f t="shared" si="21"/>
        <v>0</v>
      </c>
      <c r="H179" s="106">
        <f t="shared" si="21"/>
        <v>0</v>
      </c>
      <c r="I179" s="26"/>
    </row>
    <row r="180" spans="1:9" s="32" customFormat="1" ht="30" hidden="1" x14ac:dyDescent="0.25">
      <c r="A180" s="124"/>
      <c r="B180" s="114" t="s">
        <v>318</v>
      </c>
      <c r="C180" s="122">
        <f t="shared" si="16"/>
        <v>0</v>
      </c>
      <c r="D180" s="112"/>
      <c r="E180" s="120"/>
      <c r="F180" s="120"/>
      <c r="G180" s="120"/>
      <c r="H180" s="120"/>
      <c r="I180" s="31"/>
    </row>
    <row r="181" spans="1:9" s="32" customFormat="1" ht="21.75" hidden="1" customHeight="1" x14ac:dyDescent="0.25">
      <c r="A181" s="124"/>
      <c r="B181" s="114" t="s">
        <v>431</v>
      </c>
      <c r="C181" s="122">
        <f t="shared" si="16"/>
        <v>0</v>
      </c>
      <c r="D181" s="112"/>
      <c r="E181" s="120"/>
      <c r="F181" s="120"/>
      <c r="G181" s="120"/>
      <c r="H181" s="120"/>
    </row>
    <row r="182" spans="1:9" ht="30" x14ac:dyDescent="0.25">
      <c r="A182" s="124"/>
      <c r="B182" s="114" t="s">
        <v>148</v>
      </c>
      <c r="C182" s="122">
        <f t="shared" si="16"/>
        <v>467128</v>
      </c>
      <c r="D182" s="112">
        <v>467128</v>
      </c>
      <c r="E182" s="112">
        <v>0</v>
      </c>
      <c r="F182" s="112">
        <v>0</v>
      </c>
      <c r="G182" s="112">
        <v>0</v>
      </c>
      <c r="H182" s="112">
        <v>0</v>
      </c>
    </row>
    <row r="183" spans="1:9" ht="30" hidden="1" x14ac:dyDescent="0.25">
      <c r="A183" s="124"/>
      <c r="B183" s="114" t="s">
        <v>435</v>
      </c>
      <c r="C183" s="122">
        <f t="shared" ref="C183" si="22">SUM(D183+E183+F183+G183+H183)</f>
        <v>0</v>
      </c>
      <c r="D183" s="112"/>
      <c r="E183" s="123"/>
      <c r="F183" s="123"/>
      <c r="G183" s="123"/>
      <c r="H183" s="123"/>
    </row>
    <row r="184" spans="1:9" ht="30" hidden="1" x14ac:dyDescent="0.25">
      <c r="A184" s="124"/>
      <c r="B184" s="114" t="s">
        <v>319</v>
      </c>
      <c r="C184" s="122">
        <f t="shared" ref="C184" si="23">SUM(D184+E184+F184+G184+H184)</f>
        <v>0</v>
      </c>
      <c r="D184" s="112"/>
      <c r="E184" s="123"/>
      <c r="F184" s="123"/>
      <c r="G184" s="123"/>
      <c r="H184" s="123"/>
    </row>
    <row r="185" spans="1:9" x14ac:dyDescent="0.25">
      <c r="A185" s="124" t="s">
        <v>178</v>
      </c>
      <c r="B185" s="203" t="s">
        <v>356</v>
      </c>
      <c r="C185" s="120">
        <f>832073-3100</f>
        <v>828973</v>
      </c>
      <c r="D185" s="122">
        <v>0</v>
      </c>
      <c r="E185" s="122">
        <v>0</v>
      </c>
      <c r="F185" s="122">
        <v>0</v>
      </c>
      <c r="G185" s="122">
        <v>0</v>
      </c>
      <c r="H185" s="122">
        <v>0</v>
      </c>
    </row>
    <row r="186" spans="1:9" x14ac:dyDescent="0.25">
      <c r="A186" s="204"/>
      <c r="B186" s="102" t="s">
        <v>76</v>
      </c>
      <c r="C186" s="103">
        <f t="shared" ref="C186:H186" si="24">SUM(C177+C9)</f>
        <v>71479249</v>
      </c>
      <c r="D186" s="103">
        <f t="shared" si="24"/>
        <v>52307608</v>
      </c>
      <c r="E186" s="103">
        <f t="shared" si="24"/>
        <v>1605978</v>
      </c>
      <c r="F186" s="103">
        <f t="shared" si="24"/>
        <v>11847867</v>
      </c>
      <c r="G186" s="103">
        <f t="shared" si="24"/>
        <v>691276</v>
      </c>
      <c r="H186" s="103">
        <f t="shared" si="24"/>
        <v>4197547</v>
      </c>
    </row>
    <row r="187" spans="1:9" s="21" customFormat="1" x14ac:dyDescent="0.25">
      <c r="A187" s="55"/>
      <c r="B187" s="56"/>
      <c r="C187" s="57"/>
      <c r="D187" s="58"/>
      <c r="E187" s="58"/>
      <c r="F187" s="55"/>
      <c r="G187" s="55"/>
      <c r="H187" s="57"/>
    </row>
    <row r="188" spans="1:9" x14ac:dyDescent="0.25">
      <c r="A188" s="44"/>
      <c r="B188" s="45"/>
      <c r="C188" s="59"/>
      <c r="D188" s="60"/>
      <c r="E188" s="44"/>
      <c r="F188" s="44"/>
      <c r="G188" s="44"/>
      <c r="H188" s="44"/>
    </row>
    <row r="189" spans="1:9" s="21" customFormat="1" ht="18.75" x14ac:dyDescent="0.3">
      <c r="A189" s="206" t="s">
        <v>27</v>
      </c>
      <c r="B189" s="207"/>
      <c r="C189" s="29"/>
      <c r="D189" s="208"/>
      <c r="E189" s="206"/>
      <c r="F189" s="206"/>
      <c r="G189" s="206"/>
      <c r="H189" s="28" t="s">
        <v>83</v>
      </c>
    </row>
    <row r="190" spans="1:9" x14ac:dyDescent="0.25">
      <c r="C190" s="23"/>
      <c r="D190" s="24"/>
      <c r="E190" s="11"/>
      <c r="F190" s="11"/>
      <c r="G190" s="11"/>
      <c r="H190" s="11"/>
    </row>
    <row r="191" spans="1:9" x14ac:dyDescent="0.25">
      <c r="C191" s="11"/>
      <c r="D191" s="24"/>
      <c r="E191" s="11"/>
      <c r="F191" s="11"/>
      <c r="G191" s="11"/>
      <c r="H191" s="11"/>
    </row>
    <row r="192" spans="1:9" x14ac:dyDescent="0.25">
      <c r="C192" s="11"/>
      <c r="D192" s="24"/>
      <c r="E192" s="23"/>
      <c r="F192" s="11"/>
      <c r="G192" s="11"/>
      <c r="H192" s="11"/>
    </row>
    <row r="193" spans="3:3" x14ac:dyDescent="0.25">
      <c r="C193" s="20"/>
    </row>
  </sheetData>
  <mergeCells count="6">
    <mergeCell ref="A4:H4"/>
    <mergeCell ref="A5:H5"/>
    <mergeCell ref="D7:H7"/>
    <mergeCell ref="A7:A8"/>
    <mergeCell ref="B7:B8"/>
    <mergeCell ref="C7:C8"/>
  </mergeCells>
  <phoneticPr fontId="0" type="noConversion"/>
  <printOptions horizontalCentered="1"/>
  <pageMargins left="0.78740157480314965" right="0.78740157480314965" top="0.78740157480314965" bottom="0.78740157480314965" header="0.19685039370078741" footer="0.19685039370078741"/>
  <pageSetup paperSize="9" scale="92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711"/>
  <sheetViews>
    <sheetView showGridLines="0" topLeftCell="A142" workbookViewId="0">
      <selection activeCell="M173" sqref="M173"/>
    </sheetView>
  </sheetViews>
  <sheetFormatPr defaultRowHeight="12.75" x14ac:dyDescent="0.2"/>
  <cols>
    <col min="1" max="1" width="1.7109375" style="214" customWidth="1"/>
    <col min="2" max="2" width="3.85546875" style="214" customWidth="1"/>
    <col min="3" max="3" width="35.28515625" style="214" customWidth="1"/>
    <col min="4" max="4" width="24.7109375" style="214" customWidth="1"/>
    <col min="5" max="5" width="5.7109375" style="214" customWidth="1"/>
    <col min="6" max="7" width="3.28515625" style="214" customWidth="1"/>
    <col min="8" max="8" width="12.140625" style="214" customWidth="1"/>
    <col min="9" max="9" width="1.140625" style="214" customWidth="1"/>
    <col min="10" max="10" width="2.85546875" style="214" customWidth="1"/>
    <col min="11" max="16384" width="9.140625" style="214"/>
  </cols>
  <sheetData>
    <row r="1" spans="1:9" ht="15" x14ac:dyDescent="0.25">
      <c r="B1" s="246" t="s">
        <v>164</v>
      </c>
    </row>
    <row r="2" spans="1:9" ht="14.25" customHeight="1" x14ac:dyDescent="0.2">
      <c r="H2" s="217" t="s">
        <v>605</v>
      </c>
    </row>
    <row r="3" spans="1:9" ht="18" customHeight="1" x14ac:dyDescent="0.2">
      <c r="D3" s="561" t="s">
        <v>441</v>
      </c>
      <c r="E3" s="542"/>
      <c r="F3" s="542"/>
      <c r="G3" s="542"/>
      <c r="H3" s="542"/>
    </row>
    <row r="4" spans="1:9" ht="18" customHeight="1" x14ac:dyDescent="0.2">
      <c r="D4" s="561" t="s">
        <v>606</v>
      </c>
      <c r="E4" s="542"/>
      <c r="F4" s="542"/>
      <c r="G4" s="542"/>
      <c r="H4" s="542"/>
    </row>
    <row r="5" spans="1:9" ht="27" customHeight="1" x14ac:dyDescent="0.2"/>
    <row r="6" spans="1:9" ht="71.25" customHeight="1" x14ac:dyDescent="0.2">
      <c r="B6" s="562" t="s">
        <v>604</v>
      </c>
      <c r="C6" s="563"/>
      <c r="D6" s="563"/>
      <c r="E6" s="563"/>
      <c r="F6" s="563"/>
      <c r="G6" s="563"/>
      <c r="H6" s="563"/>
      <c r="I6" s="563"/>
    </row>
    <row r="7" spans="1:9" ht="28.5" customHeight="1" x14ac:dyDescent="0.2">
      <c r="A7" s="564" t="s">
        <v>372</v>
      </c>
      <c r="B7" s="565"/>
      <c r="C7" s="565"/>
      <c r="D7" s="565"/>
      <c r="E7" s="566"/>
      <c r="F7" s="564" t="s">
        <v>465</v>
      </c>
      <c r="G7" s="565"/>
      <c r="H7" s="565"/>
      <c r="I7" s="566"/>
    </row>
    <row r="8" spans="1:9" ht="9" customHeight="1" x14ac:dyDescent="0.2"/>
    <row r="9" spans="1:9" ht="15.75" customHeight="1" x14ac:dyDescent="0.2">
      <c r="A9" s="546" t="s">
        <v>603</v>
      </c>
      <c r="B9" s="540"/>
      <c r="C9" s="540"/>
      <c r="D9" s="540"/>
      <c r="E9" s="540"/>
      <c r="F9" s="540"/>
      <c r="G9" s="540"/>
      <c r="H9" s="540"/>
    </row>
    <row r="10" spans="1:9" ht="15" customHeight="1" x14ac:dyDescent="0.2">
      <c r="A10" s="247"/>
      <c r="B10" s="247"/>
      <c r="C10" s="547" t="s">
        <v>373</v>
      </c>
      <c r="D10" s="540"/>
      <c r="E10" s="540"/>
      <c r="F10" s="247"/>
      <c r="G10" s="548">
        <v>15199096</v>
      </c>
      <c r="H10" s="542"/>
    </row>
    <row r="11" spans="1:9" ht="15" customHeight="1" x14ac:dyDescent="0.2">
      <c r="A11" s="247"/>
      <c r="B11" s="247"/>
      <c r="C11" s="547" t="s">
        <v>548</v>
      </c>
      <c r="D11" s="540"/>
      <c r="E11" s="540"/>
      <c r="F11" s="247"/>
      <c r="G11" s="548">
        <v>3201139</v>
      </c>
      <c r="H11" s="542"/>
    </row>
    <row r="12" spans="1:9" ht="15" customHeight="1" x14ac:dyDescent="0.2">
      <c r="A12" s="247"/>
      <c r="B12" s="247"/>
      <c r="C12" s="547" t="s">
        <v>547</v>
      </c>
      <c r="D12" s="540"/>
      <c r="E12" s="540"/>
      <c r="F12" s="247"/>
      <c r="G12" s="548">
        <v>1946511</v>
      </c>
      <c r="H12" s="542"/>
    </row>
    <row r="13" spans="1:9" ht="15" customHeight="1" x14ac:dyDescent="0.2">
      <c r="A13" s="247"/>
      <c r="B13" s="247"/>
      <c r="C13" s="547" t="s">
        <v>546</v>
      </c>
      <c r="D13" s="540"/>
      <c r="E13" s="540"/>
      <c r="F13" s="247"/>
      <c r="G13" s="548">
        <v>57686</v>
      </c>
      <c r="H13" s="542"/>
    </row>
    <row r="14" spans="1:9" ht="15" customHeight="1" x14ac:dyDescent="0.2">
      <c r="A14" s="247"/>
      <c r="B14" s="247"/>
      <c r="C14" s="547" t="s">
        <v>544</v>
      </c>
      <c r="D14" s="540"/>
      <c r="E14" s="540"/>
      <c r="F14" s="247"/>
      <c r="G14" s="548">
        <v>9896126</v>
      </c>
      <c r="H14" s="542"/>
    </row>
    <row r="15" spans="1:9" ht="30" customHeight="1" x14ac:dyDescent="0.2">
      <c r="A15" s="247"/>
      <c r="B15" s="247"/>
      <c r="C15" s="547" t="s">
        <v>542</v>
      </c>
      <c r="D15" s="540"/>
      <c r="E15" s="540"/>
      <c r="F15" s="247"/>
      <c r="G15" s="548">
        <v>97634</v>
      </c>
      <c r="H15" s="542"/>
    </row>
    <row r="16" spans="1:9" ht="9" customHeight="1" x14ac:dyDescent="0.2"/>
    <row r="17" spans="1:8" ht="15.75" customHeight="1" x14ac:dyDescent="0.2">
      <c r="A17" s="543" t="s">
        <v>374</v>
      </c>
      <c r="B17" s="540"/>
      <c r="C17" s="540"/>
      <c r="D17" s="540"/>
      <c r="E17" s="540"/>
      <c r="F17" s="540"/>
      <c r="G17" s="540"/>
      <c r="H17" s="540"/>
    </row>
    <row r="18" spans="1:8" ht="15" customHeight="1" x14ac:dyDescent="0.2">
      <c r="C18" s="539" t="s">
        <v>373</v>
      </c>
      <c r="D18" s="540"/>
      <c r="E18" s="540"/>
      <c r="F18" s="215"/>
      <c r="G18" s="541">
        <v>3724965</v>
      </c>
      <c r="H18" s="542"/>
    </row>
    <row r="19" spans="1:8" ht="15" customHeight="1" x14ac:dyDescent="0.2">
      <c r="C19" s="544" t="s">
        <v>548</v>
      </c>
      <c r="D19" s="540"/>
      <c r="E19" s="540"/>
      <c r="G19" s="545">
        <v>3093679</v>
      </c>
      <c r="H19" s="542"/>
    </row>
    <row r="20" spans="1:8" ht="15" customHeight="1" x14ac:dyDescent="0.2">
      <c r="C20" s="544" t="s">
        <v>547</v>
      </c>
      <c r="D20" s="540"/>
      <c r="E20" s="540"/>
      <c r="G20" s="545">
        <v>618286</v>
      </c>
      <c r="H20" s="542"/>
    </row>
    <row r="21" spans="1:8" ht="15" customHeight="1" x14ac:dyDescent="0.2">
      <c r="C21" s="544" t="s">
        <v>544</v>
      </c>
      <c r="D21" s="540"/>
      <c r="E21" s="540"/>
      <c r="G21" s="545">
        <v>13000</v>
      </c>
      <c r="H21" s="542"/>
    </row>
    <row r="22" spans="1:8" ht="9" customHeight="1" x14ac:dyDescent="0.2"/>
    <row r="23" spans="1:8" ht="31.5" customHeight="1" x14ac:dyDescent="0.2">
      <c r="A23" s="543" t="s">
        <v>602</v>
      </c>
      <c r="B23" s="540"/>
      <c r="C23" s="540"/>
      <c r="D23" s="540"/>
      <c r="E23" s="540"/>
      <c r="F23" s="540"/>
      <c r="G23" s="540"/>
      <c r="H23" s="540"/>
    </row>
    <row r="24" spans="1:8" ht="15" customHeight="1" x14ac:dyDescent="0.2">
      <c r="C24" s="539" t="s">
        <v>373</v>
      </c>
      <c r="D24" s="540"/>
      <c r="E24" s="540"/>
      <c r="F24" s="215"/>
      <c r="G24" s="541">
        <v>118406</v>
      </c>
      <c r="H24" s="542"/>
    </row>
    <row r="25" spans="1:8" ht="15" customHeight="1" x14ac:dyDescent="0.2">
      <c r="C25" s="544" t="s">
        <v>548</v>
      </c>
      <c r="D25" s="540"/>
      <c r="E25" s="540"/>
      <c r="G25" s="545">
        <v>3050</v>
      </c>
      <c r="H25" s="542"/>
    </row>
    <row r="26" spans="1:8" ht="15" customHeight="1" x14ac:dyDescent="0.2">
      <c r="C26" s="544" t="s">
        <v>547</v>
      </c>
      <c r="D26" s="540"/>
      <c r="E26" s="540"/>
      <c r="G26" s="545">
        <v>17722</v>
      </c>
      <c r="H26" s="542"/>
    </row>
    <row r="27" spans="1:8" ht="30" customHeight="1" x14ac:dyDescent="0.2">
      <c r="C27" s="544" t="s">
        <v>542</v>
      </c>
      <c r="D27" s="540"/>
      <c r="E27" s="540"/>
      <c r="G27" s="545">
        <v>97634</v>
      </c>
      <c r="H27" s="542"/>
    </row>
    <row r="28" spans="1:8" ht="9" customHeight="1" x14ac:dyDescent="0.2"/>
    <row r="29" spans="1:8" ht="31.5" customHeight="1" x14ac:dyDescent="0.2">
      <c r="A29" s="543" t="s">
        <v>601</v>
      </c>
      <c r="B29" s="540"/>
      <c r="C29" s="540"/>
      <c r="D29" s="540"/>
      <c r="E29" s="540"/>
      <c r="F29" s="540"/>
      <c r="G29" s="540"/>
      <c r="H29" s="540"/>
    </row>
    <row r="30" spans="1:8" ht="15" customHeight="1" x14ac:dyDescent="0.2">
      <c r="C30" s="539" t="s">
        <v>373</v>
      </c>
      <c r="D30" s="540"/>
      <c r="E30" s="540"/>
      <c r="F30" s="215"/>
      <c r="G30" s="541">
        <v>9074</v>
      </c>
      <c r="H30" s="542"/>
    </row>
    <row r="31" spans="1:8" ht="15" customHeight="1" x14ac:dyDescent="0.2">
      <c r="C31" s="544" t="s">
        <v>548</v>
      </c>
      <c r="D31" s="540"/>
      <c r="E31" s="540"/>
      <c r="G31" s="545">
        <v>7574</v>
      </c>
      <c r="H31" s="542"/>
    </row>
    <row r="32" spans="1:8" ht="15" customHeight="1" x14ac:dyDescent="0.2">
      <c r="C32" s="544" t="s">
        <v>547</v>
      </c>
      <c r="D32" s="540"/>
      <c r="E32" s="540"/>
      <c r="G32" s="545">
        <v>1500</v>
      </c>
      <c r="H32" s="542"/>
    </row>
    <row r="33" spans="1:8" ht="9" customHeight="1" x14ac:dyDescent="0.2"/>
    <row r="34" spans="1:8" ht="15.75" customHeight="1" x14ac:dyDescent="0.2">
      <c r="A34" s="543" t="s">
        <v>375</v>
      </c>
      <c r="B34" s="540"/>
      <c r="C34" s="540"/>
      <c r="D34" s="540"/>
      <c r="E34" s="540"/>
      <c r="F34" s="540"/>
      <c r="G34" s="540"/>
      <c r="H34" s="540"/>
    </row>
    <row r="35" spans="1:8" ht="15" customHeight="1" x14ac:dyDescent="0.2">
      <c r="C35" s="539" t="s">
        <v>373</v>
      </c>
      <c r="D35" s="540"/>
      <c r="E35" s="540"/>
      <c r="F35" s="215"/>
      <c r="G35" s="541">
        <v>81700</v>
      </c>
      <c r="H35" s="542"/>
    </row>
    <row r="36" spans="1:8" ht="15" customHeight="1" x14ac:dyDescent="0.2">
      <c r="C36" s="544" t="s">
        <v>547</v>
      </c>
      <c r="D36" s="540"/>
      <c r="E36" s="540"/>
      <c r="G36" s="545">
        <v>81700</v>
      </c>
      <c r="H36" s="542"/>
    </row>
    <row r="37" spans="1:8" ht="9" customHeight="1" x14ac:dyDescent="0.2"/>
    <row r="38" spans="1:8" ht="15.75" customHeight="1" x14ac:dyDescent="0.2">
      <c r="A38" s="543" t="s">
        <v>376</v>
      </c>
      <c r="B38" s="540"/>
      <c r="C38" s="540"/>
      <c r="D38" s="540"/>
      <c r="E38" s="540"/>
      <c r="F38" s="540"/>
      <c r="G38" s="540"/>
      <c r="H38" s="540"/>
    </row>
    <row r="39" spans="1:8" ht="15" customHeight="1" x14ac:dyDescent="0.2">
      <c r="C39" s="539" t="s">
        <v>373</v>
      </c>
      <c r="D39" s="540"/>
      <c r="E39" s="540"/>
      <c r="F39" s="215"/>
      <c r="G39" s="541">
        <v>493273</v>
      </c>
      <c r="H39" s="542"/>
    </row>
    <row r="40" spans="1:8" ht="15" customHeight="1" x14ac:dyDescent="0.2">
      <c r="C40" s="544" t="s">
        <v>547</v>
      </c>
      <c r="D40" s="540"/>
      <c r="E40" s="540"/>
      <c r="G40" s="545">
        <v>330873</v>
      </c>
      <c r="H40" s="542"/>
    </row>
    <row r="41" spans="1:8" ht="15" customHeight="1" x14ac:dyDescent="0.2">
      <c r="C41" s="544" t="s">
        <v>544</v>
      </c>
      <c r="D41" s="540"/>
      <c r="E41" s="540"/>
      <c r="G41" s="545">
        <v>162400</v>
      </c>
      <c r="H41" s="542"/>
    </row>
    <row r="42" spans="1:8" ht="9" customHeight="1" x14ac:dyDescent="0.2"/>
    <row r="43" spans="1:8" ht="31.5" customHeight="1" x14ac:dyDescent="0.2">
      <c r="A43" s="543" t="s">
        <v>600</v>
      </c>
      <c r="B43" s="540"/>
      <c r="C43" s="540"/>
      <c r="D43" s="540"/>
      <c r="E43" s="540"/>
      <c r="F43" s="540"/>
      <c r="G43" s="540"/>
      <c r="H43" s="540"/>
    </row>
    <row r="44" spans="1:8" ht="15" customHeight="1" x14ac:dyDescent="0.2">
      <c r="C44" s="539" t="s">
        <v>373</v>
      </c>
      <c r="D44" s="540"/>
      <c r="E44" s="540"/>
      <c r="F44" s="215"/>
      <c r="G44" s="541">
        <v>156009</v>
      </c>
      <c r="H44" s="542"/>
    </row>
    <row r="45" spans="1:8" ht="15" customHeight="1" x14ac:dyDescent="0.2">
      <c r="C45" s="544" t="s">
        <v>547</v>
      </c>
      <c r="D45" s="540"/>
      <c r="E45" s="540"/>
      <c r="G45" s="545">
        <v>9480</v>
      </c>
      <c r="H45" s="542"/>
    </row>
    <row r="46" spans="1:8" ht="15" customHeight="1" x14ac:dyDescent="0.2">
      <c r="C46" s="544" t="s">
        <v>544</v>
      </c>
      <c r="D46" s="540"/>
      <c r="E46" s="540"/>
      <c r="G46" s="545">
        <v>146529</v>
      </c>
      <c r="H46" s="542"/>
    </row>
    <row r="48" spans="1:8" ht="15.75" customHeight="1" x14ac:dyDescent="0.2">
      <c r="A48" s="543" t="s">
        <v>599</v>
      </c>
      <c r="B48" s="540"/>
      <c r="C48" s="540"/>
      <c r="D48" s="540"/>
      <c r="E48" s="540"/>
      <c r="F48" s="540"/>
      <c r="G48" s="540"/>
      <c r="H48" s="540"/>
    </row>
    <row r="49" spans="1:8" ht="15" customHeight="1" x14ac:dyDescent="0.2">
      <c r="C49" s="539" t="s">
        <v>373</v>
      </c>
      <c r="D49" s="540"/>
      <c r="E49" s="540"/>
      <c r="F49" s="215"/>
      <c r="G49" s="541">
        <v>103871</v>
      </c>
      <c r="H49" s="542"/>
    </row>
    <row r="50" spans="1:8" ht="15" customHeight="1" x14ac:dyDescent="0.2">
      <c r="C50" s="544" t="s">
        <v>547</v>
      </c>
      <c r="D50" s="540"/>
      <c r="E50" s="540"/>
      <c r="G50" s="545">
        <v>8026</v>
      </c>
      <c r="H50" s="542"/>
    </row>
    <row r="51" spans="1:8" ht="15" customHeight="1" x14ac:dyDescent="0.2">
      <c r="C51" s="544" t="s">
        <v>544</v>
      </c>
      <c r="D51" s="540"/>
      <c r="E51" s="540"/>
      <c r="G51" s="545">
        <v>95845</v>
      </c>
      <c r="H51" s="542"/>
    </row>
    <row r="52" spans="1:8" ht="9" customHeight="1" x14ac:dyDescent="0.2"/>
    <row r="53" spans="1:8" ht="31.5" customHeight="1" x14ac:dyDescent="0.2">
      <c r="A53" s="543" t="s">
        <v>598</v>
      </c>
      <c r="B53" s="540"/>
      <c r="C53" s="540"/>
      <c r="D53" s="540"/>
      <c r="E53" s="540"/>
      <c r="F53" s="540"/>
      <c r="G53" s="540"/>
      <c r="H53" s="540"/>
    </row>
    <row r="54" spans="1:8" ht="15" customHeight="1" x14ac:dyDescent="0.2">
      <c r="C54" s="539" t="s">
        <v>373</v>
      </c>
      <c r="D54" s="540"/>
      <c r="E54" s="540"/>
      <c r="F54" s="215"/>
      <c r="G54" s="541">
        <v>50538</v>
      </c>
      <c r="H54" s="542"/>
    </row>
    <row r="55" spans="1:8" ht="15" customHeight="1" x14ac:dyDescent="0.2">
      <c r="C55" s="544" t="s">
        <v>544</v>
      </c>
      <c r="D55" s="540"/>
      <c r="E55" s="540"/>
      <c r="G55" s="545">
        <v>50538</v>
      </c>
      <c r="H55" s="542"/>
    </row>
    <row r="56" spans="1:8" ht="9" customHeight="1" x14ac:dyDescent="0.2"/>
    <row r="57" spans="1:8" ht="15.75" customHeight="1" x14ac:dyDescent="0.2">
      <c r="A57" s="543" t="s">
        <v>382</v>
      </c>
      <c r="B57" s="540"/>
      <c r="C57" s="540"/>
      <c r="D57" s="540"/>
      <c r="E57" s="540"/>
      <c r="F57" s="540"/>
      <c r="G57" s="540"/>
      <c r="H57" s="540"/>
    </row>
    <row r="58" spans="1:8" ht="15" customHeight="1" x14ac:dyDescent="0.2">
      <c r="C58" s="539" t="s">
        <v>373</v>
      </c>
      <c r="D58" s="540"/>
      <c r="E58" s="540"/>
      <c r="F58" s="215"/>
      <c r="G58" s="541">
        <v>90078</v>
      </c>
      <c r="H58" s="542"/>
    </row>
    <row r="59" spans="1:8" ht="15" customHeight="1" x14ac:dyDescent="0.2">
      <c r="C59" s="544" t="s">
        <v>547</v>
      </c>
      <c r="D59" s="540"/>
      <c r="E59" s="540"/>
      <c r="G59" s="545">
        <v>70078</v>
      </c>
      <c r="H59" s="542"/>
    </row>
    <row r="60" spans="1:8" ht="15" customHeight="1" x14ac:dyDescent="0.2">
      <c r="C60" s="544" t="s">
        <v>544</v>
      </c>
      <c r="D60" s="540"/>
      <c r="E60" s="540"/>
      <c r="G60" s="545">
        <v>20000</v>
      </c>
      <c r="H60" s="542"/>
    </row>
    <row r="61" spans="1:8" ht="9" customHeight="1" x14ac:dyDescent="0.2"/>
    <row r="62" spans="1:8" ht="15.75" customHeight="1" x14ac:dyDescent="0.2">
      <c r="A62" s="543" t="s">
        <v>597</v>
      </c>
      <c r="B62" s="540"/>
      <c r="C62" s="540"/>
      <c r="D62" s="540"/>
      <c r="E62" s="540"/>
      <c r="F62" s="540"/>
      <c r="G62" s="540"/>
      <c r="H62" s="540"/>
    </row>
    <row r="63" spans="1:8" ht="15" customHeight="1" x14ac:dyDescent="0.2">
      <c r="C63" s="539" t="s">
        <v>373</v>
      </c>
      <c r="D63" s="540"/>
      <c r="E63" s="540"/>
      <c r="F63" s="215"/>
      <c r="G63" s="541">
        <v>92070</v>
      </c>
      <c r="H63" s="542"/>
    </row>
    <row r="64" spans="1:8" ht="15" customHeight="1" x14ac:dyDescent="0.2">
      <c r="C64" s="544" t="s">
        <v>547</v>
      </c>
      <c r="D64" s="540"/>
      <c r="E64" s="540"/>
      <c r="G64" s="545">
        <v>11300</v>
      </c>
      <c r="H64" s="542"/>
    </row>
    <row r="65" spans="1:8" ht="15" customHeight="1" x14ac:dyDescent="0.2">
      <c r="C65" s="544" t="s">
        <v>544</v>
      </c>
      <c r="D65" s="540"/>
      <c r="E65" s="540"/>
      <c r="G65" s="545">
        <v>80770</v>
      </c>
      <c r="H65" s="542"/>
    </row>
    <row r="66" spans="1:8" ht="9" customHeight="1" x14ac:dyDescent="0.2"/>
    <row r="67" spans="1:8" ht="31.5" customHeight="1" x14ac:dyDescent="0.2">
      <c r="A67" s="543" t="s">
        <v>596</v>
      </c>
      <c r="B67" s="540"/>
      <c r="C67" s="540"/>
      <c r="D67" s="540"/>
      <c r="E67" s="540"/>
      <c r="F67" s="540"/>
      <c r="G67" s="540"/>
      <c r="H67" s="540"/>
    </row>
    <row r="68" spans="1:8" ht="15" customHeight="1" x14ac:dyDescent="0.2">
      <c r="C68" s="539" t="s">
        <v>373</v>
      </c>
      <c r="D68" s="540"/>
      <c r="E68" s="540"/>
      <c r="F68" s="215"/>
      <c r="G68" s="541">
        <v>56614</v>
      </c>
      <c r="H68" s="542"/>
    </row>
    <row r="69" spans="1:8" ht="15" customHeight="1" x14ac:dyDescent="0.2">
      <c r="C69" s="544" t="s">
        <v>547</v>
      </c>
      <c r="D69" s="540"/>
      <c r="E69" s="540"/>
      <c r="G69" s="545">
        <v>2800</v>
      </c>
      <c r="H69" s="542"/>
    </row>
    <row r="70" spans="1:8" ht="15" customHeight="1" x14ac:dyDescent="0.2">
      <c r="C70" s="544" t="s">
        <v>544</v>
      </c>
      <c r="D70" s="540"/>
      <c r="E70" s="540"/>
      <c r="G70" s="545">
        <v>53814</v>
      </c>
      <c r="H70" s="542"/>
    </row>
    <row r="71" spans="1:8" ht="9" customHeight="1" x14ac:dyDescent="0.2"/>
    <row r="72" spans="1:8" ht="15.75" customHeight="1" x14ac:dyDescent="0.2">
      <c r="A72" s="543" t="s">
        <v>386</v>
      </c>
      <c r="B72" s="540"/>
      <c r="C72" s="540"/>
      <c r="D72" s="540"/>
      <c r="E72" s="540"/>
      <c r="F72" s="540"/>
      <c r="G72" s="540"/>
      <c r="H72" s="540"/>
    </row>
    <row r="73" spans="1:8" ht="15" customHeight="1" x14ac:dyDescent="0.2">
      <c r="C73" s="539" t="s">
        <v>373</v>
      </c>
      <c r="D73" s="540"/>
      <c r="E73" s="540"/>
      <c r="F73" s="215"/>
      <c r="G73" s="541">
        <v>919802</v>
      </c>
      <c r="H73" s="542"/>
    </row>
    <row r="74" spans="1:8" ht="15" customHeight="1" x14ac:dyDescent="0.2">
      <c r="C74" s="544" t="s">
        <v>547</v>
      </c>
      <c r="D74" s="540"/>
      <c r="E74" s="540"/>
      <c r="G74" s="545">
        <v>25000</v>
      </c>
      <c r="H74" s="542"/>
    </row>
    <row r="75" spans="1:8" ht="15" customHeight="1" x14ac:dyDescent="0.2">
      <c r="C75" s="544" t="s">
        <v>544</v>
      </c>
      <c r="D75" s="540"/>
      <c r="E75" s="540"/>
      <c r="G75" s="545">
        <v>894802</v>
      </c>
      <c r="H75" s="542"/>
    </row>
    <row r="76" spans="1:8" ht="9" customHeight="1" x14ac:dyDescent="0.2"/>
    <row r="77" spans="1:8" ht="15.75" customHeight="1" x14ac:dyDescent="0.2">
      <c r="A77" s="543" t="s">
        <v>389</v>
      </c>
      <c r="B77" s="540"/>
      <c r="C77" s="540"/>
      <c r="D77" s="540"/>
      <c r="E77" s="540"/>
      <c r="F77" s="540"/>
      <c r="G77" s="540"/>
      <c r="H77" s="540"/>
    </row>
    <row r="78" spans="1:8" ht="15" customHeight="1" x14ac:dyDescent="0.2">
      <c r="C78" s="539" t="s">
        <v>373</v>
      </c>
      <c r="D78" s="540"/>
      <c r="E78" s="540"/>
      <c r="F78" s="215"/>
      <c r="G78" s="541">
        <v>288580</v>
      </c>
      <c r="H78" s="542"/>
    </row>
    <row r="79" spans="1:8" ht="15" customHeight="1" x14ac:dyDescent="0.2">
      <c r="C79" s="544" t="s">
        <v>547</v>
      </c>
      <c r="D79" s="540"/>
      <c r="E79" s="540"/>
      <c r="G79" s="545">
        <v>241580</v>
      </c>
      <c r="H79" s="542"/>
    </row>
    <row r="80" spans="1:8" ht="15" customHeight="1" x14ac:dyDescent="0.2">
      <c r="C80" s="544" t="s">
        <v>544</v>
      </c>
      <c r="D80" s="540"/>
      <c r="E80" s="540"/>
      <c r="G80" s="545">
        <v>47000</v>
      </c>
      <c r="H80" s="542"/>
    </row>
    <row r="81" spans="1:8" ht="9" customHeight="1" x14ac:dyDescent="0.2"/>
    <row r="82" spans="1:8" ht="31.5" customHeight="1" x14ac:dyDescent="0.2">
      <c r="A82" s="543" t="s">
        <v>390</v>
      </c>
      <c r="B82" s="540"/>
      <c r="C82" s="540"/>
      <c r="D82" s="540"/>
      <c r="E82" s="540"/>
      <c r="F82" s="540"/>
      <c r="G82" s="540"/>
      <c r="H82" s="540"/>
    </row>
    <row r="83" spans="1:8" ht="15" customHeight="1" x14ac:dyDescent="0.2">
      <c r="C83" s="539" t="s">
        <v>373</v>
      </c>
      <c r="D83" s="540"/>
      <c r="E83" s="540"/>
      <c r="F83" s="215"/>
      <c r="G83" s="541">
        <v>34500</v>
      </c>
      <c r="H83" s="542"/>
    </row>
    <row r="84" spans="1:8" ht="15" customHeight="1" x14ac:dyDescent="0.2">
      <c r="C84" s="544" t="s">
        <v>548</v>
      </c>
      <c r="D84" s="540"/>
      <c r="E84" s="540"/>
      <c r="G84" s="545">
        <v>3500</v>
      </c>
      <c r="H84" s="542"/>
    </row>
    <row r="85" spans="1:8" ht="15" customHeight="1" x14ac:dyDescent="0.2">
      <c r="C85" s="544" t="s">
        <v>547</v>
      </c>
      <c r="D85" s="540"/>
      <c r="E85" s="540"/>
      <c r="G85" s="545">
        <v>31000</v>
      </c>
      <c r="H85" s="542"/>
    </row>
    <row r="86" spans="1:8" ht="9" customHeight="1" x14ac:dyDescent="0.2"/>
    <row r="87" spans="1:8" ht="31.5" customHeight="1" x14ac:dyDescent="0.2">
      <c r="A87" s="543" t="s">
        <v>595</v>
      </c>
      <c r="B87" s="540"/>
      <c r="C87" s="540"/>
      <c r="D87" s="540"/>
      <c r="E87" s="540"/>
      <c r="F87" s="540"/>
      <c r="G87" s="540"/>
      <c r="H87" s="540"/>
    </row>
    <row r="88" spans="1:8" ht="15" customHeight="1" x14ac:dyDescent="0.2">
      <c r="C88" s="539" t="s">
        <v>373</v>
      </c>
      <c r="D88" s="540"/>
      <c r="E88" s="540"/>
      <c r="F88" s="215"/>
      <c r="G88" s="541">
        <v>15000</v>
      </c>
      <c r="H88" s="542"/>
    </row>
    <row r="89" spans="1:8" ht="15" customHeight="1" x14ac:dyDescent="0.2">
      <c r="C89" s="544" t="s">
        <v>546</v>
      </c>
      <c r="D89" s="540"/>
      <c r="E89" s="540"/>
      <c r="G89" s="545">
        <v>15000</v>
      </c>
      <c r="H89" s="542"/>
    </row>
    <row r="90" spans="1:8" ht="9" customHeight="1" x14ac:dyDescent="0.2"/>
    <row r="91" spans="1:8" ht="31.5" customHeight="1" x14ac:dyDescent="0.2">
      <c r="A91" s="543" t="s">
        <v>594</v>
      </c>
      <c r="B91" s="540"/>
      <c r="C91" s="540"/>
      <c r="D91" s="540"/>
      <c r="E91" s="540"/>
      <c r="F91" s="540"/>
      <c r="G91" s="540"/>
      <c r="H91" s="540"/>
    </row>
    <row r="92" spans="1:8" ht="15" customHeight="1" x14ac:dyDescent="0.2">
      <c r="C92" s="539" t="s">
        <v>373</v>
      </c>
      <c r="D92" s="540"/>
      <c r="E92" s="540"/>
      <c r="F92" s="215"/>
      <c r="G92" s="541">
        <v>6321</v>
      </c>
      <c r="H92" s="542"/>
    </row>
    <row r="93" spans="1:8" ht="15" customHeight="1" x14ac:dyDescent="0.2">
      <c r="C93" s="544" t="s">
        <v>548</v>
      </c>
      <c r="D93" s="540"/>
      <c r="E93" s="540"/>
      <c r="G93" s="545">
        <v>6321</v>
      </c>
      <c r="H93" s="542"/>
    </row>
    <row r="94" spans="1:8" ht="9" customHeight="1" x14ac:dyDescent="0.2"/>
    <row r="95" spans="1:8" ht="31.5" customHeight="1" x14ac:dyDescent="0.2">
      <c r="A95" s="543" t="s">
        <v>593</v>
      </c>
      <c r="B95" s="540"/>
      <c r="C95" s="540"/>
      <c r="D95" s="540"/>
      <c r="E95" s="540"/>
      <c r="F95" s="540"/>
      <c r="G95" s="540"/>
      <c r="H95" s="540"/>
    </row>
    <row r="96" spans="1:8" ht="15" customHeight="1" x14ac:dyDescent="0.2">
      <c r="C96" s="539" t="s">
        <v>373</v>
      </c>
      <c r="D96" s="540"/>
      <c r="E96" s="540"/>
      <c r="F96" s="215"/>
      <c r="G96" s="541">
        <v>66031</v>
      </c>
      <c r="H96" s="542"/>
    </row>
    <row r="97" spans="1:8" ht="15" customHeight="1" x14ac:dyDescent="0.2">
      <c r="C97" s="544" t="s">
        <v>548</v>
      </c>
      <c r="D97" s="540"/>
      <c r="E97" s="540"/>
      <c r="G97" s="545">
        <v>8800</v>
      </c>
      <c r="H97" s="542"/>
    </row>
    <row r="98" spans="1:8" ht="15" customHeight="1" x14ac:dyDescent="0.2">
      <c r="C98" s="544" t="s">
        <v>547</v>
      </c>
      <c r="D98" s="540"/>
      <c r="E98" s="540"/>
      <c r="G98" s="545">
        <v>57231</v>
      </c>
      <c r="H98" s="542"/>
    </row>
    <row r="99" spans="1:8" ht="9" customHeight="1" x14ac:dyDescent="0.2"/>
    <row r="100" spans="1:8" ht="31.5" customHeight="1" x14ac:dyDescent="0.2">
      <c r="A100" s="543" t="s">
        <v>592</v>
      </c>
      <c r="B100" s="540"/>
      <c r="C100" s="540"/>
      <c r="D100" s="540"/>
      <c r="E100" s="540"/>
      <c r="F100" s="540"/>
      <c r="G100" s="540"/>
      <c r="H100" s="540"/>
    </row>
    <row r="101" spans="1:8" ht="15" customHeight="1" x14ac:dyDescent="0.2">
      <c r="C101" s="539" t="s">
        <v>373</v>
      </c>
      <c r="D101" s="540"/>
      <c r="E101" s="540"/>
      <c r="F101" s="215"/>
      <c r="G101" s="541">
        <v>110000</v>
      </c>
      <c r="H101" s="542"/>
    </row>
    <row r="102" spans="1:8" ht="15" customHeight="1" x14ac:dyDescent="0.2">
      <c r="C102" s="544" t="s">
        <v>544</v>
      </c>
      <c r="D102" s="540"/>
      <c r="E102" s="540"/>
      <c r="G102" s="545">
        <v>110000</v>
      </c>
      <c r="H102" s="542"/>
    </row>
    <row r="103" spans="1:8" ht="9" customHeight="1" x14ac:dyDescent="0.2"/>
    <row r="104" spans="1:8" ht="15.75" customHeight="1" x14ac:dyDescent="0.2">
      <c r="A104" s="543" t="s">
        <v>400</v>
      </c>
      <c r="B104" s="540"/>
      <c r="C104" s="540"/>
      <c r="D104" s="540"/>
      <c r="E104" s="540"/>
      <c r="F104" s="540"/>
      <c r="G104" s="540"/>
      <c r="H104" s="540"/>
    </row>
    <row r="105" spans="1:8" ht="15" customHeight="1" x14ac:dyDescent="0.2">
      <c r="C105" s="539" t="s">
        <v>373</v>
      </c>
      <c r="D105" s="540"/>
      <c r="E105" s="540"/>
      <c r="F105" s="215"/>
      <c r="G105" s="541">
        <v>520970</v>
      </c>
      <c r="H105" s="542"/>
    </row>
    <row r="106" spans="1:8" ht="15" customHeight="1" x14ac:dyDescent="0.2">
      <c r="C106" s="544" t="s">
        <v>548</v>
      </c>
      <c r="D106" s="540"/>
      <c r="E106" s="540"/>
      <c r="G106" s="545">
        <v>61715</v>
      </c>
      <c r="H106" s="542"/>
    </row>
    <row r="107" spans="1:8" ht="15" customHeight="1" x14ac:dyDescent="0.2">
      <c r="C107" s="544" t="s">
        <v>547</v>
      </c>
      <c r="D107" s="540"/>
      <c r="E107" s="540"/>
      <c r="G107" s="545">
        <v>410879</v>
      </c>
      <c r="H107" s="542"/>
    </row>
    <row r="108" spans="1:8" ht="15" customHeight="1" x14ac:dyDescent="0.2">
      <c r="C108" s="544" t="s">
        <v>544</v>
      </c>
      <c r="D108" s="540"/>
      <c r="E108" s="540"/>
      <c r="G108" s="545">
        <v>48376</v>
      </c>
      <c r="H108" s="542"/>
    </row>
    <row r="109" spans="1:8" ht="9" customHeight="1" x14ac:dyDescent="0.2"/>
    <row r="110" spans="1:8" ht="31.5" customHeight="1" x14ac:dyDescent="0.2">
      <c r="A110" s="543" t="s">
        <v>591</v>
      </c>
      <c r="B110" s="540"/>
      <c r="C110" s="540"/>
      <c r="D110" s="540"/>
      <c r="E110" s="540"/>
      <c r="F110" s="540"/>
      <c r="G110" s="540"/>
      <c r="H110" s="540"/>
    </row>
    <row r="111" spans="1:8" ht="15" customHeight="1" x14ac:dyDescent="0.2">
      <c r="C111" s="539" t="s">
        <v>373</v>
      </c>
      <c r="D111" s="540"/>
      <c r="E111" s="540"/>
      <c r="F111" s="215"/>
      <c r="G111" s="541">
        <v>437250</v>
      </c>
      <c r="H111" s="542"/>
    </row>
    <row r="112" spans="1:8" ht="15" customHeight="1" x14ac:dyDescent="0.2">
      <c r="C112" s="544" t="s">
        <v>544</v>
      </c>
      <c r="D112" s="540"/>
      <c r="E112" s="540"/>
      <c r="G112" s="545">
        <v>437250</v>
      </c>
      <c r="H112" s="542"/>
    </row>
    <row r="113" spans="1:8" ht="9" customHeight="1" x14ac:dyDescent="0.2"/>
    <row r="114" spans="1:8" ht="15.75" customHeight="1" x14ac:dyDescent="0.2">
      <c r="A114" s="543" t="s">
        <v>401</v>
      </c>
      <c r="B114" s="540"/>
      <c r="C114" s="540"/>
      <c r="D114" s="540"/>
      <c r="E114" s="540"/>
      <c r="F114" s="540"/>
      <c r="G114" s="540"/>
      <c r="H114" s="540"/>
    </row>
    <row r="115" spans="1:8" ht="15" customHeight="1" x14ac:dyDescent="0.2">
      <c r="C115" s="539" t="s">
        <v>373</v>
      </c>
      <c r="D115" s="540"/>
      <c r="E115" s="540"/>
      <c r="F115" s="215"/>
      <c r="G115" s="541">
        <v>42686</v>
      </c>
      <c r="H115" s="542"/>
    </row>
    <row r="116" spans="1:8" ht="15" customHeight="1" x14ac:dyDescent="0.2">
      <c r="C116" s="544" t="s">
        <v>546</v>
      </c>
      <c r="D116" s="540"/>
      <c r="E116" s="540"/>
      <c r="G116" s="545">
        <v>42686</v>
      </c>
      <c r="H116" s="542"/>
    </row>
    <row r="117" spans="1:8" ht="9" customHeight="1" x14ac:dyDescent="0.2"/>
    <row r="118" spans="1:8" ht="31.5" customHeight="1" x14ac:dyDescent="0.2">
      <c r="A118" s="543" t="s">
        <v>590</v>
      </c>
      <c r="B118" s="540"/>
      <c r="C118" s="540"/>
      <c r="D118" s="540"/>
      <c r="E118" s="540"/>
      <c r="F118" s="540"/>
      <c r="G118" s="540"/>
      <c r="H118" s="540"/>
    </row>
    <row r="119" spans="1:8" ht="15" customHeight="1" x14ac:dyDescent="0.2">
      <c r="C119" s="539" t="s">
        <v>373</v>
      </c>
      <c r="D119" s="540"/>
      <c r="E119" s="540"/>
      <c r="F119" s="215"/>
      <c r="G119" s="541">
        <v>7735802</v>
      </c>
      <c r="H119" s="542"/>
    </row>
    <row r="120" spans="1:8" ht="15" customHeight="1" x14ac:dyDescent="0.2">
      <c r="C120" s="544" t="s">
        <v>544</v>
      </c>
      <c r="D120" s="540"/>
      <c r="E120" s="540"/>
      <c r="G120" s="545">
        <v>7735802</v>
      </c>
      <c r="H120" s="542"/>
    </row>
    <row r="121" spans="1:8" ht="9" customHeight="1" x14ac:dyDescent="0.2"/>
    <row r="122" spans="1:8" ht="15.75" customHeight="1" x14ac:dyDescent="0.2">
      <c r="A122" s="543" t="s">
        <v>589</v>
      </c>
      <c r="B122" s="540"/>
      <c r="C122" s="540"/>
      <c r="D122" s="540"/>
      <c r="E122" s="540"/>
      <c r="F122" s="540"/>
      <c r="G122" s="540"/>
      <c r="H122" s="540"/>
    </row>
    <row r="123" spans="1:8" ht="15" customHeight="1" x14ac:dyDescent="0.2">
      <c r="C123" s="539" t="s">
        <v>373</v>
      </c>
      <c r="D123" s="540"/>
      <c r="E123" s="540"/>
      <c r="F123" s="215"/>
      <c r="G123" s="541">
        <v>12969</v>
      </c>
      <c r="H123" s="542"/>
    </row>
    <row r="124" spans="1:8" ht="15" customHeight="1" x14ac:dyDescent="0.2">
      <c r="C124" s="544" t="s">
        <v>548</v>
      </c>
      <c r="D124" s="540"/>
      <c r="E124" s="540"/>
      <c r="G124" s="545">
        <v>2500</v>
      </c>
      <c r="H124" s="542"/>
    </row>
    <row r="125" spans="1:8" ht="15" customHeight="1" x14ac:dyDescent="0.2">
      <c r="C125" s="544" t="s">
        <v>547</v>
      </c>
      <c r="D125" s="540"/>
      <c r="E125" s="540"/>
      <c r="G125" s="545">
        <v>10469</v>
      </c>
      <c r="H125" s="542"/>
    </row>
    <row r="126" spans="1:8" ht="9" customHeight="1" x14ac:dyDescent="0.2"/>
    <row r="127" spans="1:8" ht="15.75" customHeight="1" x14ac:dyDescent="0.2">
      <c r="A127" s="543" t="s">
        <v>588</v>
      </c>
      <c r="B127" s="540"/>
      <c r="C127" s="540"/>
      <c r="D127" s="540"/>
      <c r="E127" s="540"/>
      <c r="F127" s="540"/>
      <c r="G127" s="540"/>
      <c r="H127" s="540"/>
    </row>
    <row r="128" spans="1:8" ht="15" customHeight="1" x14ac:dyDescent="0.2">
      <c r="C128" s="539" t="s">
        <v>373</v>
      </c>
      <c r="D128" s="540"/>
      <c r="E128" s="540"/>
      <c r="F128" s="215"/>
      <c r="G128" s="541">
        <v>32587</v>
      </c>
      <c r="H128" s="542"/>
    </row>
    <row r="129" spans="1:8" ht="15" customHeight="1" x14ac:dyDescent="0.2">
      <c r="C129" s="544" t="s">
        <v>548</v>
      </c>
      <c r="D129" s="540"/>
      <c r="E129" s="540"/>
      <c r="G129" s="545">
        <v>14000</v>
      </c>
      <c r="H129" s="542"/>
    </row>
    <row r="130" spans="1:8" ht="15" customHeight="1" x14ac:dyDescent="0.2">
      <c r="C130" s="544" t="s">
        <v>547</v>
      </c>
      <c r="D130" s="540"/>
      <c r="E130" s="540"/>
      <c r="G130" s="545">
        <v>18587</v>
      </c>
      <c r="H130" s="542"/>
    </row>
    <row r="133" spans="1:8" ht="15.75" customHeight="1" x14ac:dyDescent="0.2">
      <c r="A133" s="546" t="s">
        <v>587</v>
      </c>
      <c r="B133" s="540"/>
      <c r="C133" s="540"/>
      <c r="D133" s="540"/>
      <c r="E133" s="540"/>
      <c r="F133" s="540"/>
      <c r="G133" s="540"/>
      <c r="H133" s="540"/>
    </row>
    <row r="134" spans="1:8" ht="15" customHeight="1" x14ac:dyDescent="0.2">
      <c r="A134" s="216"/>
      <c r="B134" s="216"/>
      <c r="C134" s="547" t="s">
        <v>373</v>
      </c>
      <c r="D134" s="540"/>
      <c r="E134" s="540"/>
      <c r="F134" s="247"/>
      <c r="G134" s="548">
        <v>3023928</v>
      </c>
      <c r="H134" s="542"/>
    </row>
    <row r="135" spans="1:8" ht="15" customHeight="1" x14ac:dyDescent="0.2">
      <c r="A135" s="216"/>
      <c r="B135" s="216"/>
      <c r="C135" s="547" t="s">
        <v>547</v>
      </c>
      <c r="D135" s="540"/>
      <c r="E135" s="540"/>
      <c r="F135" s="247"/>
      <c r="G135" s="548">
        <v>453584</v>
      </c>
      <c r="H135" s="542"/>
    </row>
    <row r="136" spans="1:8" ht="15" customHeight="1" x14ac:dyDescent="0.2">
      <c r="A136" s="216"/>
      <c r="B136" s="216"/>
      <c r="C136" s="547" t="s">
        <v>546</v>
      </c>
      <c r="D136" s="540"/>
      <c r="E136" s="540"/>
      <c r="F136" s="247"/>
      <c r="G136" s="548">
        <v>2467344</v>
      </c>
      <c r="H136" s="542"/>
    </row>
    <row r="137" spans="1:8" ht="15" customHeight="1" x14ac:dyDescent="0.2">
      <c r="A137" s="216"/>
      <c r="B137" s="216"/>
      <c r="C137" s="547" t="s">
        <v>545</v>
      </c>
      <c r="D137" s="540"/>
      <c r="E137" s="540"/>
      <c r="F137" s="247"/>
      <c r="G137" s="548">
        <v>100000</v>
      </c>
      <c r="H137" s="542"/>
    </row>
    <row r="138" spans="1:8" ht="30" customHeight="1" x14ac:dyDescent="0.2">
      <c r="A138" s="216"/>
      <c r="B138" s="216"/>
      <c r="C138" s="547" t="s">
        <v>542</v>
      </c>
      <c r="D138" s="540"/>
      <c r="E138" s="540"/>
      <c r="F138" s="247"/>
      <c r="G138" s="548">
        <v>3000</v>
      </c>
      <c r="H138" s="542"/>
    </row>
    <row r="139" spans="1:8" ht="9" customHeight="1" x14ac:dyDescent="0.2"/>
    <row r="140" spans="1:8" ht="15.75" customHeight="1" x14ac:dyDescent="0.2">
      <c r="A140" s="543" t="s">
        <v>586</v>
      </c>
      <c r="B140" s="540"/>
      <c r="C140" s="540"/>
      <c r="D140" s="540"/>
      <c r="E140" s="540"/>
      <c r="F140" s="540"/>
      <c r="G140" s="540"/>
      <c r="H140" s="540"/>
    </row>
    <row r="141" spans="1:8" ht="15" customHeight="1" x14ac:dyDescent="0.2">
      <c r="C141" s="539" t="s">
        <v>373</v>
      </c>
      <c r="D141" s="540"/>
      <c r="E141" s="540"/>
      <c r="F141" s="215"/>
      <c r="G141" s="541">
        <v>44237</v>
      </c>
      <c r="H141" s="542"/>
    </row>
    <row r="142" spans="1:8" ht="15" customHeight="1" x14ac:dyDescent="0.2">
      <c r="C142" s="544" t="s">
        <v>547</v>
      </c>
      <c r="D142" s="540"/>
      <c r="E142" s="540"/>
      <c r="G142" s="545">
        <v>44237</v>
      </c>
      <c r="H142" s="542"/>
    </row>
    <row r="143" spans="1:8" ht="9" customHeight="1" x14ac:dyDescent="0.2"/>
    <row r="144" spans="1:8" ht="15.75" customHeight="1" x14ac:dyDescent="0.2">
      <c r="A144" s="543" t="s">
        <v>377</v>
      </c>
      <c r="B144" s="540"/>
      <c r="C144" s="540"/>
      <c r="D144" s="540"/>
      <c r="E144" s="540"/>
      <c r="F144" s="540"/>
      <c r="G144" s="540"/>
      <c r="H144" s="540"/>
    </row>
    <row r="145" spans="1:9" ht="15" customHeight="1" x14ac:dyDescent="0.2">
      <c r="C145" s="539" t="s">
        <v>373</v>
      </c>
      <c r="D145" s="540"/>
      <c r="E145" s="540"/>
      <c r="F145" s="215"/>
      <c r="G145" s="541">
        <v>300000</v>
      </c>
      <c r="H145" s="542"/>
    </row>
    <row r="146" spans="1:9" ht="15" customHeight="1" x14ac:dyDescent="0.2">
      <c r="C146" s="544" t="s">
        <v>547</v>
      </c>
      <c r="D146" s="540"/>
      <c r="E146" s="540"/>
      <c r="G146" s="545">
        <v>200000</v>
      </c>
      <c r="H146" s="542"/>
    </row>
    <row r="147" spans="1:9" ht="15" customHeight="1" x14ac:dyDescent="0.2">
      <c r="C147" s="544" t="s">
        <v>545</v>
      </c>
      <c r="D147" s="540"/>
      <c r="E147" s="540"/>
      <c r="G147" s="545">
        <v>100000</v>
      </c>
      <c r="H147" s="542"/>
    </row>
    <row r="148" spans="1:9" ht="9" customHeight="1" x14ac:dyDescent="0.2"/>
    <row r="149" spans="1:9" ht="15.75" customHeight="1" x14ac:dyDescent="0.2">
      <c r="A149" s="543" t="s">
        <v>380</v>
      </c>
      <c r="B149" s="540"/>
      <c r="C149" s="540"/>
      <c r="D149" s="540"/>
      <c r="E149" s="540"/>
      <c r="F149" s="540"/>
      <c r="G149" s="540"/>
      <c r="H149" s="540"/>
    </row>
    <row r="150" spans="1:9" ht="15" customHeight="1" x14ac:dyDescent="0.2">
      <c r="C150" s="539" t="s">
        <v>373</v>
      </c>
      <c r="D150" s="540"/>
      <c r="E150" s="540"/>
      <c r="F150" s="215"/>
      <c r="G150" s="541">
        <v>209347</v>
      </c>
      <c r="H150" s="542"/>
    </row>
    <row r="151" spans="1:9" ht="15" customHeight="1" x14ac:dyDescent="0.2">
      <c r="C151" s="544" t="s">
        <v>547</v>
      </c>
      <c r="D151" s="540"/>
      <c r="E151" s="540"/>
      <c r="G151" s="545">
        <v>209347</v>
      </c>
      <c r="H151" s="542"/>
    </row>
    <row r="153" spans="1:9" ht="15.75" customHeight="1" x14ac:dyDescent="0.2">
      <c r="A153" s="543" t="s">
        <v>585</v>
      </c>
      <c r="B153" s="540"/>
      <c r="C153" s="540"/>
      <c r="D153" s="540"/>
      <c r="E153" s="540"/>
      <c r="F153" s="540"/>
      <c r="G153" s="540"/>
      <c r="H153" s="540"/>
    </row>
    <row r="154" spans="1:9" ht="15" customHeight="1" x14ac:dyDescent="0.2">
      <c r="C154" s="539" t="s">
        <v>373</v>
      </c>
      <c r="D154" s="540"/>
      <c r="E154" s="540"/>
      <c r="F154" s="215"/>
      <c r="G154" s="541">
        <v>1548477</v>
      </c>
      <c r="H154" s="542"/>
    </row>
    <row r="155" spans="1:9" ht="15" customHeight="1" x14ac:dyDescent="0.2">
      <c r="C155" s="544" t="s">
        <v>546</v>
      </c>
      <c r="D155" s="540"/>
      <c r="E155" s="540"/>
      <c r="G155" s="545">
        <v>1548477</v>
      </c>
      <c r="H155" s="542"/>
    </row>
    <row r="156" spans="1:9" ht="9" customHeight="1" x14ac:dyDescent="0.2"/>
    <row r="157" spans="1:9" ht="31.5" customHeight="1" x14ac:dyDescent="0.2">
      <c r="A157" s="543" t="s">
        <v>584</v>
      </c>
      <c r="B157" s="540"/>
      <c r="C157" s="540"/>
      <c r="D157" s="540"/>
      <c r="E157" s="540"/>
      <c r="F157" s="540"/>
      <c r="G157" s="540"/>
      <c r="H157" s="540"/>
    </row>
    <row r="158" spans="1:9" ht="15" customHeight="1" x14ac:dyDescent="0.2">
      <c r="C158" s="539" t="s">
        <v>373</v>
      </c>
      <c r="D158" s="540"/>
      <c r="E158" s="540"/>
      <c r="F158" s="215"/>
      <c r="G158" s="541">
        <v>30000</v>
      </c>
      <c r="H158" s="542"/>
      <c r="I158" s="215"/>
    </row>
    <row r="159" spans="1:9" ht="15" customHeight="1" x14ac:dyDescent="0.2">
      <c r="C159" s="544" t="s">
        <v>546</v>
      </c>
      <c r="D159" s="540"/>
      <c r="E159" s="540"/>
      <c r="G159" s="545">
        <v>30000</v>
      </c>
      <c r="H159" s="542"/>
    </row>
    <row r="160" spans="1:9" ht="9" customHeight="1" x14ac:dyDescent="0.2"/>
    <row r="161" spans="1:8" ht="15.75" customHeight="1" x14ac:dyDescent="0.2">
      <c r="A161" s="543" t="s">
        <v>383</v>
      </c>
      <c r="B161" s="540"/>
      <c r="C161" s="540"/>
      <c r="D161" s="540"/>
      <c r="E161" s="540"/>
      <c r="F161" s="540"/>
      <c r="G161" s="540"/>
      <c r="H161" s="540"/>
    </row>
    <row r="162" spans="1:8" ht="15" customHeight="1" x14ac:dyDescent="0.2">
      <c r="C162" s="539" t="s">
        <v>373</v>
      </c>
      <c r="D162" s="540"/>
      <c r="E162" s="540"/>
      <c r="F162" s="215"/>
      <c r="G162" s="541">
        <v>3000</v>
      </c>
      <c r="H162" s="542"/>
    </row>
    <row r="163" spans="1:8" ht="30" customHeight="1" x14ac:dyDescent="0.2">
      <c r="C163" s="544" t="s">
        <v>542</v>
      </c>
      <c r="D163" s="540"/>
      <c r="E163" s="540"/>
      <c r="G163" s="545">
        <v>3000</v>
      </c>
      <c r="H163" s="542"/>
    </row>
    <row r="164" spans="1:8" ht="9" customHeight="1" x14ac:dyDescent="0.2"/>
    <row r="165" spans="1:8" ht="15.75" customHeight="1" x14ac:dyDescent="0.2">
      <c r="A165" s="543" t="s">
        <v>583</v>
      </c>
      <c r="B165" s="540"/>
      <c r="C165" s="540"/>
      <c r="D165" s="540"/>
      <c r="E165" s="540"/>
      <c r="F165" s="540"/>
      <c r="G165" s="540"/>
      <c r="H165" s="540"/>
    </row>
    <row r="166" spans="1:8" ht="15" customHeight="1" x14ac:dyDescent="0.2">
      <c r="C166" s="539" t="s">
        <v>373</v>
      </c>
      <c r="D166" s="540"/>
      <c r="E166" s="540"/>
      <c r="F166" s="215"/>
      <c r="G166" s="541">
        <v>411951</v>
      </c>
      <c r="H166" s="542"/>
    </row>
    <row r="167" spans="1:8" ht="15" customHeight="1" x14ac:dyDescent="0.2">
      <c r="C167" s="544" t="s">
        <v>546</v>
      </c>
      <c r="D167" s="540"/>
      <c r="E167" s="540"/>
      <c r="G167" s="545">
        <v>411951</v>
      </c>
      <c r="H167" s="542"/>
    </row>
    <row r="168" spans="1:8" ht="9" customHeight="1" x14ac:dyDescent="0.2"/>
    <row r="169" spans="1:8" ht="31.5" customHeight="1" x14ac:dyDescent="0.2">
      <c r="A169" s="543" t="s">
        <v>582</v>
      </c>
      <c r="B169" s="540"/>
      <c r="C169" s="540"/>
      <c r="D169" s="540"/>
      <c r="E169" s="540"/>
      <c r="F169" s="540"/>
      <c r="G169" s="540"/>
      <c r="H169" s="540"/>
    </row>
    <row r="170" spans="1:8" ht="15" customHeight="1" x14ac:dyDescent="0.2">
      <c r="C170" s="539" t="s">
        <v>373</v>
      </c>
      <c r="D170" s="540"/>
      <c r="E170" s="540"/>
      <c r="F170" s="215"/>
      <c r="G170" s="541">
        <v>285171</v>
      </c>
      <c r="H170" s="542"/>
    </row>
    <row r="171" spans="1:8" ht="15" customHeight="1" x14ac:dyDescent="0.2">
      <c r="C171" s="544" t="s">
        <v>546</v>
      </c>
      <c r="D171" s="540"/>
      <c r="E171" s="540"/>
      <c r="G171" s="545">
        <v>285171</v>
      </c>
      <c r="H171" s="542"/>
    </row>
    <row r="172" spans="1:8" ht="9" customHeight="1" x14ac:dyDescent="0.2"/>
    <row r="173" spans="1:8" ht="15.75" customHeight="1" x14ac:dyDescent="0.2">
      <c r="A173" s="543" t="s">
        <v>581</v>
      </c>
      <c r="B173" s="540"/>
      <c r="C173" s="540"/>
      <c r="D173" s="540"/>
      <c r="E173" s="540"/>
      <c r="F173" s="540"/>
      <c r="G173" s="540"/>
      <c r="H173" s="540"/>
    </row>
    <row r="174" spans="1:8" ht="15" customHeight="1" x14ac:dyDescent="0.2">
      <c r="C174" s="539" t="s">
        <v>373</v>
      </c>
      <c r="D174" s="540"/>
      <c r="E174" s="540"/>
      <c r="F174" s="215"/>
      <c r="G174" s="541">
        <v>5000</v>
      </c>
      <c r="H174" s="542"/>
    </row>
    <row r="175" spans="1:8" ht="15" customHeight="1" x14ac:dyDescent="0.2">
      <c r="C175" s="544" t="s">
        <v>546</v>
      </c>
      <c r="D175" s="540"/>
      <c r="E175" s="540"/>
      <c r="G175" s="545">
        <v>5000</v>
      </c>
      <c r="H175" s="542"/>
    </row>
    <row r="176" spans="1:8" ht="9" customHeight="1" x14ac:dyDescent="0.2"/>
    <row r="177" spans="1:8" ht="15.75" customHeight="1" x14ac:dyDescent="0.2">
      <c r="A177" s="543" t="s">
        <v>936</v>
      </c>
      <c r="B177" s="540"/>
      <c r="C177" s="540"/>
      <c r="D177" s="540"/>
      <c r="E177" s="540"/>
      <c r="F177" s="540"/>
      <c r="G177" s="540"/>
      <c r="H177" s="540"/>
    </row>
    <row r="178" spans="1:8" ht="15" customHeight="1" x14ac:dyDescent="0.2">
      <c r="C178" s="539" t="s">
        <v>373</v>
      </c>
      <c r="D178" s="540"/>
      <c r="E178" s="540"/>
      <c r="F178" s="215"/>
      <c r="G178" s="541">
        <v>4300</v>
      </c>
      <c r="H178" s="542"/>
    </row>
    <row r="179" spans="1:8" ht="15" customHeight="1" x14ac:dyDescent="0.2">
      <c r="C179" s="544" t="s">
        <v>546</v>
      </c>
      <c r="D179" s="540"/>
      <c r="E179" s="540"/>
      <c r="G179" s="545">
        <v>4300</v>
      </c>
      <c r="H179" s="542"/>
    </row>
    <row r="180" spans="1:8" ht="9" customHeight="1" x14ac:dyDescent="0.2"/>
    <row r="181" spans="1:8" ht="15.75" customHeight="1" x14ac:dyDescent="0.2">
      <c r="A181" s="543" t="s">
        <v>456</v>
      </c>
      <c r="B181" s="540"/>
      <c r="C181" s="540"/>
      <c r="D181" s="540"/>
      <c r="E181" s="540"/>
      <c r="F181" s="540"/>
      <c r="G181" s="540"/>
      <c r="H181" s="540"/>
    </row>
    <row r="182" spans="1:8" ht="15" customHeight="1" x14ac:dyDescent="0.2">
      <c r="C182" s="539" t="s">
        <v>373</v>
      </c>
      <c r="D182" s="540"/>
      <c r="E182" s="540"/>
      <c r="F182" s="215"/>
      <c r="G182" s="541">
        <v>175650</v>
      </c>
      <c r="H182" s="542"/>
    </row>
    <row r="183" spans="1:8" ht="15" customHeight="1" x14ac:dyDescent="0.2">
      <c r="C183" s="544" t="s">
        <v>546</v>
      </c>
      <c r="D183" s="540"/>
      <c r="E183" s="540"/>
      <c r="G183" s="545">
        <v>175650</v>
      </c>
      <c r="H183" s="542"/>
    </row>
    <row r="184" spans="1:8" ht="9" customHeight="1" x14ac:dyDescent="0.2"/>
    <row r="185" spans="1:8" ht="15.75" customHeight="1" x14ac:dyDescent="0.2">
      <c r="A185" s="543" t="s">
        <v>412</v>
      </c>
      <c r="B185" s="540"/>
      <c r="C185" s="540"/>
      <c r="D185" s="540"/>
      <c r="E185" s="540"/>
      <c r="F185" s="540"/>
      <c r="G185" s="540"/>
      <c r="H185" s="540"/>
    </row>
    <row r="186" spans="1:8" ht="15" customHeight="1" x14ac:dyDescent="0.2">
      <c r="C186" s="539" t="s">
        <v>373</v>
      </c>
      <c r="D186" s="540"/>
      <c r="E186" s="540"/>
      <c r="F186" s="215"/>
      <c r="G186" s="541">
        <v>5395</v>
      </c>
      <c r="H186" s="542"/>
    </row>
    <row r="187" spans="1:8" ht="15" customHeight="1" x14ac:dyDescent="0.2">
      <c r="C187" s="544" t="s">
        <v>546</v>
      </c>
      <c r="D187" s="540"/>
      <c r="E187" s="540"/>
      <c r="G187" s="545">
        <v>5395</v>
      </c>
      <c r="H187" s="542"/>
    </row>
    <row r="188" spans="1:8" ht="9" customHeight="1" x14ac:dyDescent="0.2"/>
    <row r="189" spans="1:8" ht="15.75" customHeight="1" x14ac:dyDescent="0.2">
      <c r="A189" s="543" t="s">
        <v>413</v>
      </c>
      <c r="B189" s="540"/>
      <c r="C189" s="540"/>
      <c r="D189" s="540"/>
      <c r="E189" s="540"/>
      <c r="F189" s="540"/>
      <c r="G189" s="540"/>
      <c r="H189" s="540"/>
    </row>
    <row r="190" spans="1:8" ht="15" customHeight="1" x14ac:dyDescent="0.2">
      <c r="C190" s="539" t="s">
        <v>373</v>
      </c>
      <c r="D190" s="540"/>
      <c r="E190" s="540"/>
      <c r="F190" s="215"/>
      <c r="G190" s="541">
        <v>1400</v>
      </c>
      <c r="H190" s="542"/>
    </row>
    <row r="191" spans="1:8" ht="15" customHeight="1" x14ac:dyDescent="0.2">
      <c r="C191" s="544" t="s">
        <v>546</v>
      </c>
      <c r="D191" s="540"/>
      <c r="E191" s="540"/>
      <c r="G191" s="545">
        <v>1400</v>
      </c>
      <c r="H191" s="542"/>
    </row>
    <row r="194" spans="1:8" ht="31.5" customHeight="1" x14ac:dyDescent="0.2">
      <c r="A194" s="546" t="s">
        <v>622</v>
      </c>
      <c r="B194" s="540"/>
      <c r="C194" s="540"/>
      <c r="D194" s="540"/>
      <c r="E194" s="540"/>
      <c r="F194" s="540"/>
      <c r="G194" s="540"/>
      <c r="H194" s="540"/>
    </row>
    <row r="195" spans="1:8" ht="15" customHeight="1" x14ac:dyDescent="0.2">
      <c r="A195" s="216"/>
      <c r="B195" s="216"/>
      <c r="C195" s="547" t="s">
        <v>373</v>
      </c>
      <c r="D195" s="540"/>
      <c r="E195" s="540"/>
      <c r="F195" s="247"/>
      <c r="G195" s="548">
        <v>213387</v>
      </c>
      <c r="H195" s="542"/>
    </row>
    <row r="196" spans="1:8" ht="15" customHeight="1" x14ac:dyDescent="0.2">
      <c r="A196" s="216"/>
      <c r="B196" s="216"/>
      <c r="C196" s="547" t="s">
        <v>548</v>
      </c>
      <c r="D196" s="540"/>
      <c r="E196" s="540"/>
      <c r="F196" s="247"/>
      <c r="G196" s="548">
        <v>200809</v>
      </c>
      <c r="H196" s="542"/>
    </row>
    <row r="197" spans="1:8" ht="15" customHeight="1" x14ac:dyDescent="0.2">
      <c r="A197" s="216"/>
      <c r="B197" s="216"/>
      <c r="C197" s="547" t="s">
        <v>547</v>
      </c>
      <c r="D197" s="540"/>
      <c r="E197" s="540"/>
      <c r="F197" s="247"/>
      <c r="G197" s="548">
        <v>10178</v>
      </c>
      <c r="H197" s="542"/>
    </row>
    <row r="198" spans="1:8" ht="15" customHeight="1" x14ac:dyDescent="0.2">
      <c r="A198" s="216"/>
      <c r="B198" s="216"/>
      <c r="C198" s="547" t="s">
        <v>544</v>
      </c>
      <c r="D198" s="540"/>
      <c r="E198" s="540"/>
      <c r="F198" s="247"/>
      <c r="G198" s="548">
        <v>2400</v>
      </c>
      <c r="H198" s="542"/>
    </row>
    <row r="199" spans="1:8" ht="9" customHeight="1" x14ac:dyDescent="0.2"/>
    <row r="200" spans="1:8" ht="15.75" customHeight="1" x14ac:dyDescent="0.2">
      <c r="A200" s="543" t="s">
        <v>580</v>
      </c>
      <c r="B200" s="540"/>
      <c r="C200" s="540"/>
      <c r="D200" s="540"/>
      <c r="E200" s="540"/>
      <c r="F200" s="540"/>
      <c r="G200" s="540"/>
      <c r="H200" s="540"/>
    </row>
    <row r="201" spans="1:8" ht="15" customHeight="1" x14ac:dyDescent="0.2">
      <c r="C201" s="539" t="s">
        <v>373</v>
      </c>
      <c r="D201" s="540"/>
      <c r="E201" s="540"/>
      <c r="F201" s="215"/>
      <c r="G201" s="541">
        <v>213387</v>
      </c>
      <c r="H201" s="542"/>
    </row>
    <row r="202" spans="1:8" ht="15" customHeight="1" x14ac:dyDescent="0.2">
      <c r="C202" s="544" t="s">
        <v>548</v>
      </c>
      <c r="D202" s="540"/>
      <c r="E202" s="540"/>
      <c r="G202" s="545">
        <v>200809</v>
      </c>
      <c r="H202" s="542"/>
    </row>
    <row r="203" spans="1:8" ht="15" customHeight="1" x14ac:dyDescent="0.2">
      <c r="C203" s="544" t="s">
        <v>547</v>
      </c>
      <c r="D203" s="540"/>
      <c r="E203" s="540"/>
      <c r="G203" s="545">
        <v>10178</v>
      </c>
      <c r="H203" s="542"/>
    </row>
    <row r="204" spans="1:8" ht="15" customHeight="1" x14ac:dyDescent="0.2">
      <c r="C204" s="544" t="s">
        <v>544</v>
      </c>
      <c r="D204" s="540"/>
      <c r="E204" s="540"/>
      <c r="G204" s="545">
        <v>2400</v>
      </c>
      <c r="H204" s="542"/>
    </row>
    <row r="205" spans="1:8" ht="21" customHeight="1" x14ac:dyDescent="0.2"/>
    <row r="206" spans="1:8" ht="31.5" customHeight="1" x14ac:dyDescent="0.2">
      <c r="A206" s="546" t="s">
        <v>623</v>
      </c>
      <c r="B206" s="540"/>
      <c r="C206" s="540"/>
      <c r="D206" s="540"/>
      <c r="E206" s="540"/>
      <c r="F206" s="540"/>
      <c r="G206" s="540"/>
      <c r="H206" s="540"/>
    </row>
    <row r="207" spans="1:8" ht="15" customHeight="1" x14ac:dyDescent="0.2">
      <c r="A207" s="247"/>
      <c r="B207" s="247"/>
      <c r="C207" s="547" t="s">
        <v>373</v>
      </c>
      <c r="D207" s="540"/>
      <c r="E207" s="540"/>
      <c r="F207" s="247"/>
      <c r="G207" s="548">
        <v>2917771</v>
      </c>
      <c r="H207" s="542"/>
    </row>
    <row r="208" spans="1:8" ht="15" customHeight="1" x14ac:dyDescent="0.2">
      <c r="A208" s="247"/>
      <c r="B208" s="247"/>
      <c r="C208" s="547" t="s">
        <v>548</v>
      </c>
      <c r="D208" s="540"/>
      <c r="E208" s="540"/>
      <c r="F208" s="247"/>
      <c r="G208" s="548">
        <v>2558732</v>
      </c>
      <c r="H208" s="542"/>
    </row>
    <row r="209" spans="1:8" ht="15" customHeight="1" x14ac:dyDescent="0.2">
      <c r="A209" s="247"/>
      <c r="B209" s="247"/>
      <c r="C209" s="547" t="s">
        <v>547</v>
      </c>
      <c r="D209" s="540"/>
      <c r="E209" s="540"/>
      <c r="F209" s="247"/>
      <c r="G209" s="548">
        <v>279239</v>
      </c>
      <c r="H209" s="542"/>
    </row>
    <row r="210" spans="1:8" ht="15" customHeight="1" x14ac:dyDescent="0.2">
      <c r="A210" s="247"/>
      <c r="B210" s="247"/>
      <c r="C210" s="547" t="s">
        <v>544</v>
      </c>
      <c r="D210" s="540"/>
      <c r="E210" s="540"/>
      <c r="F210" s="247"/>
      <c r="G210" s="548">
        <v>79800</v>
      </c>
      <c r="H210" s="542"/>
    </row>
    <row r="211" spans="1:8" ht="9" customHeight="1" x14ac:dyDescent="0.2"/>
    <row r="212" spans="1:8" ht="15.75" customHeight="1" x14ac:dyDescent="0.2">
      <c r="A212" s="543" t="s">
        <v>579</v>
      </c>
      <c r="B212" s="540"/>
      <c r="C212" s="540"/>
      <c r="D212" s="540"/>
      <c r="E212" s="540"/>
      <c r="F212" s="540"/>
      <c r="G212" s="540"/>
      <c r="H212" s="540"/>
    </row>
    <row r="213" spans="1:8" ht="15" customHeight="1" x14ac:dyDescent="0.2">
      <c r="C213" s="539" t="s">
        <v>373</v>
      </c>
      <c r="D213" s="540"/>
      <c r="E213" s="540"/>
      <c r="F213" s="215"/>
      <c r="G213" s="541">
        <v>2917771</v>
      </c>
      <c r="H213" s="542"/>
    </row>
    <row r="214" spans="1:8" ht="15" customHeight="1" x14ac:dyDescent="0.2">
      <c r="C214" s="544" t="s">
        <v>548</v>
      </c>
      <c r="D214" s="540"/>
      <c r="E214" s="540"/>
      <c r="G214" s="545">
        <v>2558732</v>
      </c>
      <c r="H214" s="542"/>
    </row>
    <row r="215" spans="1:8" ht="15" customHeight="1" x14ac:dyDescent="0.2">
      <c r="C215" s="544" t="s">
        <v>547</v>
      </c>
      <c r="D215" s="540"/>
      <c r="E215" s="540"/>
      <c r="G215" s="545">
        <v>279239</v>
      </c>
      <c r="H215" s="542"/>
    </row>
    <row r="216" spans="1:8" ht="15" customHeight="1" x14ac:dyDescent="0.2">
      <c r="C216" s="544" t="s">
        <v>544</v>
      </c>
      <c r="D216" s="540"/>
      <c r="E216" s="540"/>
      <c r="G216" s="545">
        <v>79800</v>
      </c>
      <c r="H216" s="542"/>
    </row>
    <row r="217" spans="1:8" ht="25.5" customHeight="1" x14ac:dyDescent="0.2"/>
    <row r="218" spans="1:8" ht="31.5" customHeight="1" x14ac:dyDescent="0.2">
      <c r="A218" s="546" t="s">
        <v>624</v>
      </c>
      <c r="B218" s="540"/>
      <c r="C218" s="540"/>
      <c r="D218" s="540"/>
      <c r="E218" s="540"/>
      <c r="F218" s="540"/>
      <c r="G218" s="540"/>
      <c r="H218" s="540"/>
    </row>
    <row r="219" spans="1:8" ht="15" customHeight="1" x14ac:dyDescent="0.2">
      <c r="A219" s="216"/>
      <c r="B219" s="216"/>
      <c r="C219" s="547" t="s">
        <v>373</v>
      </c>
      <c r="D219" s="540"/>
      <c r="E219" s="540"/>
      <c r="F219" s="247"/>
      <c r="G219" s="548">
        <v>523838</v>
      </c>
      <c r="H219" s="542"/>
    </row>
    <row r="220" spans="1:8" ht="15" customHeight="1" x14ac:dyDescent="0.2">
      <c r="A220" s="216"/>
      <c r="B220" s="216"/>
      <c r="C220" s="547" t="s">
        <v>548</v>
      </c>
      <c r="D220" s="540"/>
      <c r="E220" s="540"/>
      <c r="F220" s="247"/>
      <c r="G220" s="548">
        <v>240317</v>
      </c>
      <c r="H220" s="542"/>
    </row>
    <row r="221" spans="1:8" ht="15" customHeight="1" x14ac:dyDescent="0.2">
      <c r="A221" s="216"/>
      <c r="B221" s="216"/>
      <c r="C221" s="547" t="s">
        <v>547</v>
      </c>
      <c r="D221" s="540"/>
      <c r="E221" s="540"/>
      <c r="F221" s="247"/>
      <c r="G221" s="548">
        <v>172321</v>
      </c>
      <c r="H221" s="542"/>
    </row>
    <row r="222" spans="1:8" ht="15" customHeight="1" x14ac:dyDescent="0.2">
      <c r="A222" s="216"/>
      <c r="B222" s="216"/>
      <c r="C222" s="547" t="s">
        <v>544</v>
      </c>
      <c r="D222" s="540"/>
      <c r="E222" s="540"/>
      <c r="F222" s="247"/>
      <c r="G222" s="548">
        <v>111200</v>
      </c>
      <c r="H222" s="542"/>
    </row>
    <row r="223" spans="1:8" ht="9" customHeight="1" x14ac:dyDescent="0.2"/>
    <row r="224" spans="1:8" ht="15.75" customHeight="1" x14ac:dyDescent="0.2">
      <c r="A224" s="543" t="s">
        <v>625</v>
      </c>
      <c r="B224" s="540"/>
      <c r="C224" s="540"/>
      <c r="D224" s="540"/>
      <c r="E224" s="540"/>
      <c r="F224" s="540"/>
      <c r="G224" s="540"/>
      <c r="H224" s="540"/>
    </row>
    <row r="225" spans="1:8" ht="15" customHeight="1" x14ac:dyDescent="0.2">
      <c r="C225" s="539" t="s">
        <v>373</v>
      </c>
      <c r="D225" s="540"/>
      <c r="E225" s="540"/>
      <c r="F225" s="215"/>
      <c r="G225" s="541">
        <v>479704</v>
      </c>
      <c r="H225" s="542"/>
    </row>
    <row r="226" spans="1:8" ht="15" customHeight="1" x14ac:dyDescent="0.2">
      <c r="C226" s="544" t="s">
        <v>548</v>
      </c>
      <c r="D226" s="540"/>
      <c r="E226" s="540"/>
      <c r="G226" s="545">
        <v>222474</v>
      </c>
      <c r="H226" s="542"/>
    </row>
    <row r="227" spans="1:8" ht="15" customHeight="1" x14ac:dyDescent="0.2">
      <c r="C227" s="544" t="s">
        <v>547</v>
      </c>
      <c r="D227" s="540"/>
      <c r="E227" s="540"/>
      <c r="G227" s="545">
        <v>146030</v>
      </c>
      <c r="H227" s="542"/>
    </row>
    <row r="228" spans="1:8" ht="15" customHeight="1" x14ac:dyDescent="0.2">
      <c r="C228" s="544" t="s">
        <v>544</v>
      </c>
      <c r="D228" s="540"/>
      <c r="E228" s="540"/>
      <c r="G228" s="545">
        <v>111200</v>
      </c>
      <c r="H228" s="542"/>
    </row>
    <row r="229" spans="1:8" ht="9" customHeight="1" x14ac:dyDescent="0.2"/>
    <row r="230" spans="1:8" ht="15.75" customHeight="1" x14ac:dyDescent="0.2">
      <c r="A230" s="543" t="s">
        <v>578</v>
      </c>
      <c r="B230" s="540"/>
      <c r="C230" s="540"/>
      <c r="D230" s="540"/>
      <c r="E230" s="540"/>
      <c r="F230" s="540"/>
      <c r="G230" s="540"/>
      <c r="H230" s="540"/>
    </row>
    <row r="231" spans="1:8" ht="15" customHeight="1" x14ac:dyDescent="0.2">
      <c r="C231" s="539" t="s">
        <v>373</v>
      </c>
      <c r="D231" s="540"/>
      <c r="E231" s="540"/>
      <c r="F231" s="215"/>
      <c r="G231" s="541">
        <v>44134</v>
      </c>
      <c r="H231" s="542"/>
    </row>
    <row r="232" spans="1:8" ht="15" customHeight="1" x14ac:dyDescent="0.2">
      <c r="C232" s="544" t="s">
        <v>548</v>
      </c>
      <c r="D232" s="540"/>
      <c r="E232" s="540"/>
      <c r="G232" s="545">
        <v>17843</v>
      </c>
      <c r="H232" s="542"/>
    </row>
    <row r="233" spans="1:8" ht="15" customHeight="1" x14ac:dyDescent="0.2">
      <c r="C233" s="544" t="s">
        <v>547</v>
      </c>
      <c r="D233" s="540"/>
      <c r="E233" s="540"/>
      <c r="G233" s="545">
        <v>26291</v>
      </c>
      <c r="H233" s="542"/>
    </row>
    <row r="234" spans="1:8" ht="21.75" customHeight="1" x14ac:dyDescent="0.2"/>
    <row r="235" spans="1:8" ht="31.5" customHeight="1" x14ac:dyDescent="0.2">
      <c r="A235" s="546" t="s">
        <v>626</v>
      </c>
      <c r="B235" s="540"/>
      <c r="C235" s="540"/>
      <c r="D235" s="540"/>
      <c r="E235" s="540"/>
      <c r="F235" s="540"/>
      <c r="G235" s="540"/>
      <c r="H235" s="540"/>
    </row>
    <row r="236" spans="1:8" ht="15" customHeight="1" x14ac:dyDescent="0.2">
      <c r="A236" s="216"/>
      <c r="B236" s="216"/>
      <c r="C236" s="547" t="s">
        <v>373</v>
      </c>
      <c r="D236" s="540"/>
      <c r="E236" s="540"/>
      <c r="F236" s="247"/>
      <c r="G236" s="548">
        <v>406642</v>
      </c>
      <c r="H236" s="542"/>
    </row>
    <row r="237" spans="1:8" ht="15" customHeight="1" x14ac:dyDescent="0.2">
      <c r="A237" s="216"/>
      <c r="B237" s="216"/>
      <c r="C237" s="547" t="s">
        <v>548</v>
      </c>
      <c r="D237" s="540"/>
      <c r="E237" s="540"/>
      <c r="F237" s="247"/>
      <c r="G237" s="548">
        <v>229582</v>
      </c>
      <c r="H237" s="542"/>
    </row>
    <row r="238" spans="1:8" ht="15" customHeight="1" x14ac:dyDescent="0.2">
      <c r="A238" s="216"/>
      <c r="B238" s="216"/>
      <c r="C238" s="547" t="s">
        <v>547</v>
      </c>
      <c r="D238" s="540"/>
      <c r="E238" s="540"/>
      <c r="F238" s="247"/>
      <c r="G238" s="548">
        <v>157260</v>
      </c>
      <c r="H238" s="542"/>
    </row>
    <row r="239" spans="1:8" ht="15" customHeight="1" x14ac:dyDescent="0.2">
      <c r="A239" s="216"/>
      <c r="B239" s="216"/>
      <c r="C239" s="547" t="s">
        <v>544</v>
      </c>
      <c r="D239" s="540"/>
      <c r="E239" s="540"/>
      <c r="F239" s="247"/>
      <c r="G239" s="548">
        <v>19800</v>
      </c>
      <c r="H239" s="542"/>
    </row>
    <row r="240" spans="1:8" ht="9" customHeight="1" x14ac:dyDescent="0.2"/>
    <row r="241" spans="1:8" ht="15.75" customHeight="1" x14ac:dyDescent="0.2">
      <c r="A241" s="543" t="s">
        <v>577</v>
      </c>
      <c r="B241" s="540"/>
      <c r="C241" s="540"/>
      <c r="D241" s="540"/>
      <c r="E241" s="540"/>
      <c r="F241" s="540"/>
      <c r="G241" s="540"/>
      <c r="H241" s="540"/>
    </row>
    <row r="242" spans="1:8" ht="15" customHeight="1" x14ac:dyDescent="0.2">
      <c r="C242" s="539" t="s">
        <v>373</v>
      </c>
      <c r="D242" s="540"/>
      <c r="E242" s="540"/>
      <c r="F242" s="215"/>
      <c r="G242" s="541">
        <v>406642</v>
      </c>
      <c r="H242" s="542"/>
    </row>
    <row r="243" spans="1:8" ht="15" customHeight="1" x14ac:dyDescent="0.2">
      <c r="C243" s="544" t="s">
        <v>548</v>
      </c>
      <c r="D243" s="540"/>
      <c r="E243" s="540"/>
      <c r="G243" s="545">
        <v>229582</v>
      </c>
      <c r="H243" s="542"/>
    </row>
    <row r="244" spans="1:8" ht="15" customHeight="1" x14ac:dyDescent="0.2">
      <c r="C244" s="544" t="s">
        <v>547</v>
      </c>
      <c r="D244" s="540"/>
      <c r="E244" s="540"/>
      <c r="G244" s="545">
        <v>157260</v>
      </c>
      <c r="H244" s="542"/>
    </row>
    <row r="245" spans="1:8" ht="15" customHeight="1" x14ac:dyDescent="0.2">
      <c r="C245" s="544" t="s">
        <v>544</v>
      </c>
      <c r="D245" s="540"/>
      <c r="E245" s="540"/>
      <c r="G245" s="545">
        <v>19800</v>
      </c>
      <c r="H245" s="542"/>
    </row>
    <row r="246" spans="1:8" ht="22.5" customHeight="1" x14ac:dyDescent="0.2"/>
    <row r="247" spans="1:8" ht="15.75" customHeight="1" x14ac:dyDescent="0.2">
      <c r="A247" s="546" t="s">
        <v>617</v>
      </c>
      <c r="B247" s="540"/>
      <c r="C247" s="540"/>
      <c r="D247" s="540"/>
      <c r="E247" s="540"/>
      <c r="F247" s="540"/>
      <c r="G247" s="540"/>
      <c r="H247" s="540"/>
    </row>
    <row r="248" spans="1:8" ht="15" customHeight="1" x14ac:dyDescent="0.2">
      <c r="A248" s="216"/>
      <c r="B248" s="216"/>
      <c r="C248" s="547" t="s">
        <v>373</v>
      </c>
      <c r="D248" s="540"/>
      <c r="E248" s="540"/>
      <c r="F248" s="247"/>
      <c r="G248" s="548">
        <v>5115683</v>
      </c>
      <c r="H248" s="542"/>
    </row>
    <row r="249" spans="1:8" ht="15" customHeight="1" x14ac:dyDescent="0.2">
      <c r="A249" s="216"/>
      <c r="B249" s="216"/>
      <c r="C249" s="547" t="s">
        <v>548</v>
      </c>
      <c r="D249" s="540"/>
      <c r="E249" s="540"/>
      <c r="F249" s="247"/>
      <c r="G249" s="548">
        <v>741560</v>
      </c>
      <c r="H249" s="542"/>
    </row>
    <row r="250" spans="1:8" ht="15" customHeight="1" x14ac:dyDescent="0.2">
      <c r="A250" s="216"/>
      <c r="B250" s="216"/>
      <c r="C250" s="547" t="s">
        <v>547</v>
      </c>
      <c r="D250" s="540"/>
      <c r="E250" s="540"/>
      <c r="F250" s="247"/>
      <c r="G250" s="548">
        <v>3646066</v>
      </c>
      <c r="H250" s="542"/>
    </row>
    <row r="251" spans="1:8" ht="15" customHeight="1" x14ac:dyDescent="0.2">
      <c r="A251" s="216"/>
      <c r="B251" s="216"/>
      <c r="C251" s="547" t="s">
        <v>546</v>
      </c>
      <c r="D251" s="540"/>
      <c r="E251" s="540"/>
      <c r="F251" s="247"/>
      <c r="G251" s="548">
        <v>100000</v>
      </c>
      <c r="H251" s="542"/>
    </row>
    <row r="252" spans="1:8" ht="15" customHeight="1" x14ac:dyDescent="0.2">
      <c r="A252" s="216"/>
      <c r="B252" s="216"/>
      <c r="C252" s="547" t="s">
        <v>544</v>
      </c>
      <c r="D252" s="540"/>
      <c r="E252" s="540"/>
      <c r="F252" s="247"/>
      <c r="G252" s="548">
        <v>578505</v>
      </c>
      <c r="H252" s="542"/>
    </row>
    <row r="253" spans="1:8" ht="15" customHeight="1" x14ac:dyDescent="0.2">
      <c r="A253" s="216"/>
      <c r="B253" s="216"/>
      <c r="C253" s="547" t="s">
        <v>543</v>
      </c>
      <c r="D253" s="540"/>
      <c r="E253" s="540"/>
      <c r="F253" s="247"/>
      <c r="G253" s="548">
        <v>48463</v>
      </c>
      <c r="H253" s="542"/>
    </row>
    <row r="254" spans="1:8" ht="30" customHeight="1" x14ac:dyDescent="0.2">
      <c r="A254" s="216"/>
      <c r="B254" s="216"/>
      <c r="C254" s="547" t="s">
        <v>542</v>
      </c>
      <c r="D254" s="540"/>
      <c r="E254" s="540"/>
      <c r="F254" s="247"/>
      <c r="G254" s="548">
        <v>1089</v>
      </c>
      <c r="H254" s="542"/>
    </row>
    <row r="256" spans="1:8" ht="15.75" customHeight="1" x14ac:dyDescent="0.2">
      <c r="A256" s="543" t="s">
        <v>381</v>
      </c>
      <c r="B256" s="540"/>
      <c r="C256" s="540"/>
      <c r="D256" s="540"/>
      <c r="E256" s="540"/>
      <c r="F256" s="540"/>
      <c r="G256" s="540"/>
      <c r="H256" s="540"/>
    </row>
    <row r="257" spans="1:8" ht="15" customHeight="1" x14ac:dyDescent="0.2">
      <c r="C257" s="539" t="s">
        <v>373</v>
      </c>
      <c r="D257" s="540"/>
      <c r="E257" s="540"/>
      <c r="F257" s="215"/>
      <c r="G257" s="541">
        <v>422045</v>
      </c>
      <c r="H257" s="542"/>
    </row>
    <row r="258" spans="1:8" ht="15" customHeight="1" x14ac:dyDescent="0.2">
      <c r="C258" s="544" t="s">
        <v>547</v>
      </c>
      <c r="D258" s="540"/>
      <c r="E258" s="540"/>
      <c r="G258" s="545">
        <v>275795</v>
      </c>
      <c r="H258" s="542"/>
    </row>
    <row r="259" spans="1:8" ht="15" customHeight="1" x14ac:dyDescent="0.2">
      <c r="C259" s="544" t="s">
        <v>544</v>
      </c>
      <c r="D259" s="540"/>
      <c r="E259" s="540"/>
      <c r="G259" s="545">
        <v>146250</v>
      </c>
      <c r="H259" s="542"/>
    </row>
    <row r="260" spans="1:8" ht="9" customHeight="1" x14ac:dyDescent="0.2"/>
    <row r="261" spans="1:8" ht="15.75" customHeight="1" x14ac:dyDescent="0.2">
      <c r="A261" s="543" t="s">
        <v>384</v>
      </c>
      <c r="B261" s="540"/>
      <c r="C261" s="540"/>
      <c r="D261" s="540"/>
      <c r="E261" s="540"/>
      <c r="F261" s="540"/>
      <c r="G261" s="540"/>
      <c r="H261" s="540"/>
    </row>
    <row r="262" spans="1:8" ht="15" customHeight="1" x14ac:dyDescent="0.2">
      <c r="C262" s="539" t="s">
        <v>373</v>
      </c>
      <c r="D262" s="540"/>
      <c r="E262" s="540"/>
      <c r="F262" s="215"/>
      <c r="G262" s="541">
        <v>989101</v>
      </c>
      <c r="H262" s="542"/>
    </row>
    <row r="263" spans="1:8" ht="15" customHeight="1" x14ac:dyDescent="0.2">
      <c r="C263" s="544" t="s">
        <v>547</v>
      </c>
      <c r="D263" s="540"/>
      <c r="E263" s="540"/>
      <c r="G263" s="545">
        <v>989101</v>
      </c>
      <c r="H263" s="542"/>
    </row>
    <row r="264" spans="1:8" ht="9" customHeight="1" x14ac:dyDescent="0.2"/>
    <row r="265" spans="1:8" ht="15.75" customHeight="1" x14ac:dyDescent="0.2">
      <c r="A265" s="543" t="s">
        <v>385</v>
      </c>
      <c r="B265" s="540"/>
      <c r="C265" s="540"/>
      <c r="D265" s="540"/>
      <c r="E265" s="540"/>
      <c r="F265" s="540"/>
      <c r="G265" s="540"/>
      <c r="H265" s="540"/>
    </row>
    <row r="266" spans="1:8" ht="15" customHeight="1" x14ac:dyDescent="0.2">
      <c r="C266" s="539" t="s">
        <v>373</v>
      </c>
      <c r="D266" s="540"/>
      <c r="E266" s="540"/>
      <c r="F266" s="215"/>
      <c r="G266" s="541">
        <v>579200</v>
      </c>
      <c r="H266" s="542"/>
    </row>
    <row r="267" spans="1:8" ht="15" customHeight="1" x14ac:dyDescent="0.2">
      <c r="C267" s="544" t="s">
        <v>547</v>
      </c>
      <c r="D267" s="540"/>
      <c r="E267" s="540"/>
      <c r="G267" s="545">
        <v>546200</v>
      </c>
      <c r="H267" s="542"/>
    </row>
    <row r="268" spans="1:8" ht="15" customHeight="1" x14ac:dyDescent="0.2">
      <c r="C268" s="544" t="s">
        <v>544</v>
      </c>
      <c r="D268" s="540"/>
      <c r="E268" s="540"/>
      <c r="G268" s="545">
        <v>33000</v>
      </c>
      <c r="H268" s="542"/>
    </row>
    <row r="269" spans="1:8" ht="9" customHeight="1" x14ac:dyDescent="0.2"/>
    <row r="270" spans="1:8" ht="15.75" customHeight="1" x14ac:dyDescent="0.2">
      <c r="A270" s="543" t="s">
        <v>387</v>
      </c>
      <c r="B270" s="540"/>
      <c r="C270" s="540"/>
      <c r="D270" s="540"/>
      <c r="E270" s="540"/>
      <c r="F270" s="540"/>
      <c r="G270" s="540"/>
      <c r="H270" s="540"/>
    </row>
    <row r="271" spans="1:8" ht="15" customHeight="1" x14ac:dyDescent="0.2">
      <c r="C271" s="539" t="s">
        <v>373</v>
      </c>
      <c r="D271" s="540"/>
      <c r="E271" s="540"/>
      <c r="F271" s="215"/>
      <c r="G271" s="541">
        <v>599490</v>
      </c>
      <c r="H271" s="542"/>
    </row>
    <row r="272" spans="1:8" ht="15" customHeight="1" x14ac:dyDescent="0.2">
      <c r="C272" s="544" t="s">
        <v>547</v>
      </c>
      <c r="D272" s="540"/>
      <c r="E272" s="540"/>
      <c r="G272" s="545">
        <v>515200</v>
      </c>
      <c r="H272" s="542"/>
    </row>
    <row r="273" spans="1:8" ht="15" customHeight="1" x14ac:dyDescent="0.2">
      <c r="C273" s="544" t="s">
        <v>544</v>
      </c>
      <c r="D273" s="540"/>
      <c r="E273" s="540"/>
      <c r="G273" s="545">
        <v>84290</v>
      </c>
      <c r="H273" s="542"/>
    </row>
    <row r="274" spans="1:8" ht="9" customHeight="1" x14ac:dyDescent="0.2"/>
    <row r="275" spans="1:8" ht="15.75" customHeight="1" x14ac:dyDescent="0.2">
      <c r="A275" s="543" t="s">
        <v>576</v>
      </c>
      <c r="B275" s="540"/>
      <c r="C275" s="540"/>
      <c r="D275" s="540"/>
      <c r="E275" s="540"/>
      <c r="F275" s="540"/>
      <c r="G275" s="540"/>
      <c r="H275" s="540"/>
    </row>
    <row r="276" spans="1:8" ht="15" customHeight="1" x14ac:dyDescent="0.2">
      <c r="C276" s="539" t="s">
        <v>373</v>
      </c>
      <c r="D276" s="540"/>
      <c r="E276" s="540"/>
      <c r="F276" s="215"/>
      <c r="G276" s="541">
        <v>898600</v>
      </c>
      <c r="H276" s="542"/>
    </row>
    <row r="277" spans="1:8" ht="15" customHeight="1" x14ac:dyDescent="0.2">
      <c r="C277" s="544" t="s">
        <v>548</v>
      </c>
      <c r="D277" s="540"/>
      <c r="E277" s="540"/>
      <c r="G277" s="545">
        <v>740023</v>
      </c>
      <c r="H277" s="542"/>
    </row>
    <row r="278" spans="1:8" ht="15" customHeight="1" x14ac:dyDescent="0.2">
      <c r="C278" s="544" t="s">
        <v>547</v>
      </c>
      <c r="D278" s="540"/>
      <c r="E278" s="540"/>
      <c r="G278" s="545">
        <v>112427</v>
      </c>
      <c r="H278" s="542"/>
    </row>
    <row r="279" spans="1:8" ht="15" customHeight="1" x14ac:dyDescent="0.2">
      <c r="C279" s="544" t="s">
        <v>544</v>
      </c>
      <c r="D279" s="540"/>
      <c r="E279" s="540"/>
      <c r="G279" s="545">
        <v>46150</v>
      </c>
      <c r="H279" s="542"/>
    </row>
    <row r="280" spans="1:8" ht="9" customHeight="1" x14ac:dyDescent="0.2"/>
    <row r="281" spans="1:8" ht="31.5" customHeight="1" x14ac:dyDescent="0.2">
      <c r="A281" s="543" t="s">
        <v>388</v>
      </c>
      <c r="B281" s="540"/>
      <c r="C281" s="540"/>
      <c r="D281" s="540"/>
      <c r="E281" s="540"/>
      <c r="F281" s="540"/>
      <c r="G281" s="540"/>
      <c r="H281" s="540"/>
    </row>
    <row r="282" spans="1:8" ht="15" customHeight="1" x14ac:dyDescent="0.2">
      <c r="C282" s="539" t="s">
        <v>373</v>
      </c>
      <c r="D282" s="540"/>
      <c r="E282" s="540"/>
      <c r="F282" s="215"/>
      <c r="G282" s="541">
        <v>1553158</v>
      </c>
      <c r="H282" s="542"/>
    </row>
    <row r="283" spans="1:8" ht="15" customHeight="1" x14ac:dyDescent="0.2">
      <c r="C283" s="544" t="s">
        <v>547</v>
      </c>
      <c r="D283" s="540"/>
      <c r="E283" s="540"/>
      <c r="G283" s="545">
        <v>1184343</v>
      </c>
      <c r="H283" s="542"/>
    </row>
    <row r="284" spans="1:8" ht="15" customHeight="1" x14ac:dyDescent="0.2">
      <c r="C284" s="544" t="s">
        <v>546</v>
      </c>
      <c r="D284" s="540"/>
      <c r="E284" s="540"/>
      <c r="G284" s="545">
        <v>100000</v>
      </c>
      <c r="H284" s="542"/>
    </row>
    <row r="285" spans="1:8" ht="15" customHeight="1" x14ac:dyDescent="0.2">
      <c r="C285" s="544" t="s">
        <v>544</v>
      </c>
      <c r="D285" s="540"/>
      <c r="E285" s="540"/>
      <c r="G285" s="545">
        <v>268815</v>
      </c>
      <c r="H285" s="542"/>
    </row>
    <row r="286" spans="1:8" ht="9" customHeight="1" x14ac:dyDescent="0.2"/>
    <row r="287" spans="1:8" ht="15.75" customHeight="1" x14ac:dyDescent="0.2">
      <c r="A287" s="543" t="s">
        <v>417</v>
      </c>
      <c r="B287" s="540"/>
      <c r="C287" s="540"/>
      <c r="D287" s="540"/>
      <c r="E287" s="540"/>
      <c r="F287" s="540"/>
      <c r="G287" s="540"/>
      <c r="H287" s="540"/>
    </row>
    <row r="288" spans="1:8" ht="15" customHeight="1" x14ac:dyDescent="0.2">
      <c r="C288" s="539" t="s">
        <v>373</v>
      </c>
      <c r="D288" s="540"/>
      <c r="E288" s="540"/>
      <c r="F288" s="215"/>
      <c r="G288" s="541">
        <v>74089</v>
      </c>
      <c r="H288" s="542"/>
    </row>
    <row r="289" spans="1:8" ht="15" customHeight="1" x14ac:dyDescent="0.2">
      <c r="C289" s="544" t="s">
        <v>548</v>
      </c>
      <c r="D289" s="540"/>
      <c r="E289" s="540"/>
      <c r="G289" s="545">
        <v>1537</v>
      </c>
      <c r="H289" s="542"/>
    </row>
    <row r="290" spans="1:8" ht="15" customHeight="1" x14ac:dyDescent="0.2">
      <c r="C290" s="544" t="s">
        <v>547</v>
      </c>
      <c r="D290" s="540"/>
      <c r="E290" s="540"/>
      <c r="G290" s="545">
        <v>23000</v>
      </c>
      <c r="H290" s="542"/>
    </row>
    <row r="291" spans="1:8" ht="15" customHeight="1" x14ac:dyDescent="0.2">
      <c r="C291" s="544" t="s">
        <v>543</v>
      </c>
      <c r="D291" s="540"/>
      <c r="E291" s="540"/>
      <c r="G291" s="545">
        <v>48463</v>
      </c>
      <c r="H291" s="542"/>
    </row>
    <row r="292" spans="1:8" ht="30" customHeight="1" x14ac:dyDescent="0.2">
      <c r="C292" s="544" t="s">
        <v>542</v>
      </c>
      <c r="D292" s="540"/>
      <c r="E292" s="540"/>
      <c r="G292" s="545">
        <v>1089</v>
      </c>
      <c r="H292" s="542"/>
    </row>
    <row r="293" spans="1:8" ht="21" customHeight="1" x14ac:dyDescent="0.2"/>
    <row r="294" spans="1:8" ht="31.5" customHeight="1" x14ac:dyDescent="0.2">
      <c r="A294" s="546" t="s">
        <v>618</v>
      </c>
      <c r="B294" s="540"/>
      <c r="C294" s="540"/>
      <c r="D294" s="540"/>
      <c r="E294" s="540"/>
      <c r="F294" s="540"/>
      <c r="G294" s="540"/>
      <c r="H294" s="540"/>
    </row>
    <row r="295" spans="1:8" ht="15" customHeight="1" x14ac:dyDescent="0.2">
      <c r="A295" s="216"/>
      <c r="B295" s="216"/>
      <c r="C295" s="547" t="s">
        <v>373</v>
      </c>
      <c r="D295" s="540"/>
      <c r="E295" s="540"/>
      <c r="F295" s="247"/>
      <c r="G295" s="548">
        <v>3432778</v>
      </c>
      <c r="H295" s="542"/>
    </row>
    <row r="296" spans="1:8" ht="15" customHeight="1" x14ac:dyDescent="0.2">
      <c r="A296" s="216"/>
      <c r="B296" s="216"/>
      <c r="C296" s="547" t="s">
        <v>548</v>
      </c>
      <c r="D296" s="540"/>
      <c r="E296" s="540"/>
      <c r="F296" s="247"/>
      <c r="G296" s="548">
        <v>1380723</v>
      </c>
      <c r="H296" s="542"/>
    </row>
    <row r="297" spans="1:8" ht="15" customHeight="1" x14ac:dyDescent="0.2">
      <c r="A297" s="216"/>
      <c r="B297" s="216"/>
      <c r="C297" s="547" t="s">
        <v>547</v>
      </c>
      <c r="D297" s="540"/>
      <c r="E297" s="540"/>
      <c r="F297" s="247"/>
      <c r="G297" s="548">
        <v>1465724</v>
      </c>
      <c r="H297" s="542"/>
    </row>
    <row r="298" spans="1:8" ht="15" customHeight="1" x14ac:dyDescent="0.2">
      <c r="A298" s="216"/>
      <c r="B298" s="216"/>
      <c r="C298" s="547" t="s">
        <v>546</v>
      </c>
      <c r="D298" s="540"/>
      <c r="E298" s="540"/>
      <c r="F298" s="247"/>
      <c r="G298" s="548">
        <v>443965</v>
      </c>
      <c r="H298" s="542"/>
    </row>
    <row r="299" spans="1:8" ht="15" customHeight="1" x14ac:dyDescent="0.2">
      <c r="A299" s="216"/>
      <c r="B299" s="216"/>
      <c r="C299" s="547" t="s">
        <v>544</v>
      </c>
      <c r="D299" s="540"/>
      <c r="E299" s="540"/>
      <c r="F299" s="247"/>
      <c r="G299" s="548">
        <v>142366</v>
      </c>
      <c r="H299" s="542"/>
    </row>
    <row r="300" spans="1:8" ht="9" customHeight="1" x14ac:dyDescent="0.2"/>
    <row r="301" spans="1:8" ht="15.75" customHeight="1" x14ac:dyDescent="0.2">
      <c r="A301" s="543" t="s">
        <v>575</v>
      </c>
      <c r="B301" s="540"/>
      <c r="C301" s="540"/>
      <c r="D301" s="540"/>
      <c r="E301" s="540"/>
      <c r="F301" s="540"/>
      <c r="G301" s="540"/>
      <c r="H301" s="540"/>
    </row>
    <row r="302" spans="1:8" ht="15" customHeight="1" x14ac:dyDescent="0.2">
      <c r="C302" s="539" t="s">
        <v>373</v>
      </c>
      <c r="D302" s="540"/>
      <c r="E302" s="540"/>
      <c r="F302" s="215"/>
      <c r="G302" s="541">
        <v>641727</v>
      </c>
      <c r="H302" s="542"/>
    </row>
    <row r="303" spans="1:8" ht="15" customHeight="1" x14ac:dyDescent="0.2">
      <c r="C303" s="544" t="s">
        <v>548</v>
      </c>
      <c r="D303" s="540"/>
      <c r="E303" s="540"/>
      <c r="G303" s="545">
        <v>292866</v>
      </c>
      <c r="H303" s="542"/>
    </row>
    <row r="304" spans="1:8" ht="15" customHeight="1" x14ac:dyDescent="0.2">
      <c r="C304" s="544" t="s">
        <v>547</v>
      </c>
      <c r="D304" s="540"/>
      <c r="E304" s="540"/>
      <c r="G304" s="545">
        <v>208495</v>
      </c>
      <c r="H304" s="542"/>
    </row>
    <row r="305" spans="1:8" ht="15" customHeight="1" x14ac:dyDescent="0.2">
      <c r="C305" s="544" t="s">
        <v>544</v>
      </c>
      <c r="D305" s="540"/>
      <c r="E305" s="540"/>
      <c r="G305" s="545">
        <v>140366</v>
      </c>
      <c r="H305" s="542"/>
    </row>
    <row r="306" spans="1:8" ht="9" customHeight="1" x14ac:dyDescent="0.2"/>
    <row r="307" spans="1:8" ht="15.75" customHeight="1" x14ac:dyDescent="0.2">
      <c r="A307" s="543" t="s">
        <v>395</v>
      </c>
      <c r="B307" s="540"/>
      <c r="C307" s="540"/>
      <c r="D307" s="540"/>
      <c r="E307" s="540"/>
      <c r="F307" s="540"/>
      <c r="G307" s="540"/>
      <c r="H307" s="540"/>
    </row>
    <row r="308" spans="1:8" ht="15" customHeight="1" x14ac:dyDescent="0.2">
      <c r="C308" s="539" t="s">
        <v>373</v>
      </c>
      <c r="D308" s="540"/>
      <c r="E308" s="540"/>
      <c r="F308" s="215"/>
      <c r="G308" s="541">
        <v>609435</v>
      </c>
      <c r="H308" s="542"/>
    </row>
    <row r="309" spans="1:8" ht="15" customHeight="1" x14ac:dyDescent="0.2">
      <c r="C309" s="544" t="s">
        <v>548</v>
      </c>
      <c r="D309" s="540"/>
      <c r="E309" s="540"/>
      <c r="G309" s="545">
        <v>3500</v>
      </c>
      <c r="H309" s="542"/>
    </row>
    <row r="310" spans="1:8" ht="15" customHeight="1" x14ac:dyDescent="0.2">
      <c r="C310" s="544" t="s">
        <v>547</v>
      </c>
      <c r="D310" s="540"/>
      <c r="E310" s="540"/>
      <c r="G310" s="545">
        <v>159970</v>
      </c>
      <c r="H310" s="542"/>
    </row>
    <row r="311" spans="1:8" ht="15" customHeight="1" x14ac:dyDescent="0.2">
      <c r="C311" s="544" t="s">
        <v>546</v>
      </c>
      <c r="D311" s="540"/>
      <c r="E311" s="540"/>
      <c r="G311" s="545">
        <v>443965</v>
      </c>
      <c r="H311" s="542"/>
    </row>
    <row r="312" spans="1:8" ht="15" customHeight="1" x14ac:dyDescent="0.2">
      <c r="C312" s="544" t="s">
        <v>544</v>
      </c>
      <c r="D312" s="540"/>
      <c r="E312" s="540"/>
      <c r="G312" s="545">
        <v>2000</v>
      </c>
      <c r="H312" s="542"/>
    </row>
    <row r="313" spans="1:8" ht="9" customHeight="1" x14ac:dyDescent="0.2"/>
    <row r="314" spans="1:8" ht="15.75" customHeight="1" x14ac:dyDescent="0.2">
      <c r="A314" s="543" t="s">
        <v>457</v>
      </c>
      <c r="B314" s="540"/>
      <c r="C314" s="540"/>
      <c r="D314" s="540"/>
      <c r="E314" s="540"/>
      <c r="F314" s="540"/>
      <c r="G314" s="540"/>
      <c r="H314" s="540"/>
    </row>
    <row r="315" spans="1:8" ht="15" customHeight="1" x14ac:dyDescent="0.2">
      <c r="C315" s="539" t="s">
        <v>373</v>
      </c>
      <c r="D315" s="540"/>
      <c r="E315" s="540"/>
      <c r="F315" s="215"/>
      <c r="G315" s="541">
        <v>2181616</v>
      </c>
      <c r="H315" s="542"/>
    </row>
    <row r="316" spans="1:8" ht="15" customHeight="1" x14ac:dyDescent="0.2">
      <c r="C316" s="544" t="s">
        <v>548</v>
      </c>
      <c r="D316" s="540"/>
      <c r="E316" s="540"/>
      <c r="G316" s="545">
        <v>1084357</v>
      </c>
      <c r="H316" s="542"/>
    </row>
    <row r="317" spans="1:8" ht="15" customHeight="1" x14ac:dyDescent="0.2">
      <c r="C317" s="544" t="s">
        <v>547</v>
      </c>
      <c r="D317" s="540"/>
      <c r="E317" s="540"/>
      <c r="G317" s="545">
        <v>1097259</v>
      </c>
      <c r="H317" s="542"/>
    </row>
    <row r="318" spans="1:8" ht="9" customHeight="1" x14ac:dyDescent="0.2"/>
    <row r="319" spans="1:8" ht="15.75" customHeight="1" x14ac:dyDescent="0.2">
      <c r="A319" s="543" t="s">
        <v>409</v>
      </c>
      <c r="B319" s="540"/>
      <c r="C319" s="540"/>
      <c r="D319" s="540"/>
      <c r="E319" s="540"/>
      <c r="F319" s="540"/>
      <c r="G319" s="540"/>
      <c r="H319" s="540"/>
    </row>
    <row r="320" spans="1:8" ht="15" customHeight="1" x14ac:dyDescent="0.2">
      <c r="C320" s="539" t="s">
        <v>373</v>
      </c>
      <c r="D320" s="540"/>
      <c r="E320" s="540"/>
      <c r="F320" s="215"/>
      <c r="G320" s="541">
        <v>954874</v>
      </c>
      <c r="H320" s="542"/>
    </row>
    <row r="321" spans="1:10" ht="15" customHeight="1" x14ac:dyDescent="0.2">
      <c r="C321" s="544" t="s">
        <v>548</v>
      </c>
      <c r="D321" s="540"/>
      <c r="E321" s="540"/>
      <c r="G321" s="545">
        <v>607926</v>
      </c>
      <c r="H321" s="542"/>
    </row>
    <row r="322" spans="1:10" ht="15" customHeight="1" x14ac:dyDescent="0.2">
      <c r="C322" s="544" t="s">
        <v>547</v>
      </c>
      <c r="D322" s="540"/>
      <c r="E322" s="540"/>
      <c r="G322" s="545">
        <v>346948</v>
      </c>
      <c r="H322" s="542"/>
    </row>
    <row r="324" spans="1:10" ht="15.75" customHeight="1" x14ac:dyDescent="0.2">
      <c r="A324" s="543" t="s">
        <v>410</v>
      </c>
      <c r="B324" s="540"/>
      <c r="C324" s="540"/>
      <c r="D324" s="540"/>
      <c r="E324" s="540"/>
      <c r="F324" s="540"/>
      <c r="G324" s="540"/>
      <c r="H324" s="540"/>
    </row>
    <row r="325" spans="1:10" ht="15" customHeight="1" x14ac:dyDescent="0.2">
      <c r="C325" s="539" t="s">
        <v>373</v>
      </c>
      <c r="D325" s="540"/>
      <c r="E325" s="540"/>
      <c r="F325" s="215"/>
      <c r="G325" s="541">
        <v>413153</v>
      </c>
      <c r="H325" s="542"/>
      <c r="I325" s="215"/>
      <c r="J325" s="215"/>
    </row>
    <row r="326" spans="1:10" ht="15" customHeight="1" x14ac:dyDescent="0.2">
      <c r="C326" s="544" t="s">
        <v>548</v>
      </c>
      <c r="D326" s="540"/>
      <c r="E326" s="540"/>
      <c r="G326" s="545">
        <v>176579</v>
      </c>
      <c r="H326" s="542"/>
    </row>
    <row r="327" spans="1:10" ht="15" customHeight="1" x14ac:dyDescent="0.2">
      <c r="C327" s="544" t="s">
        <v>547</v>
      </c>
      <c r="D327" s="540"/>
      <c r="E327" s="540"/>
      <c r="G327" s="545">
        <v>236574</v>
      </c>
      <c r="H327" s="542"/>
    </row>
    <row r="328" spans="1:10" ht="9" hidden="1" customHeight="1" x14ac:dyDescent="0.2"/>
    <row r="329" spans="1:10" ht="15.75" customHeight="1" x14ac:dyDescent="0.2">
      <c r="A329" s="543" t="s">
        <v>411</v>
      </c>
      <c r="B329" s="540"/>
      <c r="C329" s="540"/>
      <c r="D329" s="540"/>
      <c r="E329" s="540"/>
      <c r="F329" s="540"/>
      <c r="G329" s="540"/>
      <c r="H329" s="540"/>
    </row>
    <row r="330" spans="1:10" ht="15" customHeight="1" x14ac:dyDescent="0.2">
      <c r="C330" s="539" t="s">
        <v>373</v>
      </c>
      <c r="D330" s="540"/>
      <c r="E330" s="540"/>
      <c r="F330" s="215"/>
      <c r="G330" s="541">
        <v>813589</v>
      </c>
      <c r="H330" s="542"/>
    </row>
    <row r="331" spans="1:10" ht="15" customHeight="1" x14ac:dyDescent="0.2">
      <c r="C331" s="544" t="s">
        <v>548</v>
      </c>
      <c r="D331" s="540"/>
      <c r="E331" s="540"/>
      <c r="G331" s="545">
        <v>299852</v>
      </c>
      <c r="H331" s="542"/>
    </row>
    <row r="332" spans="1:10" ht="15" customHeight="1" x14ac:dyDescent="0.2">
      <c r="C332" s="544" t="s">
        <v>547</v>
      </c>
      <c r="D332" s="540"/>
      <c r="E332" s="540"/>
      <c r="G332" s="545">
        <v>513737</v>
      </c>
      <c r="H332" s="542"/>
    </row>
    <row r="333" spans="1:10" ht="22.5" customHeight="1" x14ac:dyDescent="0.2"/>
    <row r="334" spans="1:10" ht="31.5" customHeight="1" x14ac:dyDescent="0.2">
      <c r="A334" s="546" t="s">
        <v>627</v>
      </c>
      <c r="B334" s="540"/>
      <c r="C334" s="540"/>
      <c r="D334" s="540"/>
      <c r="E334" s="540"/>
      <c r="F334" s="540"/>
      <c r="G334" s="540"/>
      <c r="H334" s="540"/>
    </row>
    <row r="335" spans="1:10" ht="15" customHeight="1" x14ac:dyDescent="0.2">
      <c r="A335" s="216"/>
      <c r="B335" s="216"/>
      <c r="C335" s="547" t="s">
        <v>373</v>
      </c>
      <c r="D335" s="540"/>
      <c r="E335" s="540"/>
      <c r="F335" s="247"/>
      <c r="G335" s="548">
        <v>936587</v>
      </c>
      <c r="H335" s="542"/>
    </row>
    <row r="336" spans="1:10" ht="15" customHeight="1" x14ac:dyDescent="0.2">
      <c r="A336" s="216"/>
      <c r="B336" s="216"/>
      <c r="C336" s="547" t="s">
        <v>548</v>
      </c>
      <c r="D336" s="540"/>
      <c r="E336" s="540"/>
      <c r="F336" s="247"/>
      <c r="G336" s="548">
        <v>539893</v>
      </c>
      <c r="H336" s="542"/>
    </row>
    <row r="337" spans="1:8" ht="15" customHeight="1" x14ac:dyDescent="0.2">
      <c r="A337" s="216"/>
      <c r="B337" s="216"/>
      <c r="C337" s="547" t="s">
        <v>547</v>
      </c>
      <c r="D337" s="540"/>
      <c r="E337" s="540"/>
      <c r="F337" s="247"/>
      <c r="G337" s="548">
        <v>158495</v>
      </c>
      <c r="H337" s="542"/>
    </row>
    <row r="338" spans="1:8" ht="15" customHeight="1" x14ac:dyDescent="0.2">
      <c r="A338" s="216"/>
      <c r="B338" s="216"/>
      <c r="C338" s="547" t="s">
        <v>544</v>
      </c>
      <c r="D338" s="540"/>
      <c r="E338" s="540"/>
      <c r="F338" s="247"/>
      <c r="G338" s="548">
        <v>238199</v>
      </c>
      <c r="H338" s="542"/>
    </row>
    <row r="339" spans="1:8" ht="9" customHeight="1" x14ac:dyDescent="0.2"/>
    <row r="340" spans="1:8" ht="15.75" customHeight="1" x14ac:dyDescent="0.2">
      <c r="A340" s="543" t="s">
        <v>574</v>
      </c>
      <c r="B340" s="540"/>
      <c r="C340" s="540"/>
      <c r="D340" s="540"/>
      <c r="E340" s="540"/>
      <c r="F340" s="540"/>
      <c r="G340" s="540"/>
      <c r="H340" s="540"/>
    </row>
    <row r="341" spans="1:8" ht="15" customHeight="1" x14ac:dyDescent="0.2">
      <c r="C341" s="539" t="s">
        <v>373</v>
      </c>
      <c r="D341" s="540"/>
      <c r="E341" s="540"/>
      <c r="F341" s="215"/>
      <c r="G341" s="541">
        <v>886267</v>
      </c>
      <c r="H341" s="542"/>
    </row>
    <row r="342" spans="1:8" ht="15" customHeight="1" x14ac:dyDescent="0.2">
      <c r="C342" s="544" t="s">
        <v>548</v>
      </c>
      <c r="D342" s="540"/>
      <c r="E342" s="540"/>
      <c r="G342" s="545">
        <v>520991</v>
      </c>
      <c r="H342" s="542"/>
    </row>
    <row r="343" spans="1:8" ht="15" customHeight="1" x14ac:dyDescent="0.2">
      <c r="C343" s="544" t="s">
        <v>547</v>
      </c>
      <c r="D343" s="540"/>
      <c r="E343" s="540"/>
      <c r="G343" s="545">
        <v>127077</v>
      </c>
      <c r="H343" s="542"/>
    </row>
    <row r="344" spans="1:8" ht="15" customHeight="1" x14ac:dyDescent="0.2">
      <c r="C344" s="544" t="s">
        <v>544</v>
      </c>
      <c r="D344" s="540"/>
      <c r="E344" s="540"/>
      <c r="G344" s="545">
        <v>238199</v>
      </c>
      <c r="H344" s="542"/>
    </row>
    <row r="345" spans="1:8" ht="9" customHeight="1" x14ac:dyDescent="0.2"/>
    <row r="346" spans="1:8" ht="31.5" customHeight="1" x14ac:dyDescent="0.2">
      <c r="A346" s="543" t="s">
        <v>573</v>
      </c>
      <c r="B346" s="540"/>
      <c r="C346" s="540"/>
      <c r="D346" s="540"/>
      <c r="E346" s="540"/>
      <c r="F346" s="540"/>
      <c r="G346" s="540"/>
      <c r="H346" s="540"/>
    </row>
    <row r="347" spans="1:8" ht="15" customHeight="1" x14ac:dyDescent="0.2">
      <c r="C347" s="539" t="s">
        <v>373</v>
      </c>
      <c r="D347" s="540"/>
      <c r="E347" s="540"/>
      <c r="F347" s="215"/>
      <c r="G347" s="541">
        <v>50320</v>
      </c>
      <c r="H347" s="542"/>
    </row>
    <row r="348" spans="1:8" ht="15" customHeight="1" x14ac:dyDescent="0.2">
      <c r="C348" s="544" t="s">
        <v>548</v>
      </c>
      <c r="D348" s="540"/>
      <c r="E348" s="540"/>
      <c r="G348" s="545">
        <v>18902</v>
      </c>
      <c r="H348" s="542"/>
    </row>
    <row r="349" spans="1:8" ht="15" customHeight="1" x14ac:dyDescent="0.2">
      <c r="C349" s="544" t="s">
        <v>547</v>
      </c>
      <c r="D349" s="540"/>
      <c r="E349" s="540"/>
      <c r="G349" s="545">
        <v>31418</v>
      </c>
      <c r="H349" s="542"/>
    </row>
    <row r="350" spans="1:8" ht="22.5" customHeight="1" x14ac:dyDescent="0.2"/>
    <row r="351" spans="1:8" ht="31.5" customHeight="1" x14ac:dyDescent="0.2">
      <c r="A351" s="546" t="s">
        <v>619</v>
      </c>
      <c r="B351" s="540"/>
      <c r="C351" s="540"/>
      <c r="D351" s="540"/>
      <c r="E351" s="540"/>
      <c r="F351" s="540"/>
      <c r="G351" s="540"/>
      <c r="H351" s="540"/>
    </row>
    <row r="352" spans="1:8" ht="15" customHeight="1" x14ac:dyDescent="0.2">
      <c r="A352" s="216"/>
      <c r="B352" s="216"/>
      <c r="C352" s="547" t="s">
        <v>373</v>
      </c>
      <c r="D352" s="540"/>
      <c r="E352" s="540"/>
      <c r="F352" s="247"/>
      <c r="G352" s="548">
        <v>719000</v>
      </c>
      <c r="H352" s="542"/>
    </row>
    <row r="353" spans="1:8" ht="15" customHeight="1" x14ac:dyDescent="0.2">
      <c r="A353" s="216"/>
      <c r="B353" s="216"/>
      <c r="C353" s="547" t="s">
        <v>548</v>
      </c>
      <c r="D353" s="540"/>
      <c r="E353" s="540"/>
      <c r="F353" s="247"/>
      <c r="G353" s="548">
        <v>357795</v>
      </c>
      <c r="H353" s="542"/>
    </row>
    <row r="354" spans="1:8" ht="15" customHeight="1" x14ac:dyDescent="0.2">
      <c r="A354" s="216"/>
      <c r="B354" s="216"/>
      <c r="C354" s="547" t="s">
        <v>547</v>
      </c>
      <c r="D354" s="540"/>
      <c r="E354" s="540"/>
      <c r="F354" s="247"/>
      <c r="G354" s="548">
        <v>122645</v>
      </c>
      <c r="H354" s="542"/>
    </row>
    <row r="355" spans="1:8" ht="15" customHeight="1" x14ac:dyDescent="0.2">
      <c r="A355" s="216"/>
      <c r="B355" s="216"/>
      <c r="C355" s="547" t="s">
        <v>544</v>
      </c>
      <c r="D355" s="540"/>
      <c r="E355" s="540"/>
      <c r="F355" s="247"/>
      <c r="G355" s="548">
        <v>238560</v>
      </c>
      <c r="H355" s="542"/>
    </row>
    <row r="356" spans="1:8" ht="9" customHeight="1" x14ac:dyDescent="0.2"/>
    <row r="357" spans="1:8" ht="15.75" customHeight="1" x14ac:dyDescent="0.2">
      <c r="A357" s="543" t="s">
        <v>572</v>
      </c>
      <c r="B357" s="540"/>
      <c r="C357" s="540"/>
      <c r="D357" s="540"/>
      <c r="E357" s="540"/>
      <c r="F357" s="540"/>
      <c r="G357" s="540"/>
      <c r="H357" s="540"/>
    </row>
    <row r="358" spans="1:8" ht="15" customHeight="1" x14ac:dyDescent="0.2">
      <c r="C358" s="544" t="s">
        <v>373</v>
      </c>
      <c r="D358" s="540"/>
      <c r="E358" s="540"/>
      <c r="G358" s="545">
        <v>719000</v>
      </c>
      <c r="H358" s="542"/>
    </row>
    <row r="359" spans="1:8" ht="15" customHeight="1" x14ac:dyDescent="0.2">
      <c r="C359" s="544" t="s">
        <v>548</v>
      </c>
      <c r="D359" s="540"/>
      <c r="E359" s="540"/>
      <c r="G359" s="545">
        <v>357795</v>
      </c>
      <c r="H359" s="542"/>
    </row>
    <row r="360" spans="1:8" ht="15" customHeight="1" x14ac:dyDescent="0.2">
      <c r="C360" s="544" t="s">
        <v>547</v>
      </c>
      <c r="D360" s="540"/>
      <c r="E360" s="540"/>
      <c r="G360" s="545">
        <v>122645</v>
      </c>
      <c r="H360" s="542"/>
    </row>
    <row r="361" spans="1:8" ht="15" customHeight="1" x14ac:dyDescent="0.2">
      <c r="C361" s="544" t="s">
        <v>544</v>
      </c>
      <c r="D361" s="540"/>
      <c r="E361" s="540"/>
      <c r="G361" s="545">
        <v>238560</v>
      </c>
      <c r="H361" s="542"/>
    </row>
    <row r="362" spans="1:8" ht="22.5" customHeight="1" x14ac:dyDescent="0.2"/>
    <row r="363" spans="1:8" ht="15.75" customHeight="1" x14ac:dyDescent="0.2">
      <c r="A363" s="546" t="s">
        <v>620</v>
      </c>
      <c r="B363" s="540"/>
      <c r="C363" s="540"/>
      <c r="D363" s="540"/>
      <c r="E363" s="540"/>
      <c r="F363" s="540"/>
      <c r="G363" s="540"/>
      <c r="H363" s="540"/>
    </row>
    <row r="364" spans="1:8" ht="15" customHeight="1" x14ac:dyDescent="0.2">
      <c r="A364" s="216"/>
      <c r="B364" s="216"/>
      <c r="C364" s="547" t="s">
        <v>373</v>
      </c>
      <c r="D364" s="540"/>
      <c r="E364" s="540"/>
      <c r="F364" s="247"/>
      <c r="G364" s="548">
        <v>2865465</v>
      </c>
      <c r="H364" s="542"/>
    </row>
    <row r="365" spans="1:8" ht="15" customHeight="1" x14ac:dyDescent="0.2">
      <c r="A365" s="216"/>
      <c r="B365" s="216"/>
      <c r="C365" s="547" t="s">
        <v>548</v>
      </c>
      <c r="D365" s="540"/>
      <c r="E365" s="540"/>
      <c r="F365" s="247"/>
      <c r="G365" s="548">
        <v>1434783</v>
      </c>
      <c r="H365" s="542"/>
    </row>
    <row r="366" spans="1:8" ht="15" customHeight="1" x14ac:dyDescent="0.2">
      <c r="A366" s="216"/>
      <c r="B366" s="216"/>
      <c r="C366" s="547" t="s">
        <v>547</v>
      </c>
      <c r="D366" s="540"/>
      <c r="E366" s="540"/>
      <c r="F366" s="247"/>
      <c r="G366" s="548">
        <v>1286411</v>
      </c>
      <c r="H366" s="542"/>
    </row>
    <row r="367" spans="1:8" ht="15" customHeight="1" x14ac:dyDescent="0.2">
      <c r="A367" s="216"/>
      <c r="B367" s="216"/>
      <c r="C367" s="547" t="s">
        <v>546</v>
      </c>
      <c r="D367" s="540"/>
      <c r="E367" s="540"/>
      <c r="F367" s="247"/>
      <c r="G367" s="548">
        <v>10400</v>
      </c>
      <c r="H367" s="542"/>
    </row>
    <row r="368" spans="1:8" ht="15" customHeight="1" x14ac:dyDescent="0.2">
      <c r="A368" s="216"/>
      <c r="B368" s="216"/>
      <c r="C368" s="547" t="s">
        <v>544</v>
      </c>
      <c r="D368" s="540"/>
      <c r="E368" s="540"/>
      <c r="F368" s="247"/>
      <c r="G368" s="548">
        <v>120825</v>
      </c>
      <c r="H368" s="542"/>
    </row>
    <row r="369" spans="1:8" ht="30" customHeight="1" x14ac:dyDescent="0.2">
      <c r="A369" s="216"/>
      <c r="B369" s="216"/>
      <c r="C369" s="547" t="s">
        <v>542</v>
      </c>
      <c r="D369" s="540"/>
      <c r="E369" s="540"/>
      <c r="F369" s="247"/>
      <c r="G369" s="548">
        <v>13046</v>
      </c>
      <c r="H369" s="542"/>
    </row>
    <row r="370" spans="1:8" ht="9" customHeight="1" x14ac:dyDescent="0.2"/>
    <row r="371" spans="1:8" ht="15.75" customHeight="1" x14ac:dyDescent="0.2">
      <c r="A371" s="543" t="s">
        <v>571</v>
      </c>
      <c r="B371" s="540"/>
      <c r="C371" s="540"/>
      <c r="D371" s="540"/>
      <c r="E371" s="540"/>
      <c r="F371" s="540"/>
      <c r="G371" s="540"/>
      <c r="H371" s="540"/>
    </row>
    <row r="372" spans="1:8" ht="15" customHeight="1" x14ac:dyDescent="0.2">
      <c r="C372" s="539" t="s">
        <v>373</v>
      </c>
      <c r="D372" s="540"/>
      <c r="E372" s="540"/>
      <c r="F372" s="215"/>
      <c r="G372" s="541">
        <v>1403153</v>
      </c>
      <c r="H372" s="542"/>
    </row>
    <row r="373" spans="1:8" ht="15" customHeight="1" x14ac:dyDescent="0.2">
      <c r="C373" s="544" t="s">
        <v>548</v>
      </c>
      <c r="D373" s="540"/>
      <c r="E373" s="540"/>
      <c r="G373" s="545">
        <v>802106</v>
      </c>
      <c r="H373" s="542"/>
    </row>
    <row r="374" spans="1:8" ht="15" customHeight="1" x14ac:dyDescent="0.2">
      <c r="C374" s="544" t="s">
        <v>547</v>
      </c>
      <c r="D374" s="540"/>
      <c r="E374" s="540"/>
      <c r="G374" s="545">
        <v>497222</v>
      </c>
      <c r="H374" s="542"/>
    </row>
    <row r="375" spans="1:8" ht="15" customHeight="1" x14ac:dyDescent="0.2">
      <c r="C375" s="544" t="s">
        <v>544</v>
      </c>
      <c r="D375" s="540"/>
      <c r="E375" s="540"/>
      <c r="G375" s="545">
        <v>103825</v>
      </c>
      <c r="H375" s="542"/>
    </row>
    <row r="376" spans="1:8" ht="9" customHeight="1" x14ac:dyDescent="0.2"/>
    <row r="377" spans="1:8" ht="15.75" customHeight="1" x14ac:dyDescent="0.2">
      <c r="A377" s="543" t="s">
        <v>570</v>
      </c>
      <c r="B377" s="540"/>
      <c r="C377" s="540"/>
      <c r="D377" s="540"/>
      <c r="E377" s="540"/>
      <c r="F377" s="540"/>
      <c r="G377" s="540"/>
      <c r="H377" s="540"/>
    </row>
    <row r="378" spans="1:8" ht="15" customHeight="1" x14ac:dyDescent="0.2">
      <c r="C378" s="539" t="s">
        <v>373</v>
      </c>
      <c r="D378" s="540"/>
      <c r="E378" s="540"/>
      <c r="F378" s="215"/>
      <c r="G378" s="541">
        <v>837492</v>
      </c>
      <c r="H378" s="542"/>
    </row>
    <row r="379" spans="1:8" ht="15" customHeight="1" x14ac:dyDescent="0.2">
      <c r="C379" s="544" t="s">
        <v>548</v>
      </c>
      <c r="D379" s="540"/>
      <c r="E379" s="540"/>
      <c r="G379" s="545">
        <v>117000</v>
      </c>
      <c r="H379" s="542"/>
    </row>
    <row r="380" spans="1:8" ht="15" customHeight="1" x14ac:dyDescent="0.2">
      <c r="C380" s="544" t="s">
        <v>547</v>
      </c>
      <c r="D380" s="540"/>
      <c r="E380" s="540"/>
      <c r="G380" s="545">
        <v>704492</v>
      </c>
      <c r="H380" s="542"/>
    </row>
    <row r="381" spans="1:8" ht="15" customHeight="1" x14ac:dyDescent="0.2">
      <c r="C381" s="544" t="s">
        <v>544</v>
      </c>
      <c r="D381" s="540"/>
      <c r="E381" s="540"/>
      <c r="G381" s="545">
        <v>16000</v>
      </c>
      <c r="H381" s="542"/>
    </row>
    <row r="382" spans="1:8" ht="9" customHeight="1" x14ac:dyDescent="0.2"/>
    <row r="383" spans="1:8" ht="15.75" customHeight="1" x14ac:dyDescent="0.2">
      <c r="A383" s="543" t="s">
        <v>396</v>
      </c>
      <c r="B383" s="540"/>
      <c r="C383" s="540"/>
      <c r="D383" s="540"/>
      <c r="E383" s="540"/>
      <c r="F383" s="540"/>
      <c r="G383" s="540"/>
      <c r="H383" s="540"/>
    </row>
    <row r="384" spans="1:8" ht="15" customHeight="1" x14ac:dyDescent="0.2">
      <c r="C384" s="539" t="s">
        <v>373</v>
      </c>
      <c r="D384" s="540"/>
      <c r="E384" s="540"/>
      <c r="F384" s="215"/>
      <c r="G384" s="541">
        <v>102013</v>
      </c>
      <c r="H384" s="542"/>
    </row>
    <row r="385" spans="1:8" ht="15" customHeight="1" x14ac:dyDescent="0.2">
      <c r="C385" s="544" t="s">
        <v>548</v>
      </c>
      <c r="D385" s="540"/>
      <c r="E385" s="540"/>
      <c r="G385" s="545">
        <v>98458</v>
      </c>
      <c r="H385" s="542"/>
    </row>
    <row r="386" spans="1:8" ht="15" customHeight="1" x14ac:dyDescent="0.2">
      <c r="C386" s="544" t="s">
        <v>547</v>
      </c>
      <c r="D386" s="540"/>
      <c r="E386" s="540"/>
      <c r="G386" s="545">
        <v>3555</v>
      </c>
      <c r="H386" s="542"/>
    </row>
    <row r="387" spans="1:8" ht="9" customHeight="1" x14ac:dyDescent="0.2"/>
    <row r="388" spans="1:8" ht="15.75" customHeight="1" x14ac:dyDescent="0.2">
      <c r="A388" s="543" t="s">
        <v>397</v>
      </c>
      <c r="B388" s="540"/>
      <c r="C388" s="540"/>
      <c r="D388" s="540"/>
      <c r="E388" s="540"/>
      <c r="F388" s="540"/>
      <c r="G388" s="540"/>
      <c r="H388" s="540"/>
    </row>
    <row r="389" spans="1:8" ht="15" customHeight="1" x14ac:dyDescent="0.2">
      <c r="C389" s="539" t="s">
        <v>373</v>
      </c>
      <c r="D389" s="540"/>
      <c r="E389" s="540"/>
      <c r="F389" s="215"/>
      <c r="G389" s="541">
        <v>81871</v>
      </c>
      <c r="H389" s="542"/>
    </row>
    <row r="390" spans="1:8" ht="15" customHeight="1" x14ac:dyDescent="0.2">
      <c r="C390" s="544" t="s">
        <v>548</v>
      </c>
      <c r="D390" s="540"/>
      <c r="E390" s="540"/>
      <c r="G390" s="545">
        <v>74016</v>
      </c>
      <c r="H390" s="542"/>
    </row>
    <row r="391" spans="1:8" ht="15" customHeight="1" x14ac:dyDescent="0.2">
      <c r="C391" s="544" t="s">
        <v>547</v>
      </c>
      <c r="D391" s="540"/>
      <c r="E391" s="540"/>
      <c r="G391" s="545">
        <v>7855</v>
      </c>
      <c r="H391" s="542"/>
    </row>
    <row r="392" spans="1:8" ht="9" customHeight="1" x14ac:dyDescent="0.2"/>
    <row r="393" spans="1:8" ht="15.75" customHeight="1" x14ac:dyDescent="0.2">
      <c r="A393" s="543" t="s">
        <v>398</v>
      </c>
      <c r="B393" s="540"/>
      <c r="C393" s="540"/>
      <c r="D393" s="540"/>
      <c r="E393" s="540"/>
      <c r="F393" s="540"/>
      <c r="G393" s="540"/>
      <c r="H393" s="540"/>
    </row>
    <row r="394" spans="1:8" ht="15" customHeight="1" x14ac:dyDescent="0.2">
      <c r="C394" s="539" t="s">
        <v>373</v>
      </c>
      <c r="D394" s="540"/>
      <c r="E394" s="540"/>
      <c r="F394" s="215"/>
      <c r="G394" s="541">
        <v>21014</v>
      </c>
      <c r="H394" s="542"/>
    </row>
    <row r="395" spans="1:8" ht="15" customHeight="1" x14ac:dyDescent="0.2">
      <c r="C395" s="544" t="s">
        <v>548</v>
      </c>
      <c r="D395" s="540"/>
      <c r="E395" s="540"/>
      <c r="G395" s="545">
        <v>15303</v>
      </c>
      <c r="H395" s="542"/>
    </row>
    <row r="396" spans="1:8" ht="15" customHeight="1" x14ac:dyDescent="0.2">
      <c r="C396" s="544" t="s">
        <v>547</v>
      </c>
      <c r="D396" s="540"/>
      <c r="E396" s="540"/>
      <c r="G396" s="545">
        <v>5711</v>
      </c>
      <c r="H396" s="542"/>
    </row>
    <row r="397" spans="1:8" ht="9" customHeight="1" x14ac:dyDescent="0.2"/>
    <row r="398" spans="1:8" ht="15.75" customHeight="1" x14ac:dyDescent="0.2">
      <c r="A398" s="543" t="s">
        <v>399</v>
      </c>
      <c r="B398" s="540"/>
      <c r="C398" s="540"/>
      <c r="D398" s="540"/>
      <c r="E398" s="540"/>
      <c r="F398" s="540"/>
      <c r="G398" s="540"/>
      <c r="H398" s="540"/>
    </row>
    <row r="399" spans="1:8" ht="15" customHeight="1" x14ac:dyDescent="0.2">
      <c r="C399" s="539" t="s">
        <v>373</v>
      </c>
      <c r="D399" s="540"/>
      <c r="E399" s="540"/>
      <c r="F399" s="215"/>
      <c r="G399" s="541">
        <v>397572</v>
      </c>
      <c r="H399" s="542"/>
    </row>
    <row r="400" spans="1:8" ht="15" customHeight="1" x14ac:dyDescent="0.2">
      <c r="C400" s="544" t="s">
        <v>548</v>
      </c>
      <c r="D400" s="540"/>
      <c r="E400" s="540"/>
      <c r="G400" s="545">
        <v>322690</v>
      </c>
      <c r="H400" s="542"/>
    </row>
    <row r="401" spans="1:8" ht="15" customHeight="1" x14ac:dyDescent="0.2">
      <c r="C401" s="544" t="s">
        <v>547</v>
      </c>
      <c r="D401" s="540"/>
      <c r="E401" s="540"/>
      <c r="G401" s="545">
        <v>59886</v>
      </c>
      <c r="H401" s="542"/>
    </row>
    <row r="402" spans="1:8" ht="15" customHeight="1" x14ac:dyDescent="0.2">
      <c r="C402" s="544" t="s">
        <v>546</v>
      </c>
      <c r="D402" s="540"/>
      <c r="E402" s="540"/>
      <c r="G402" s="545">
        <v>950</v>
      </c>
      <c r="H402" s="542"/>
    </row>
    <row r="403" spans="1:8" ht="15" customHeight="1" x14ac:dyDescent="0.2">
      <c r="C403" s="544" t="s">
        <v>544</v>
      </c>
      <c r="D403" s="540"/>
      <c r="E403" s="540"/>
      <c r="G403" s="545">
        <v>1000</v>
      </c>
      <c r="H403" s="542"/>
    </row>
    <row r="404" spans="1:8" ht="30" customHeight="1" x14ac:dyDescent="0.2">
      <c r="C404" s="544" t="s">
        <v>542</v>
      </c>
      <c r="D404" s="540"/>
      <c r="E404" s="540"/>
      <c r="G404" s="545">
        <v>13046</v>
      </c>
      <c r="H404" s="542"/>
    </row>
    <row r="405" spans="1:8" ht="9" customHeight="1" x14ac:dyDescent="0.2"/>
    <row r="406" spans="1:8" ht="15.75" customHeight="1" x14ac:dyDescent="0.2">
      <c r="A406" s="543" t="s">
        <v>402</v>
      </c>
      <c r="B406" s="540"/>
      <c r="C406" s="540"/>
      <c r="D406" s="540"/>
      <c r="E406" s="540"/>
      <c r="F406" s="540"/>
      <c r="G406" s="540"/>
      <c r="H406" s="540"/>
    </row>
    <row r="407" spans="1:8" ht="15" customHeight="1" x14ac:dyDescent="0.2">
      <c r="C407" s="539" t="s">
        <v>373</v>
      </c>
      <c r="D407" s="540"/>
      <c r="E407" s="540"/>
      <c r="F407" s="215"/>
      <c r="G407" s="541">
        <v>22350</v>
      </c>
      <c r="H407" s="542"/>
    </row>
    <row r="408" spans="1:8" ht="15" customHeight="1" x14ac:dyDescent="0.2">
      <c r="C408" s="544" t="s">
        <v>548</v>
      </c>
      <c r="D408" s="540"/>
      <c r="E408" s="540"/>
      <c r="G408" s="545">
        <v>5210</v>
      </c>
      <c r="H408" s="542"/>
    </row>
    <row r="409" spans="1:8" ht="15" customHeight="1" x14ac:dyDescent="0.2">
      <c r="C409" s="544" t="s">
        <v>547</v>
      </c>
      <c r="D409" s="540"/>
      <c r="E409" s="540"/>
      <c r="G409" s="545">
        <v>7690</v>
      </c>
      <c r="H409" s="542"/>
    </row>
    <row r="410" spans="1:8" ht="15" customHeight="1" x14ac:dyDescent="0.2">
      <c r="C410" s="544" t="s">
        <v>546</v>
      </c>
      <c r="D410" s="540"/>
      <c r="E410" s="540"/>
      <c r="G410" s="545">
        <v>9450</v>
      </c>
      <c r="H410" s="542"/>
    </row>
    <row r="411" spans="1:8" ht="18" customHeight="1" x14ac:dyDescent="0.2"/>
    <row r="412" spans="1:8" ht="15.75" customHeight="1" x14ac:dyDescent="0.2">
      <c r="A412" s="546" t="s">
        <v>628</v>
      </c>
      <c r="B412" s="540"/>
      <c r="C412" s="540"/>
      <c r="D412" s="540"/>
      <c r="E412" s="540"/>
      <c r="F412" s="540"/>
      <c r="G412" s="540"/>
      <c r="H412" s="540"/>
    </row>
    <row r="413" spans="1:8" ht="15" customHeight="1" x14ac:dyDescent="0.2">
      <c r="A413" s="216"/>
      <c r="B413" s="216"/>
      <c r="C413" s="547" t="s">
        <v>373</v>
      </c>
      <c r="D413" s="540"/>
      <c r="E413" s="540"/>
      <c r="F413" s="247"/>
      <c r="G413" s="548">
        <v>399972</v>
      </c>
      <c r="H413" s="542"/>
    </row>
    <row r="414" spans="1:8" ht="15" customHeight="1" x14ac:dyDescent="0.2">
      <c r="A414" s="216"/>
      <c r="B414" s="216"/>
      <c r="C414" s="547" t="s">
        <v>548</v>
      </c>
      <c r="D414" s="540"/>
      <c r="E414" s="540"/>
      <c r="F414" s="247"/>
      <c r="G414" s="548">
        <v>189748</v>
      </c>
      <c r="H414" s="542"/>
    </row>
    <row r="415" spans="1:8" ht="15" customHeight="1" x14ac:dyDescent="0.2">
      <c r="A415" s="216"/>
      <c r="B415" s="216"/>
      <c r="C415" s="547" t="s">
        <v>547</v>
      </c>
      <c r="D415" s="540"/>
      <c r="E415" s="540"/>
      <c r="F415" s="247"/>
      <c r="G415" s="548">
        <v>207724</v>
      </c>
      <c r="H415" s="542"/>
    </row>
    <row r="416" spans="1:8" ht="15" customHeight="1" x14ac:dyDescent="0.2">
      <c r="A416" s="216"/>
      <c r="B416" s="216"/>
      <c r="C416" s="547" t="s">
        <v>544</v>
      </c>
      <c r="D416" s="540"/>
      <c r="E416" s="540"/>
      <c r="F416" s="247"/>
      <c r="G416" s="548">
        <v>2500</v>
      </c>
      <c r="H416" s="542"/>
    </row>
    <row r="417" spans="1:8" ht="9" customHeight="1" x14ac:dyDescent="0.2"/>
    <row r="418" spans="1:8" ht="15.75" customHeight="1" x14ac:dyDescent="0.2">
      <c r="A418" s="543" t="s">
        <v>569</v>
      </c>
      <c r="B418" s="540"/>
      <c r="C418" s="540"/>
      <c r="D418" s="540"/>
      <c r="E418" s="540"/>
      <c r="F418" s="540"/>
      <c r="G418" s="540"/>
      <c r="H418" s="540"/>
    </row>
    <row r="419" spans="1:8" ht="15" customHeight="1" x14ac:dyDescent="0.2">
      <c r="C419" s="539" t="s">
        <v>373</v>
      </c>
      <c r="D419" s="540"/>
      <c r="E419" s="540"/>
      <c r="F419" s="215"/>
      <c r="G419" s="541">
        <v>399972</v>
      </c>
      <c r="H419" s="542"/>
    </row>
    <row r="420" spans="1:8" ht="15" customHeight="1" x14ac:dyDescent="0.2">
      <c r="C420" s="544" t="s">
        <v>548</v>
      </c>
      <c r="D420" s="540"/>
      <c r="E420" s="540"/>
      <c r="G420" s="545">
        <v>189748</v>
      </c>
      <c r="H420" s="542"/>
    </row>
    <row r="421" spans="1:8" ht="15" customHeight="1" x14ac:dyDescent="0.2">
      <c r="C421" s="544" t="s">
        <v>547</v>
      </c>
      <c r="D421" s="540"/>
      <c r="E421" s="540"/>
      <c r="G421" s="545">
        <v>207724</v>
      </c>
      <c r="H421" s="542"/>
    </row>
    <row r="422" spans="1:8" ht="15" customHeight="1" x14ac:dyDescent="0.2">
      <c r="C422" s="544" t="s">
        <v>544</v>
      </c>
      <c r="D422" s="540"/>
      <c r="E422" s="540"/>
      <c r="G422" s="545">
        <v>2500</v>
      </c>
      <c r="H422" s="542"/>
    </row>
    <row r="423" spans="1:8" ht="20.25" customHeight="1" x14ac:dyDescent="0.2"/>
    <row r="424" spans="1:8" ht="31.5" customHeight="1" x14ac:dyDescent="0.2">
      <c r="A424" s="546" t="s">
        <v>629</v>
      </c>
      <c r="B424" s="540"/>
      <c r="C424" s="540"/>
      <c r="D424" s="540"/>
      <c r="E424" s="540"/>
      <c r="F424" s="540"/>
      <c r="G424" s="540"/>
      <c r="H424" s="540"/>
    </row>
    <row r="425" spans="1:8" ht="15" customHeight="1" x14ac:dyDescent="0.2">
      <c r="A425" s="216"/>
      <c r="B425" s="216"/>
      <c r="C425" s="547" t="s">
        <v>373</v>
      </c>
      <c r="D425" s="540"/>
      <c r="E425" s="540"/>
      <c r="F425" s="247"/>
      <c r="G425" s="548">
        <v>23399978</v>
      </c>
      <c r="H425" s="542"/>
    </row>
    <row r="426" spans="1:8" ht="15" customHeight="1" x14ac:dyDescent="0.2">
      <c r="A426" s="216"/>
      <c r="B426" s="216"/>
      <c r="C426" s="547" t="s">
        <v>548</v>
      </c>
      <c r="D426" s="540"/>
      <c r="E426" s="540"/>
      <c r="F426" s="247"/>
      <c r="G426" s="548">
        <v>14732049</v>
      </c>
      <c r="H426" s="542"/>
    </row>
    <row r="427" spans="1:8" ht="15" customHeight="1" x14ac:dyDescent="0.2">
      <c r="A427" s="216"/>
      <c r="B427" s="216"/>
      <c r="C427" s="547" t="s">
        <v>547</v>
      </c>
      <c r="D427" s="540"/>
      <c r="E427" s="540"/>
      <c r="F427" s="247"/>
      <c r="G427" s="548">
        <v>4945702</v>
      </c>
      <c r="H427" s="542"/>
    </row>
    <row r="428" spans="1:8" ht="15" customHeight="1" x14ac:dyDescent="0.2">
      <c r="A428" s="216"/>
      <c r="B428" s="216"/>
      <c r="C428" s="547" t="s">
        <v>546</v>
      </c>
      <c r="D428" s="540"/>
      <c r="E428" s="540"/>
      <c r="F428" s="247"/>
      <c r="G428" s="548">
        <v>2046000</v>
      </c>
      <c r="H428" s="542"/>
    </row>
    <row r="429" spans="1:8" ht="15" customHeight="1" x14ac:dyDescent="0.2">
      <c r="A429" s="216"/>
      <c r="B429" s="216"/>
      <c r="C429" s="547" t="s">
        <v>544</v>
      </c>
      <c r="D429" s="540"/>
      <c r="E429" s="540"/>
      <c r="F429" s="247"/>
      <c r="G429" s="548">
        <v>615734</v>
      </c>
      <c r="H429" s="542"/>
    </row>
    <row r="430" spans="1:8" ht="15" customHeight="1" x14ac:dyDescent="0.2">
      <c r="A430" s="216"/>
      <c r="B430" s="216"/>
      <c r="C430" s="547" t="s">
        <v>543</v>
      </c>
      <c r="D430" s="540"/>
      <c r="E430" s="540"/>
      <c r="F430" s="247"/>
      <c r="G430" s="548">
        <v>419275</v>
      </c>
      <c r="H430" s="542"/>
    </row>
    <row r="431" spans="1:8" ht="30" customHeight="1" x14ac:dyDescent="0.2">
      <c r="A431" s="216"/>
      <c r="B431" s="216"/>
      <c r="C431" s="547" t="s">
        <v>542</v>
      </c>
      <c r="D431" s="540"/>
      <c r="E431" s="540"/>
      <c r="F431" s="247"/>
      <c r="G431" s="548">
        <v>641218</v>
      </c>
      <c r="H431" s="542"/>
    </row>
    <row r="432" spans="1:8" ht="9" customHeight="1" x14ac:dyDescent="0.2"/>
    <row r="433" spans="1:8" ht="15.75" customHeight="1" x14ac:dyDescent="0.2">
      <c r="A433" s="543" t="s">
        <v>378</v>
      </c>
      <c r="B433" s="540"/>
      <c r="C433" s="540"/>
      <c r="D433" s="540"/>
      <c r="E433" s="540"/>
      <c r="F433" s="540"/>
      <c r="G433" s="540"/>
      <c r="H433" s="540"/>
    </row>
    <row r="434" spans="1:8" ht="15" customHeight="1" x14ac:dyDescent="0.2">
      <c r="C434" s="539" t="s">
        <v>373</v>
      </c>
      <c r="D434" s="540"/>
      <c r="E434" s="540"/>
      <c r="F434" s="215"/>
      <c r="G434" s="541">
        <v>641318</v>
      </c>
      <c r="H434" s="542"/>
    </row>
    <row r="435" spans="1:8" ht="15" customHeight="1" x14ac:dyDescent="0.2">
      <c r="C435" s="544" t="s">
        <v>547</v>
      </c>
      <c r="D435" s="540"/>
      <c r="E435" s="540"/>
      <c r="G435" s="545">
        <v>100</v>
      </c>
      <c r="H435" s="542"/>
    </row>
    <row r="436" spans="1:8" ht="30" customHeight="1" x14ac:dyDescent="0.2">
      <c r="C436" s="544" t="s">
        <v>542</v>
      </c>
      <c r="D436" s="540"/>
      <c r="E436" s="540"/>
      <c r="G436" s="545">
        <v>641218</v>
      </c>
      <c r="H436" s="542"/>
    </row>
    <row r="437" spans="1:8" ht="9" customHeight="1" x14ac:dyDescent="0.2"/>
    <row r="438" spans="1:8" ht="15.75" customHeight="1" x14ac:dyDescent="0.2">
      <c r="A438" s="543" t="s">
        <v>403</v>
      </c>
      <c r="B438" s="540"/>
      <c r="C438" s="540"/>
      <c r="D438" s="540"/>
      <c r="E438" s="540"/>
      <c r="F438" s="540"/>
      <c r="G438" s="540"/>
      <c r="H438" s="540"/>
    </row>
    <row r="439" spans="1:8" ht="15" customHeight="1" x14ac:dyDescent="0.2">
      <c r="C439" s="539" t="s">
        <v>373</v>
      </c>
      <c r="D439" s="540"/>
      <c r="E439" s="540"/>
      <c r="F439" s="215"/>
      <c r="G439" s="541">
        <v>7206540</v>
      </c>
      <c r="H439" s="542"/>
    </row>
    <row r="440" spans="1:8" ht="15" customHeight="1" x14ac:dyDescent="0.2">
      <c r="C440" s="544" t="s">
        <v>548</v>
      </c>
      <c r="D440" s="540"/>
      <c r="E440" s="540"/>
      <c r="G440" s="545">
        <v>4156255</v>
      </c>
      <c r="H440" s="542"/>
    </row>
    <row r="441" spans="1:8" ht="15" customHeight="1" x14ac:dyDescent="0.2">
      <c r="C441" s="544" t="s">
        <v>547</v>
      </c>
      <c r="D441" s="540"/>
      <c r="E441" s="540"/>
      <c r="G441" s="545">
        <v>1121617</v>
      </c>
      <c r="H441" s="542"/>
    </row>
    <row r="442" spans="1:8" ht="15" customHeight="1" x14ac:dyDescent="0.2">
      <c r="C442" s="544" t="s">
        <v>546</v>
      </c>
      <c r="D442" s="540"/>
      <c r="E442" s="540"/>
      <c r="G442" s="545">
        <v>1801200</v>
      </c>
      <c r="H442" s="542"/>
    </row>
    <row r="443" spans="1:8" ht="15" customHeight="1" x14ac:dyDescent="0.2">
      <c r="C443" s="544" t="s">
        <v>544</v>
      </c>
      <c r="D443" s="540"/>
      <c r="E443" s="540"/>
      <c r="G443" s="545">
        <v>127468</v>
      </c>
      <c r="H443" s="542"/>
    </row>
    <row r="444" spans="1:8" ht="9" customHeight="1" x14ac:dyDescent="0.2"/>
    <row r="445" spans="1:8" ht="15.75" customHeight="1" x14ac:dyDescent="0.2">
      <c r="A445" s="543" t="s">
        <v>404</v>
      </c>
      <c r="B445" s="540"/>
      <c r="C445" s="540"/>
      <c r="D445" s="540"/>
      <c r="E445" s="540"/>
      <c r="F445" s="540"/>
      <c r="G445" s="540"/>
      <c r="H445" s="540"/>
    </row>
    <row r="446" spans="1:8" ht="15" customHeight="1" x14ac:dyDescent="0.2">
      <c r="C446" s="539" t="s">
        <v>373</v>
      </c>
      <c r="D446" s="540"/>
      <c r="E446" s="540"/>
      <c r="F446" s="215"/>
      <c r="G446" s="541">
        <v>10298570</v>
      </c>
      <c r="H446" s="542"/>
    </row>
    <row r="447" spans="1:8" ht="15" customHeight="1" x14ac:dyDescent="0.2">
      <c r="C447" s="544" t="s">
        <v>548</v>
      </c>
      <c r="D447" s="540"/>
      <c r="E447" s="540"/>
      <c r="G447" s="545">
        <v>7310822</v>
      </c>
      <c r="H447" s="542"/>
    </row>
    <row r="448" spans="1:8" ht="15" customHeight="1" x14ac:dyDescent="0.2">
      <c r="C448" s="544" t="s">
        <v>547</v>
      </c>
      <c r="D448" s="540"/>
      <c r="E448" s="540"/>
      <c r="G448" s="545">
        <v>2446319</v>
      </c>
      <c r="H448" s="542"/>
    </row>
    <row r="449" spans="1:8" ht="15" customHeight="1" x14ac:dyDescent="0.2">
      <c r="C449" s="544" t="s">
        <v>546</v>
      </c>
      <c r="D449" s="540"/>
      <c r="E449" s="540"/>
      <c r="G449" s="545">
        <v>244800</v>
      </c>
      <c r="H449" s="542"/>
    </row>
    <row r="450" spans="1:8" ht="15" customHeight="1" x14ac:dyDescent="0.2">
      <c r="C450" s="544" t="s">
        <v>544</v>
      </c>
      <c r="D450" s="540"/>
      <c r="E450" s="540"/>
      <c r="G450" s="545">
        <v>296629</v>
      </c>
      <c r="H450" s="542"/>
    </row>
    <row r="451" spans="1:8" ht="9" customHeight="1" x14ac:dyDescent="0.2"/>
    <row r="452" spans="1:8" ht="15.75" customHeight="1" x14ac:dyDescent="0.2">
      <c r="A452" s="543" t="s">
        <v>568</v>
      </c>
      <c r="B452" s="540"/>
      <c r="C452" s="540"/>
      <c r="D452" s="540"/>
      <c r="E452" s="540"/>
      <c r="F452" s="540"/>
      <c r="G452" s="540"/>
      <c r="H452" s="540"/>
    </row>
    <row r="453" spans="1:8" ht="15" customHeight="1" x14ac:dyDescent="0.2">
      <c r="C453" s="539" t="s">
        <v>373</v>
      </c>
      <c r="D453" s="540"/>
      <c r="E453" s="540"/>
      <c r="F453" s="215"/>
      <c r="G453" s="541">
        <v>1571154</v>
      </c>
      <c r="H453" s="542"/>
    </row>
    <row r="454" spans="1:8" ht="15" customHeight="1" x14ac:dyDescent="0.2">
      <c r="C454" s="544" t="s">
        <v>548</v>
      </c>
      <c r="D454" s="540"/>
      <c r="E454" s="540"/>
      <c r="G454" s="545">
        <v>1138800</v>
      </c>
      <c r="H454" s="542"/>
    </row>
    <row r="455" spans="1:8" ht="15" customHeight="1" x14ac:dyDescent="0.2">
      <c r="C455" s="544" t="s">
        <v>547</v>
      </c>
      <c r="D455" s="540"/>
      <c r="E455" s="540"/>
      <c r="G455" s="545">
        <v>346054</v>
      </c>
      <c r="H455" s="542"/>
    </row>
    <row r="456" spans="1:8" ht="15" customHeight="1" x14ac:dyDescent="0.2">
      <c r="C456" s="544" t="s">
        <v>544</v>
      </c>
      <c r="D456" s="540"/>
      <c r="E456" s="540"/>
      <c r="G456" s="545">
        <v>86300</v>
      </c>
      <c r="H456" s="542"/>
    </row>
    <row r="457" spans="1:8" ht="9" customHeight="1" x14ac:dyDescent="0.2"/>
    <row r="458" spans="1:8" ht="15.75" customHeight="1" x14ac:dyDescent="0.2">
      <c r="A458" s="543" t="s">
        <v>405</v>
      </c>
      <c r="B458" s="540"/>
      <c r="C458" s="540"/>
      <c r="D458" s="540"/>
      <c r="E458" s="540"/>
      <c r="F458" s="540"/>
      <c r="G458" s="540"/>
      <c r="H458" s="540"/>
    </row>
    <row r="459" spans="1:8" ht="15" customHeight="1" x14ac:dyDescent="0.2">
      <c r="C459" s="539" t="s">
        <v>373</v>
      </c>
      <c r="D459" s="540"/>
      <c r="E459" s="540"/>
      <c r="F459" s="215"/>
      <c r="G459" s="541">
        <v>129310</v>
      </c>
      <c r="H459" s="542"/>
    </row>
    <row r="460" spans="1:8" ht="15" customHeight="1" x14ac:dyDescent="0.2">
      <c r="C460" s="544" t="s">
        <v>548</v>
      </c>
      <c r="D460" s="540"/>
      <c r="E460" s="540"/>
      <c r="G460" s="545">
        <v>750</v>
      </c>
      <c r="H460" s="542"/>
    </row>
    <row r="461" spans="1:8" ht="15" customHeight="1" x14ac:dyDescent="0.2">
      <c r="C461" s="544" t="s">
        <v>547</v>
      </c>
      <c r="D461" s="540"/>
      <c r="E461" s="540"/>
      <c r="G461" s="545">
        <v>124117</v>
      </c>
      <c r="H461" s="542"/>
    </row>
    <row r="462" spans="1:8" ht="15" customHeight="1" x14ac:dyDescent="0.2">
      <c r="C462" s="544" t="s">
        <v>544</v>
      </c>
      <c r="D462" s="540"/>
      <c r="E462" s="540"/>
      <c r="G462" s="545">
        <v>4443</v>
      </c>
      <c r="H462" s="542"/>
    </row>
    <row r="463" spans="1:8" ht="9" customHeight="1" x14ac:dyDescent="0.2"/>
    <row r="464" spans="1:8" ht="15.75" customHeight="1" x14ac:dyDescent="0.2">
      <c r="A464" s="543" t="s">
        <v>406</v>
      </c>
      <c r="B464" s="540"/>
      <c r="C464" s="540"/>
      <c r="D464" s="540"/>
      <c r="E464" s="540"/>
      <c r="F464" s="540"/>
      <c r="G464" s="540"/>
      <c r="H464" s="540"/>
    </row>
    <row r="465" spans="1:8" ht="15" customHeight="1" x14ac:dyDescent="0.2">
      <c r="C465" s="539" t="s">
        <v>373</v>
      </c>
      <c r="D465" s="540"/>
      <c r="E465" s="540"/>
      <c r="F465" s="215"/>
      <c r="G465" s="541">
        <v>902891</v>
      </c>
      <c r="H465" s="542"/>
    </row>
    <row r="466" spans="1:8" ht="15" customHeight="1" x14ac:dyDescent="0.2">
      <c r="C466" s="544" t="s">
        <v>548</v>
      </c>
      <c r="D466" s="540"/>
      <c r="E466" s="540"/>
      <c r="G466" s="545">
        <v>540130</v>
      </c>
      <c r="H466" s="542"/>
    </row>
    <row r="467" spans="1:8" ht="15" customHeight="1" x14ac:dyDescent="0.2">
      <c r="C467" s="544" t="s">
        <v>547</v>
      </c>
      <c r="D467" s="540"/>
      <c r="E467" s="540"/>
      <c r="G467" s="545">
        <v>198549</v>
      </c>
      <c r="H467" s="542"/>
    </row>
    <row r="468" spans="1:8" ht="15" customHeight="1" x14ac:dyDescent="0.2">
      <c r="C468" s="544" t="s">
        <v>544</v>
      </c>
      <c r="D468" s="540"/>
      <c r="E468" s="540"/>
      <c r="G468" s="545">
        <v>55838</v>
      </c>
      <c r="H468" s="542"/>
    </row>
    <row r="469" spans="1:8" ht="15" customHeight="1" x14ac:dyDescent="0.2">
      <c r="C469" s="544" t="s">
        <v>543</v>
      </c>
      <c r="D469" s="540"/>
      <c r="E469" s="540"/>
      <c r="G469" s="545">
        <v>108374</v>
      </c>
      <c r="H469" s="542"/>
    </row>
    <row r="470" spans="1:8" ht="9" customHeight="1" x14ac:dyDescent="0.2"/>
    <row r="471" spans="1:8" ht="15.75" customHeight="1" x14ac:dyDescent="0.2">
      <c r="A471" s="543" t="s">
        <v>407</v>
      </c>
      <c r="B471" s="540"/>
      <c r="C471" s="540"/>
      <c r="D471" s="540"/>
      <c r="E471" s="540"/>
      <c r="F471" s="540"/>
      <c r="G471" s="540"/>
      <c r="H471" s="540"/>
    </row>
    <row r="472" spans="1:8" ht="15" customHeight="1" x14ac:dyDescent="0.2">
      <c r="C472" s="539" t="s">
        <v>373</v>
      </c>
      <c r="D472" s="540"/>
      <c r="E472" s="540"/>
      <c r="F472" s="215"/>
      <c r="G472" s="541">
        <v>426258</v>
      </c>
      <c r="H472" s="542"/>
    </row>
    <row r="473" spans="1:8" ht="15" customHeight="1" x14ac:dyDescent="0.2">
      <c r="C473" s="544" t="s">
        <v>548</v>
      </c>
      <c r="D473" s="540"/>
      <c r="E473" s="540"/>
      <c r="G473" s="545">
        <v>131511</v>
      </c>
      <c r="H473" s="542"/>
    </row>
    <row r="474" spans="1:8" ht="15" customHeight="1" x14ac:dyDescent="0.2">
      <c r="C474" s="544" t="s">
        <v>547</v>
      </c>
      <c r="D474" s="540"/>
      <c r="E474" s="540"/>
      <c r="G474" s="545">
        <v>231944</v>
      </c>
      <c r="H474" s="542"/>
    </row>
    <row r="475" spans="1:8" ht="15" customHeight="1" x14ac:dyDescent="0.2">
      <c r="C475" s="544" t="s">
        <v>543</v>
      </c>
      <c r="D475" s="540"/>
      <c r="E475" s="540"/>
      <c r="G475" s="545">
        <v>62803</v>
      </c>
      <c r="H475" s="542"/>
    </row>
    <row r="476" spans="1:8" ht="9" customHeight="1" x14ac:dyDescent="0.2"/>
    <row r="477" spans="1:8" ht="15.75" customHeight="1" x14ac:dyDescent="0.2">
      <c r="A477" s="543" t="s">
        <v>567</v>
      </c>
      <c r="B477" s="540"/>
      <c r="C477" s="540"/>
      <c r="D477" s="540"/>
      <c r="E477" s="540"/>
      <c r="F477" s="540"/>
      <c r="G477" s="540"/>
      <c r="H477" s="540"/>
    </row>
    <row r="478" spans="1:8" ht="15" customHeight="1" x14ac:dyDescent="0.2">
      <c r="C478" s="539" t="s">
        <v>373</v>
      </c>
      <c r="D478" s="540"/>
      <c r="E478" s="540"/>
      <c r="F478" s="215"/>
      <c r="G478" s="541">
        <v>767453</v>
      </c>
      <c r="H478" s="542"/>
    </row>
    <row r="479" spans="1:8" ht="15" customHeight="1" x14ac:dyDescent="0.2">
      <c r="C479" s="544" t="s">
        <v>548</v>
      </c>
      <c r="D479" s="540"/>
      <c r="E479" s="540"/>
      <c r="G479" s="545">
        <v>540666</v>
      </c>
      <c r="H479" s="542"/>
    </row>
    <row r="480" spans="1:8" ht="15" customHeight="1" x14ac:dyDescent="0.2">
      <c r="C480" s="544" t="s">
        <v>547</v>
      </c>
      <c r="D480" s="540"/>
      <c r="E480" s="540"/>
      <c r="G480" s="545">
        <v>200901</v>
      </c>
      <c r="H480" s="542"/>
    </row>
    <row r="481" spans="1:8" ht="15" customHeight="1" x14ac:dyDescent="0.2">
      <c r="C481" s="544" t="s">
        <v>544</v>
      </c>
      <c r="D481" s="540"/>
      <c r="E481" s="540"/>
      <c r="G481" s="545">
        <v>25886</v>
      </c>
      <c r="H481" s="542"/>
    </row>
    <row r="482" spans="1:8" ht="9" customHeight="1" x14ac:dyDescent="0.2"/>
    <row r="483" spans="1:8" ht="15.75" customHeight="1" x14ac:dyDescent="0.2">
      <c r="A483" s="543" t="s">
        <v>408</v>
      </c>
      <c r="B483" s="540"/>
      <c r="C483" s="540"/>
      <c r="D483" s="540"/>
      <c r="E483" s="540"/>
      <c r="F483" s="540"/>
      <c r="G483" s="540"/>
      <c r="H483" s="540"/>
    </row>
    <row r="484" spans="1:8" ht="15" customHeight="1" x14ac:dyDescent="0.2">
      <c r="C484" s="539" t="s">
        <v>373</v>
      </c>
      <c r="D484" s="540"/>
      <c r="E484" s="540"/>
      <c r="F484" s="215"/>
      <c r="G484" s="541">
        <v>225524</v>
      </c>
      <c r="H484" s="542"/>
    </row>
    <row r="485" spans="1:8" ht="15" customHeight="1" x14ac:dyDescent="0.2">
      <c r="C485" s="544" t="s">
        <v>548</v>
      </c>
      <c r="D485" s="540"/>
      <c r="E485" s="540"/>
      <c r="G485" s="545">
        <v>153439</v>
      </c>
      <c r="H485" s="542"/>
    </row>
    <row r="486" spans="1:8" ht="15" customHeight="1" x14ac:dyDescent="0.2">
      <c r="C486" s="544" t="s">
        <v>547</v>
      </c>
      <c r="D486" s="540"/>
      <c r="E486" s="540"/>
      <c r="G486" s="545">
        <v>69185</v>
      </c>
      <c r="H486" s="542"/>
    </row>
    <row r="487" spans="1:8" ht="15" customHeight="1" x14ac:dyDescent="0.2">
      <c r="C487" s="544" t="s">
        <v>544</v>
      </c>
      <c r="D487" s="540"/>
      <c r="E487" s="540"/>
      <c r="G487" s="545">
        <v>2900</v>
      </c>
      <c r="H487" s="542"/>
    </row>
    <row r="488" spans="1:8" ht="9" customHeight="1" x14ac:dyDescent="0.2"/>
    <row r="489" spans="1:8" ht="15.75" customHeight="1" x14ac:dyDescent="0.2">
      <c r="A489" s="543" t="s">
        <v>566</v>
      </c>
      <c r="B489" s="540"/>
      <c r="C489" s="540"/>
      <c r="D489" s="540"/>
      <c r="E489" s="540"/>
      <c r="F489" s="540"/>
      <c r="G489" s="540"/>
      <c r="H489" s="540"/>
    </row>
    <row r="490" spans="1:8" ht="15" customHeight="1" x14ac:dyDescent="0.2">
      <c r="C490" s="539" t="s">
        <v>373</v>
      </c>
      <c r="D490" s="540"/>
      <c r="E490" s="540"/>
      <c r="F490" s="215"/>
      <c r="G490" s="541">
        <v>13528</v>
      </c>
      <c r="H490" s="542"/>
    </row>
    <row r="491" spans="1:8" ht="15" customHeight="1" x14ac:dyDescent="0.2">
      <c r="C491" s="544" t="s">
        <v>548</v>
      </c>
      <c r="D491" s="540"/>
      <c r="E491" s="540"/>
      <c r="G491" s="545">
        <v>2460</v>
      </c>
      <c r="H491" s="542"/>
    </row>
    <row r="492" spans="1:8" ht="15" customHeight="1" x14ac:dyDescent="0.2">
      <c r="C492" s="544" t="s">
        <v>547</v>
      </c>
      <c r="D492" s="540"/>
      <c r="E492" s="540"/>
      <c r="G492" s="545">
        <v>9608</v>
      </c>
      <c r="H492" s="542"/>
    </row>
    <row r="493" spans="1:8" ht="15" customHeight="1" x14ac:dyDescent="0.2">
      <c r="C493" s="544" t="s">
        <v>543</v>
      </c>
      <c r="D493" s="540"/>
      <c r="E493" s="540"/>
      <c r="G493" s="545">
        <v>1460</v>
      </c>
      <c r="H493" s="542"/>
    </row>
    <row r="494" spans="1:8" ht="9" customHeight="1" x14ac:dyDescent="0.2"/>
    <row r="495" spans="1:8" ht="15.75" customHeight="1" x14ac:dyDescent="0.2">
      <c r="A495" s="543" t="s">
        <v>565</v>
      </c>
      <c r="B495" s="540"/>
      <c r="C495" s="540"/>
      <c r="D495" s="540"/>
      <c r="E495" s="540"/>
      <c r="F495" s="540"/>
      <c r="G495" s="540"/>
      <c r="H495" s="540"/>
    </row>
    <row r="496" spans="1:8" ht="15" customHeight="1" x14ac:dyDescent="0.2">
      <c r="C496" s="539" t="s">
        <v>373</v>
      </c>
      <c r="D496" s="540"/>
      <c r="E496" s="540"/>
      <c r="F496" s="215"/>
      <c r="G496" s="541">
        <v>721885</v>
      </c>
      <c r="H496" s="542"/>
    </row>
    <row r="497" spans="1:8" ht="15" customHeight="1" x14ac:dyDescent="0.2">
      <c r="C497" s="544" t="s">
        <v>548</v>
      </c>
      <c r="D497" s="540"/>
      <c r="E497" s="540"/>
      <c r="G497" s="545">
        <v>572416</v>
      </c>
      <c r="H497" s="542"/>
    </row>
    <row r="498" spans="1:8" ht="15" customHeight="1" x14ac:dyDescent="0.2">
      <c r="C498" s="544" t="s">
        <v>547</v>
      </c>
      <c r="D498" s="540"/>
      <c r="E498" s="540"/>
      <c r="G498" s="545">
        <v>135569</v>
      </c>
      <c r="H498" s="542"/>
    </row>
    <row r="499" spans="1:8" ht="15" customHeight="1" x14ac:dyDescent="0.2">
      <c r="C499" s="544" t="s">
        <v>544</v>
      </c>
      <c r="D499" s="540"/>
      <c r="E499" s="540"/>
      <c r="G499" s="545">
        <v>13900</v>
      </c>
      <c r="H499" s="542"/>
    </row>
    <row r="501" spans="1:8" ht="15.75" customHeight="1" x14ac:dyDescent="0.2">
      <c r="A501" s="543" t="s">
        <v>564</v>
      </c>
      <c r="B501" s="540"/>
      <c r="C501" s="540"/>
      <c r="D501" s="540"/>
      <c r="E501" s="540"/>
      <c r="F501" s="540"/>
      <c r="G501" s="540"/>
      <c r="H501" s="540"/>
    </row>
    <row r="502" spans="1:8" ht="15" customHeight="1" x14ac:dyDescent="0.2">
      <c r="C502" s="539" t="s">
        <v>373</v>
      </c>
      <c r="D502" s="540"/>
      <c r="E502" s="540"/>
      <c r="F502" s="215"/>
      <c r="G502" s="541">
        <v>178604</v>
      </c>
      <c r="H502" s="542"/>
    </row>
    <row r="503" spans="1:8" ht="15" customHeight="1" x14ac:dyDescent="0.2">
      <c r="C503" s="544" t="s">
        <v>548</v>
      </c>
      <c r="D503" s="540"/>
      <c r="E503" s="540"/>
      <c r="G503" s="545">
        <v>117449</v>
      </c>
      <c r="H503" s="542"/>
    </row>
    <row r="504" spans="1:8" ht="15" customHeight="1" x14ac:dyDescent="0.2">
      <c r="C504" s="544" t="s">
        <v>547</v>
      </c>
      <c r="D504" s="540"/>
      <c r="E504" s="540"/>
      <c r="G504" s="545">
        <v>58017</v>
      </c>
      <c r="H504" s="542"/>
    </row>
    <row r="505" spans="1:8" ht="15" customHeight="1" x14ac:dyDescent="0.2">
      <c r="C505" s="544" t="s">
        <v>544</v>
      </c>
      <c r="D505" s="540"/>
      <c r="E505" s="540"/>
      <c r="G505" s="545">
        <v>1500</v>
      </c>
      <c r="H505" s="542"/>
    </row>
    <row r="506" spans="1:8" ht="15" customHeight="1" x14ac:dyDescent="0.2">
      <c r="C506" s="544" t="s">
        <v>543</v>
      </c>
      <c r="D506" s="540"/>
      <c r="E506" s="540"/>
      <c r="G506" s="545">
        <v>1638</v>
      </c>
      <c r="H506" s="542"/>
    </row>
    <row r="508" spans="1:8" ht="15.75" customHeight="1" x14ac:dyDescent="0.2">
      <c r="A508" s="543" t="s">
        <v>563</v>
      </c>
      <c r="B508" s="540"/>
      <c r="C508" s="540"/>
      <c r="D508" s="540"/>
      <c r="E508" s="540"/>
      <c r="F508" s="540"/>
      <c r="G508" s="540"/>
      <c r="H508" s="540"/>
    </row>
    <row r="509" spans="1:8" ht="15" customHeight="1" x14ac:dyDescent="0.2">
      <c r="C509" s="539" t="s">
        <v>373</v>
      </c>
      <c r="D509" s="540"/>
      <c r="E509" s="540"/>
      <c r="F509" s="215"/>
      <c r="G509" s="541">
        <v>71943</v>
      </c>
      <c r="H509" s="542"/>
    </row>
    <row r="510" spans="1:8" ht="15" customHeight="1" x14ac:dyDescent="0.2">
      <c r="C510" s="544" t="s">
        <v>548</v>
      </c>
      <c r="D510" s="540"/>
      <c r="E510" s="540"/>
      <c r="G510" s="545">
        <v>67351</v>
      </c>
      <c r="H510" s="542"/>
    </row>
    <row r="511" spans="1:8" ht="15" customHeight="1" x14ac:dyDescent="0.2">
      <c r="C511" s="544" t="s">
        <v>547</v>
      </c>
      <c r="D511" s="540"/>
      <c r="E511" s="540"/>
      <c r="G511" s="545">
        <v>3722</v>
      </c>
      <c r="H511" s="542"/>
    </row>
    <row r="512" spans="1:8" ht="15" customHeight="1" x14ac:dyDescent="0.2">
      <c r="C512" s="544" t="s">
        <v>544</v>
      </c>
      <c r="D512" s="540"/>
      <c r="E512" s="540"/>
      <c r="G512" s="545">
        <v>870</v>
      </c>
      <c r="H512" s="542"/>
    </row>
    <row r="514" spans="1:8" ht="15.75" customHeight="1" x14ac:dyDescent="0.2">
      <c r="A514" s="543" t="s">
        <v>423</v>
      </c>
      <c r="B514" s="540"/>
      <c r="C514" s="540"/>
      <c r="D514" s="540"/>
      <c r="E514" s="540"/>
      <c r="F514" s="540"/>
      <c r="G514" s="540"/>
      <c r="H514" s="540"/>
    </row>
    <row r="515" spans="1:8" ht="15" customHeight="1" x14ac:dyDescent="0.2">
      <c r="C515" s="544" t="s">
        <v>373</v>
      </c>
      <c r="D515" s="540"/>
      <c r="E515" s="540"/>
      <c r="G515" s="545">
        <v>245000</v>
      </c>
      <c r="H515" s="542"/>
    </row>
    <row r="516" spans="1:8" ht="15" customHeight="1" x14ac:dyDescent="0.2">
      <c r="C516" s="544" t="s">
        <v>543</v>
      </c>
      <c r="D516" s="540"/>
      <c r="E516" s="540"/>
      <c r="G516" s="545">
        <v>245000</v>
      </c>
      <c r="H516" s="542"/>
    </row>
    <row r="517" spans="1:8" ht="21.75" customHeight="1" x14ac:dyDescent="0.2"/>
    <row r="518" spans="1:8" ht="31.5" customHeight="1" x14ac:dyDescent="0.2">
      <c r="A518" s="546" t="s">
        <v>630</v>
      </c>
      <c r="B518" s="540"/>
      <c r="C518" s="540"/>
      <c r="D518" s="540"/>
      <c r="E518" s="540"/>
      <c r="F518" s="540"/>
      <c r="G518" s="540"/>
      <c r="H518" s="540"/>
    </row>
    <row r="519" spans="1:8" ht="15" customHeight="1" x14ac:dyDescent="0.2">
      <c r="A519" s="216"/>
      <c r="B519" s="216"/>
      <c r="C519" s="547" t="s">
        <v>373</v>
      </c>
      <c r="D519" s="540"/>
      <c r="E519" s="540"/>
      <c r="F519" s="247"/>
      <c r="G519" s="548">
        <v>1109319</v>
      </c>
      <c r="H519" s="542"/>
    </row>
    <row r="520" spans="1:8" ht="15" customHeight="1" x14ac:dyDescent="0.2">
      <c r="A520" s="216"/>
      <c r="B520" s="216"/>
      <c r="C520" s="547" t="s">
        <v>548</v>
      </c>
      <c r="D520" s="540"/>
      <c r="E520" s="540"/>
      <c r="F520" s="247"/>
      <c r="G520" s="548">
        <v>634814</v>
      </c>
      <c r="H520" s="542"/>
    </row>
    <row r="521" spans="1:8" ht="15" customHeight="1" x14ac:dyDescent="0.2">
      <c r="A521" s="216"/>
      <c r="B521" s="216"/>
      <c r="C521" s="547" t="s">
        <v>547</v>
      </c>
      <c r="D521" s="540"/>
      <c r="E521" s="540"/>
      <c r="F521" s="247"/>
      <c r="G521" s="548">
        <v>376462</v>
      </c>
      <c r="H521" s="542"/>
    </row>
    <row r="522" spans="1:8" ht="15" customHeight="1" x14ac:dyDescent="0.2">
      <c r="A522" s="216"/>
      <c r="B522" s="216"/>
      <c r="C522" s="547" t="s">
        <v>544</v>
      </c>
      <c r="D522" s="540"/>
      <c r="E522" s="540"/>
      <c r="F522" s="247"/>
      <c r="G522" s="548">
        <v>75157</v>
      </c>
      <c r="H522" s="542"/>
    </row>
    <row r="523" spans="1:8" ht="15" customHeight="1" x14ac:dyDescent="0.2">
      <c r="A523" s="216"/>
      <c r="B523" s="216"/>
      <c r="C523" s="547" t="s">
        <v>543</v>
      </c>
      <c r="D523" s="540"/>
      <c r="E523" s="540"/>
      <c r="F523" s="247"/>
      <c r="G523" s="548">
        <v>22886</v>
      </c>
      <c r="H523" s="542"/>
    </row>
    <row r="525" spans="1:8" ht="15.75" customHeight="1" x14ac:dyDescent="0.2">
      <c r="A525" s="543" t="s">
        <v>562</v>
      </c>
      <c r="B525" s="540"/>
      <c r="C525" s="540"/>
      <c r="D525" s="540"/>
      <c r="E525" s="540"/>
      <c r="F525" s="540"/>
      <c r="G525" s="540"/>
      <c r="H525" s="540"/>
    </row>
    <row r="526" spans="1:8" ht="15" customHeight="1" x14ac:dyDescent="0.2">
      <c r="C526" s="539" t="s">
        <v>373</v>
      </c>
      <c r="D526" s="540"/>
      <c r="E526" s="540"/>
      <c r="F526" s="215"/>
      <c r="G526" s="541">
        <v>983522</v>
      </c>
      <c r="H526" s="542"/>
    </row>
    <row r="527" spans="1:8" ht="15" customHeight="1" x14ac:dyDescent="0.2">
      <c r="C527" s="544" t="s">
        <v>548</v>
      </c>
      <c r="D527" s="540"/>
      <c r="E527" s="540"/>
      <c r="G527" s="545">
        <v>621506</v>
      </c>
      <c r="H527" s="542"/>
    </row>
    <row r="528" spans="1:8" ht="15" customHeight="1" x14ac:dyDescent="0.2">
      <c r="C528" s="544" t="s">
        <v>547</v>
      </c>
      <c r="D528" s="540"/>
      <c r="E528" s="540"/>
      <c r="G528" s="545">
        <v>291609</v>
      </c>
      <c r="H528" s="542"/>
    </row>
    <row r="529" spans="1:8" ht="15" customHeight="1" x14ac:dyDescent="0.2">
      <c r="C529" s="544" t="s">
        <v>544</v>
      </c>
      <c r="D529" s="540"/>
      <c r="E529" s="540"/>
      <c r="G529" s="545">
        <v>70407</v>
      </c>
      <c r="H529" s="542"/>
    </row>
    <row r="531" spans="1:8" ht="15.75" customHeight="1" x14ac:dyDescent="0.2">
      <c r="A531" s="543" t="s">
        <v>561</v>
      </c>
      <c r="B531" s="540"/>
      <c r="C531" s="540"/>
      <c r="D531" s="540"/>
      <c r="E531" s="540"/>
      <c r="F531" s="540"/>
      <c r="G531" s="540"/>
      <c r="H531" s="540"/>
    </row>
    <row r="532" spans="1:8" ht="15" customHeight="1" x14ac:dyDescent="0.2">
      <c r="C532" s="539" t="s">
        <v>373</v>
      </c>
      <c r="D532" s="540"/>
      <c r="E532" s="540"/>
      <c r="F532" s="215"/>
      <c r="G532" s="541">
        <v>125797</v>
      </c>
      <c r="H532" s="542"/>
    </row>
    <row r="533" spans="1:8" ht="15" customHeight="1" x14ac:dyDescent="0.2">
      <c r="C533" s="544" t="s">
        <v>548</v>
      </c>
      <c r="D533" s="540"/>
      <c r="E533" s="540"/>
      <c r="G533" s="545">
        <v>13308</v>
      </c>
      <c r="H533" s="542"/>
    </row>
    <row r="534" spans="1:8" ht="15" customHeight="1" x14ac:dyDescent="0.2">
      <c r="C534" s="544" t="s">
        <v>547</v>
      </c>
      <c r="D534" s="540"/>
      <c r="E534" s="540"/>
      <c r="G534" s="545">
        <v>84853</v>
      </c>
      <c r="H534" s="542"/>
    </row>
    <row r="535" spans="1:8" ht="15" customHeight="1" x14ac:dyDescent="0.2">
      <c r="C535" s="544" t="s">
        <v>544</v>
      </c>
      <c r="D535" s="540"/>
      <c r="E535" s="540"/>
      <c r="G535" s="545">
        <v>4750</v>
      </c>
      <c r="H535" s="542"/>
    </row>
    <row r="536" spans="1:8" ht="15" customHeight="1" x14ac:dyDescent="0.2">
      <c r="C536" s="544" t="s">
        <v>543</v>
      </c>
      <c r="D536" s="540"/>
      <c r="E536" s="540"/>
      <c r="G536" s="545">
        <v>22886</v>
      </c>
      <c r="H536" s="542"/>
    </row>
    <row r="537" spans="1:8" ht="22.5" customHeight="1" x14ac:dyDescent="0.2"/>
    <row r="538" spans="1:8" ht="31.5" customHeight="1" x14ac:dyDescent="0.2">
      <c r="A538" s="546" t="s">
        <v>631</v>
      </c>
      <c r="B538" s="540"/>
      <c r="C538" s="540"/>
      <c r="D538" s="540"/>
      <c r="E538" s="540"/>
      <c r="F538" s="540"/>
      <c r="G538" s="540"/>
      <c r="H538" s="540"/>
    </row>
    <row r="539" spans="1:8" ht="15" customHeight="1" x14ac:dyDescent="0.2">
      <c r="A539" s="216"/>
      <c r="B539" s="216"/>
      <c r="C539" s="547" t="s">
        <v>373</v>
      </c>
      <c r="D539" s="540"/>
      <c r="E539" s="540"/>
      <c r="F539" s="247"/>
      <c r="G539" s="548">
        <v>175949</v>
      </c>
      <c r="H539" s="542"/>
    </row>
    <row r="540" spans="1:8" ht="15" customHeight="1" x14ac:dyDescent="0.2">
      <c r="A540" s="216"/>
      <c r="B540" s="216"/>
      <c r="C540" s="559" t="s">
        <v>548</v>
      </c>
      <c r="D540" s="540"/>
      <c r="E540" s="540"/>
      <c r="F540" s="216"/>
      <c r="G540" s="560">
        <v>151850</v>
      </c>
      <c r="H540" s="542"/>
    </row>
    <row r="541" spans="1:8" ht="15" customHeight="1" x14ac:dyDescent="0.2">
      <c r="A541" s="216"/>
      <c r="B541" s="216"/>
      <c r="C541" s="559" t="s">
        <v>547</v>
      </c>
      <c r="D541" s="540"/>
      <c r="E541" s="540"/>
      <c r="F541" s="216"/>
      <c r="G541" s="560">
        <v>22179</v>
      </c>
      <c r="H541" s="542"/>
    </row>
    <row r="542" spans="1:8" ht="15" customHeight="1" x14ac:dyDescent="0.2">
      <c r="A542" s="216"/>
      <c r="B542" s="216"/>
      <c r="C542" s="559" t="s">
        <v>544</v>
      </c>
      <c r="D542" s="540"/>
      <c r="E542" s="540"/>
      <c r="F542" s="216"/>
      <c r="G542" s="560">
        <v>1920</v>
      </c>
      <c r="H542" s="542"/>
    </row>
    <row r="543" spans="1:8" ht="9" customHeight="1" x14ac:dyDescent="0.2"/>
    <row r="544" spans="1:8" ht="15.75" customHeight="1" x14ac:dyDescent="0.2">
      <c r="A544" s="543" t="s">
        <v>560</v>
      </c>
      <c r="B544" s="540"/>
      <c r="C544" s="540"/>
      <c r="D544" s="540"/>
      <c r="E544" s="540"/>
      <c r="F544" s="540"/>
      <c r="G544" s="540"/>
      <c r="H544" s="540"/>
    </row>
    <row r="545" spans="1:8" ht="15" customHeight="1" x14ac:dyDescent="0.2">
      <c r="C545" s="539" t="s">
        <v>373</v>
      </c>
      <c r="D545" s="540"/>
      <c r="E545" s="540"/>
      <c r="F545" s="215"/>
      <c r="G545" s="541">
        <v>175949</v>
      </c>
      <c r="H545" s="542"/>
    </row>
    <row r="546" spans="1:8" ht="15" customHeight="1" x14ac:dyDescent="0.2">
      <c r="C546" s="544" t="s">
        <v>548</v>
      </c>
      <c r="D546" s="540"/>
      <c r="E546" s="540"/>
      <c r="G546" s="545">
        <v>151850</v>
      </c>
      <c r="H546" s="542"/>
    </row>
    <row r="547" spans="1:8" ht="15" customHeight="1" x14ac:dyDescent="0.2">
      <c r="C547" s="544" t="s">
        <v>547</v>
      </c>
      <c r="D547" s="540"/>
      <c r="E547" s="540"/>
      <c r="G547" s="545">
        <v>22179</v>
      </c>
      <c r="H547" s="542"/>
    </row>
    <row r="548" spans="1:8" ht="15" customHeight="1" x14ac:dyDescent="0.2">
      <c r="C548" s="544" t="s">
        <v>544</v>
      </c>
      <c r="D548" s="540"/>
      <c r="E548" s="540"/>
      <c r="G548" s="545">
        <v>1920</v>
      </c>
      <c r="H548" s="542"/>
    </row>
    <row r="551" spans="1:8" ht="31.5" customHeight="1" x14ac:dyDescent="0.2">
      <c r="A551" s="546" t="s">
        <v>933</v>
      </c>
      <c r="B551" s="540"/>
      <c r="C551" s="540"/>
      <c r="D551" s="540"/>
      <c r="E551" s="540"/>
      <c r="F551" s="540"/>
      <c r="G551" s="540"/>
      <c r="H551" s="540"/>
    </row>
    <row r="552" spans="1:8" ht="15" customHeight="1" x14ac:dyDescent="0.2">
      <c r="A552" s="216"/>
      <c r="B552" s="216"/>
      <c r="C552" s="547" t="s">
        <v>373</v>
      </c>
      <c r="D552" s="540"/>
      <c r="E552" s="540"/>
      <c r="F552" s="247"/>
      <c r="G552" s="548">
        <v>4078742</v>
      </c>
      <c r="H552" s="542"/>
    </row>
    <row r="553" spans="1:8" ht="15" customHeight="1" x14ac:dyDescent="0.2">
      <c r="A553" s="216"/>
      <c r="B553" s="216"/>
      <c r="C553" s="547" t="s">
        <v>548</v>
      </c>
      <c r="D553" s="540"/>
      <c r="E553" s="540"/>
      <c r="F553" s="247"/>
      <c r="G553" s="548">
        <v>1524499</v>
      </c>
      <c r="H553" s="542"/>
    </row>
    <row r="554" spans="1:8" ht="15" customHeight="1" x14ac:dyDescent="0.2">
      <c r="A554" s="216"/>
      <c r="B554" s="216"/>
      <c r="C554" s="547" t="s">
        <v>547</v>
      </c>
      <c r="D554" s="540"/>
      <c r="E554" s="540"/>
      <c r="F554" s="247"/>
      <c r="G554" s="548">
        <v>303880</v>
      </c>
      <c r="H554" s="542"/>
    </row>
    <row r="555" spans="1:8" ht="15" customHeight="1" x14ac:dyDescent="0.2">
      <c r="A555" s="216"/>
      <c r="B555" s="216"/>
      <c r="C555" s="547" t="s">
        <v>544</v>
      </c>
      <c r="D555" s="540"/>
      <c r="E555" s="540"/>
      <c r="F555" s="247"/>
      <c r="G555" s="548">
        <v>30630</v>
      </c>
      <c r="H555" s="542"/>
    </row>
    <row r="556" spans="1:8" ht="15" customHeight="1" x14ac:dyDescent="0.2">
      <c r="A556" s="216"/>
      <c r="B556" s="216"/>
      <c r="C556" s="547" t="s">
        <v>543</v>
      </c>
      <c r="D556" s="540"/>
      <c r="E556" s="540"/>
      <c r="F556" s="247"/>
      <c r="G556" s="548">
        <v>1727948</v>
      </c>
      <c r="H556" s="542"/>
    </row>
    <row r="557" spans="1:8" ht="30" customHeight="1" x14ac:dyDescent="0.2">
      <c r="A557" s="216"/>
      <c r="B557" s="216"/>
      <c r="C557" s="547" t="s">
        <v>542</v>
      </c>
      <c r="D557" s="540"/>
      <c r="E557" s="540"/>
      <c r="F557" s="247"/>
      <c r="G557" s="548">
        <v>491785</v>
      </c>
      <c r="H557" s="542"/>
    </row>
    <row r="559" spans="1:8" ht="15.75" customHeight="1" x14ac:dyDescent="0.2">
      <c r="A559" s="543" t="s">
        <v>379</v>
      </c>
      <c r="B559" s="540"/>
      <c r="C559" s="540"/>
      <c r="D559" s="540"/>
      <c r="E559" s="540"/>
      <c r="F559" s="540"/>
      <c r="G559" s="540"/>
      <c r="H559" s="540"/>
    </row>
    <row r="560" spans="1:8" ht="14.25" customHeight="1" x14ac:dyDescent="0.2">
      <c r="C560" s="539" t="s">
        <v>373</v>
      </c>
      <c r="D560" s="540"/>
      <c r="E560" s="540"/>
      <c r="F560" s="215"/>
      <c r="G560" s="541">
        <v>491785</v>
      </c>
      <c r="H560" s="542"/>
    </row>
    <row r="561" spans="1:8" ht="30" customHeight="1" x14ac:dyDescent="0.2">
      <c r="C561" s="544" t="s">
        <v>542</v>
      </c>
      <c r="D561" s="540"/>
      <c r="E561" s="540"/>
      <c r="G561" s="545">
        <v>491785</v>
      </c>
      <c r="H561" s="542"/>
    </row>
    <row r="563" spans="1:8" ht="15.75" customHeight="1" x14ac:dyDescent="0.2">
      <c r="A563" s="543" t="s">
        <v>391</v>
      </c>
      <c r="B563" s="540"/>
      <c r="C563" s="540"/>
      <c r="D563" s="540"/>
      <c r="E563" s="540"/>
      <c r="F563" s="540"/>
      <c r="G563" s="540"/>
      <c r="H563" s="540"/>
    </row>
    <row r="564" spans="1:8" ht="14.25" customHeight="1" x14ac:dyDescent="0.2">
      <c r="C564" s="539" t="s">
        <v>373</v>
      </c>
      <c r="D564" s="540"/>
      <c r="E564" s="540"/>
      <c r="F564" s="215"/>
      <c r="G564" s="541">
        <v>60000</v>
      </c>
      <c r="H564" s="542"/>
    </row>
    <row r="565" spans="1:8" ht="15" customHeight="1" x14ac:dyDescent="0.2">
      <c r="C565" s="544" t="s">
        <v>543</v>
      </c>
      <c r="D565" s="540"/>
      <c r="E565" s="540"/>
      <c r="G565" s="545">
        <v>60000</v>
      </c>
      <c r="H565" s="542"/>
    </row>
    <row r="567" spans="1:8" ht="15.75" customHeight="1" x14ac:dyDescent="0.2">
      <c r="A567" s="543" t="s">
        <v>392</v>
      </c>
      <c r="B567" s="540"/>
      <c r="C567" s="540"/>
      <c r="D567" s="540"/>
      <c r="E567" s="540"/>
      <c r="F567" s="540"/>
      <c r="G567" s="540"/>
      <c r="H567" s="540"/>
    </row>
    <row r="568" spans="1:8" ht="14.25" customHeight="1" x14ac:dyDescent="0.2">
      <c r="C568" s="539" t="s">
        <v>373</v>
      </c>
      <c r="D568" s="540"/>
      <c r="E568" s="540"/>
      <c r="F568" s="215"/>
      <c r="G568" s="541">
        <v>12400</v>
      </c>
      <c r="H568" s="542"/>
    </row>
    <row r="569" spans="1:8" ht="15" customHeight="1" x14ac:dyDescent="0.2">
      <c r="C569" s="544" t="s">
        <v>543</v>
      </c>
      <c r="D569" s="540"/>
      <c r="E569" s="540"/>
      <c r="G569" s="545">
        <v>12400</v>
      </c>
      <c r="H569" s="542"/>
    </row>
    <row r="570" spans="1:8" ht="9" customHeight="1" x14ac:dyDescent="0.2"/>
    <row r="571" spans="1:8" ht="15.75" customHeight="1" x14ac:dyDescent="0.2">
      <c r="A571" s="543" t="s">
        <v>393</v>
      </c>
      <c r="B571" s="540"/>
      <c r="C571" s="540"/>
      <c r="D571" s="540"/>
      <c r="E571" s="540"/>
      <c r="F571" s="540"/>
      <c r="G571" s="540"/>
      <c r="H571" s="540"/>
    </row>
    <row r="572" spans="1:8" ht="15" customHeight="1" x14ac:dyDescent="0.2">
      <c r="C572" s="539" t="s">
        <v>373</v>
      </c>
      <c r="D572" s="540"/>
      <c r="E572" s="540"/>
      <c r="F572" s="215"/>
      <c r="G572" s="541">
        <v>37000</v>
      </c>
      <c r="H572" s="542"/>
    </row>
    <row r="573" spans="1:8" ht="15" customHeight="1" x14ac:dyDescent="0.2">
      <c r="C573" s="544" t="s">
        <v>543</v>
      </c>
      <c r="D573" s="540"/>
      <c r="E573" s="540"/>
      <c r="G573" s="545">
        <v>37000</v>
      </c>
      <c r="H573" s="542"/>
    </row>
    <row r="574" spans="1:8" ht="9" customHeight="1" x14ac:dyDescent="0.2"/>
    <row r="575" spans="1:8" ht="15.75" customHeight="1" x14ac:dyDescent="0.2">
      <c r="A575" s="543" t="s">
        <v>394</v>
      </c>
      <c r="B575" s="540"/>
      <c r="C575" s="540"/>
      <c r="D575" s="540"/>
      <c r="E575" s="540"/>
      <c r="F575" s="540"/>
      <c r="G575" s="540"/>
      <c r="H575" s="540"/>
    </row>
    <row r="576" spans="1:8" ht="15" customHeight="1" x14ac:dyDescent="0.2">
      <c r="C576" s="539" t="s">
        <v>373</v>
      </c>
      <c r="D576" s="540"/>
      <c r="E576" s="540"/>
      <c r="F576" s="215"/>
      <c r="G576" s="541">
        <v>5000</v>
      </c>
      <c r="H576" s="542"/>
    </row>
    <row r="577" spans="1:8" ht="15" customHeight="1" x14ac:dyDescent="0.2">
      <c r="C577" s="544" t="s">
        <v>547</v>
      </c>
      <c r="D577" s="540"/>
      <c r="E577" s="540"/>
      <c r="G577" s="545">
        <v>5000</v>
      </c>
      <c r="H577" s="542"/>
    </row>
    <row r="578" spans="1:8" ht="9" customHeight="1" x14ac:dyDescent="0.2"/>
    <row r="579" spans="1:8" ht="15.75" customHeight="1" x14ac:dyDescent="0.2">
      <c r="A579" s="543" t="s">
        <v>557</v>
      </c>
      <c r="B579" s="540"/>
      <c r="C579" s="540"/>
      <c r="D579" s="540"/>
      <c r="E579" s="540"/>
      <c r="F579" s="540"/>
      <c r="G579" s="540"/>
      <c r="H579" s="540"/>
    </row>
    <row r="580" spans="1:8" ht="15" customHeight="1" x14ac:dyDescent="0.2">
      <c r="C580" s="539" t="s">
        <v>373</v>
      </c>
      <c r="D580" s="540"/>
      <c r="E580" s="540"/>
      <c r="F580" s="215"/>
      <c r="G580" s="541">
        <v>340163</v>
      </c>
      <c r="H580" s="542"/>
    </row>
    <row r="581" spans="1:8" ht="15" customHeight="1" x14ac:dyDescent="0.2">
      <c r="C581" s="544" t="s">
        <v>548</v>
      </c>
      <c r="D581" s="540"/>
      <c r="E581" s="540"/>
      <c r="G581" s="545">
        <v>219143</v>
      </c>
      <c r="H581" s="542"/>
    </row>
    <row r="582" spans="1:8" ht="15" customHeight="1" x14ac:dyDescent="0.2">
      <c r="C582" s="544" t="s">
        <v>547</v>
      </c>
      <c r="D582" s="540"/>
      <c r="E582" s="540"/>
      <c r="G582" s="545">
        <v>10452</v>
      </c>
      <c r="H582" s="542"/>
    </row>
    <row r="583" spans="1:8" ht="15" customHeight="1" x14ac:dyDescent="0.2">
      <c r="C583" s="544" t="s">
        <v>544</v>
      </c>
      <c r="D583" s="540"/>
      <c r="E583" s="540"/>
      <c r="G583" s="545">
        <v>7000</v>
      </c>
      <c r="H583" s="542"/>
    </row>
    <row r="584" spans="1:8" ht="15" customHeight="1" x14ac:dyDescent="0.2">
      <c r="C584" s="544" t="s">
        <v>543</v>
      </c>
      <c r="D584" s="540"/>
      <c r="E584" s="540"/>
      <c r="G584" s="545">
        <v>103568</v>
      </c>
      <c r="H584" s="542"/>
    </row>
    <row r="585" spans="1:8" ht="9" customHeight="1" x14ac:dyDescent="0.2"/>
    <row r="586" spans="1:8" ht="31.5" customHeight="1" x14ac:dyDescent="0.2">
      <c r="A586" s="543" t="s">
        <v>414</v>
      </c>
      <c r="B586" s="540"/>
      <c r="C586" s="540"/>
      <c r="D586" s="540"/>
      <c r="E586" s="540"/>
      <c r="F586" s="540"/>
      <c r="G586" s="540"/>
      <c r="H586" s="540"/>
    </row>
    <row r="587" spans="1:8" ht="15" customHeight="1" x14ac:dyDescent="0.2">
      <c r="C587" s="539" t="s">
        <v>373</v>
      </c>
      <c r="D587" s="540"/>
      <c r="E587" s="540"/>
      <c r="F587" s="215"/>
      <c r="G587" s="541">
        <v>93454</v>
      </c>
      <c r="H587" s="542"/>
    </row>
    <row r="588" spans="1:8" ht="15" customHeight="1" x14ac:dyDescent="0.2">
      <c r="C588" s="544" t="s">
        <v>548</v>
      </c>
      <c r="D588" s="540"/>
      <c r="E588" s="540"/>
      <c r="G588" s="545">
        <v>70700</v>
      </c>
      <c r="H588" s="542"/>
    </row>
    <row r="589" spans="1:8" ht="15" customHeight="1" x14ac:dyDescent="0.2">
      <c r="C589" s="544" t="s">
        <v>547</v>
      </c>
      <c r="D589" s="540"/>
      <c r="E589" s="540"/>
      <c r="G589" s="545">
        <v>22754</v>
      </c>
      <c r="H589" s="542"/>
    </row>
    <row r="590" spans="1:8" ht="9" customHeight="1" x14ac:dyDescent="0.2"/>
    <row r="591" spans="1:8" ht="15.75" customHeight="1" x14ac:dyDescent="0.2">
      <c r="A591" s="543" t="s">
        <v>556</v>
      </c>
      <c r="B591" s="540"/>
      <c r="C591" s="540"/>
      <c r="D591" s="540"/>
      <c r="E591" s="540"/>
      <c r="F591" s="540"/>
      <c r="G591" s="540"/>
      <c r="H591" s="540"/>
    </row>
    <row r="592" spans="1:8" ht="15" customHeight="1" x14ac:dyDescent="0.2">
      <c r="C592" s="539" t="s">
        <v>373</v>
      </c>
      <c r="D592" s="540"/>
      <c r="E592" s="540"/>
      <c r="F592" s="215"/>
      <c r="G592" s="541">
        <v>76598</v>
      </c>
      <c r="H592" s="542"/>
    </row>
    <row r="593" spans="1:8" ht="15" customHeight="1" x14ac:dyDescent="0.2">
      <c r="C593" s="544" t="s">
        <v>548</v>
      </c>
      <c r="D593" s="540"/>
      <c r="E593" s="540"/>
      <c r="G593" s="545">
        <v>58165</v>
      </c>
      <c r="H593" s="542"/>
    </row>
    <row r="594" spans="1:8" ht="15" customHeight="1" x14ac:dyDescent="0.2">
      <c r="C594" s="544" t="s">
        <v>547</v>
      </c>
      <c r="D594" s="540"/>
      <c r="E594" s="540"/>
      <c r="G594" s="545">
        <v>17133</v>
      </c>
      <c r="H594" s="542"/>
    </row>
    <row r="595" spans="1:8" ht="15" customHeight="1" x14ac:dyDescent="0.2">
      <c r="C595" s="544" t="s">
        <v>544</v>
      </c>
      <c r="D595" s="540"/>
      <c r="E595" s="540"/>
      <c r="G595" s="545">
        <v>1300</v>
      </c>
      <c r="H595" s="542"/>
    </row>
    <row r="596" spans="1:8" ht="9" customHeight="1" x14ac:dyDescent="0.2"/>
    <row r="597" spans="1:8" ht="15.75" customHeight="1" x14ac:dyDescent="0.2">
      <c r="A597" s="543" t="s">
        <v>555</v>
      </c>
      <c r="B597" s="540"/>
      <c r="C597" s="540"/>
      <c r="D597" s="540"/>
      <c r="E597" s="540"/>
      <c r="F597" s="540"/>
      <c r="G597" s="540"/>
      <c r="H597" s="540"/>
    </row>
    <row r="598" spans="1:8" ht="15" customHeight="1" x14ac:dyDescent="0.2">
      <c r="C598" s="539" t="s">
        <v>373</v>
      </c>
      <c r="D598" s="540"/>
      <c r="E598" s="540"/>
      <c r="F598" s="215"/>
      <c r="G598" s="541">
        <v>72128</v>
      </c>
      <c r="H598" s="542"/>
    </row>
    <row r="599" spans="1:8" ht="15" customHeight="1" x14ac:dyDescent="0.2">
      <c r="C599" s="544" t="s">
        <v>548</v>
      </c>
      <c r="D599" s="540"/>
      <c r="E599" s="540"/>
      <c r="G599" s="545">
        <v>44171</v>
      </c>
      <c r="H599" s="542"/>
    </row>
    <row r="600" spans="1:8" ht="15" customHeight="1" x14ac:dyDescent="0.2">
      <c r="C600" s="544" t="s">
        <v>547</v>
      </c>
      <c r="D600" s="540"/>
      <c r="E600" s="540"/>
      <c r="G600" s="545">
        <v>26657</v>
      </c>
      <c r="H600" s="542"/>
    </row>
    <row r="601" spans="1:8" ht="15" customHeight="1" x14ac:dyDescent="0.2">
      <c r="C601" s="544" t="s">
        <v>544</v>
      </c>
      <c r="D601" s="540"/>
      <c r="E601" s="540"/>
      <c r="G601" s="545">
        <v>1300</v>
      </c>
      <c r="H601" s="542"/>
    </row>
    <row r="602" spans="1:8" ht="9" customHeight="1" x14ac:dyDescent="0.2"/>
    <row r="603" spans="1:8" ht="15.75" customHeight="1" x14ac:dyDescent="0.2">
      <c r="A603" s="543" t="s">
        <v>415</v>
      </c>
      <c r="B603" s="540"/>
      <c r="C603" s="540"/>
      <c r="D603" s="540"/>
      <c r="E603" s="540"/>
      <c r="F603" s="540"/>
      <c r="G603" s="540"/>
      <c r="H603" s="540"/>
    </row>
    <row r="604" spans="1:8" ht="15" customHeight="1" x14ac:dyDescent="0.2">
      <c r="C604" s="539" t="s">
        <v>373</v>
      </c>
      <c r="D604" s="540"/>
      <c r="E604" s="540"/>
      <c r="F604" s="215"/>
      <c r="G604" s="541">
        <v>106791</v>
      </c>
      <c r="H604" s="542"/>
    </row>
    <row r="605" spans="1:8" ht="15" customHeight="1" x14ac:dyDescent="0.2">
      <c r="C605" s="544" t="s">
        <v>548</v>
      </c>
      <c r="D605" s="540"/>
      <c r="E605" s="540"/>
      <c r="G605" s="545">
        <v>83289</v>
      </c>
      <c r="H605" s="542"/>
    </row>
    <row r="606" spans="1:8" ht="15" customHeight="1" x14ac:dyDescent="0.2">
      <c r="C606" s="544" t="s">
        <v>547</v>
      </c>
      <c r="D606" s="540"/>
      <c r="E606" s="540"/>
      <c r="G606" s="545">
        <v>23502</v>
      </c>
      <c r="H606" s="542"/>
    </row>
    <row r="607" spans="1:8" ht="9" customHeight="1" x14ac:dyDescent="0.2"/>
    <row r="608" spans="1:8" ht="15.75" customHeight="1" x14ac:dyDescent="0.2">
      <c r="A608" s="543" t="s">
        <v>461</v>
      </c>
      <c r="B608" s="540"/>
      <c r="C608" s="540"/>
      <c r="D608" s="540"/>
      <c r="E608" s="540"/>
      <c r="F608" s="540"/>
      <c r="G608" s="540"/>
      <c r="H608" s="540"/>
    </row>
    <row r="609" spans="1:8" ht="15" customHeight="1" x14ac:dyDescent="0.2">
      <c r="C609" s="539" t="s">
        <v>373</v>
      </c>
      <c r="D609" s="540"/>
      <c r="E609" s="540"/>
      <c r="F609" s="215"/>
      <c r="G609" s="541">
        <v>246019</v>
      </c>
      <c r="H609" s="542"/>
    </row>
    <row r="610" spans="1:8" ht="15" customHeight="1" x14ac:dyDescent="0.2">
      <c r="C610" s="544" t="s">
        <v>548</v>
      </c>
      <c r="D610" s="540"/>
      <c r="E610" s="540"/>
      <c r="G610" s="545">
        <v>90154</v>
      </c>
      <c r="H610" s="542"/>
    </row>
    <row r="611" spans="1:8" ht="15" customHeight="1" x14ac:dyDescent="0.2">
      <c r="C611" s="544" t="s">
        <v>547</v>
      </c>
      <c r="D611" s="540"/>
      <c r="E611" s="540"/>
      <c r="G611" s="545">
        <v>11449</v>
      </c>
      <c r="H611" s="542"/>
    </row>
    <row r="612" spans="1:8" ht="15" customHeight="1" x14ac:dyDescent="0.2">
      <c r="C612" s="544" t="s">
        <v>544</v>
      </c>
      <c r="D612" s="540"/>
      <c r="E612" s="540"/>
      <c r="G612" s="545">
        <v>1300</v>
      </c>
      <c r="H612" s="542"/>
    </row>
    <row r="613" spans="1:8" ht="15" customHeight="1" x14ac:dyDescent="0.2">
      <c r="C613" s="544" t="s">
        <v>543</v>
      </c>
      <c r="D613" s="540"/>
      <c r="E613" s="540"/>
      <c r="G613" s="545">
        <v>143116</v>
      </c>
      <c r="H613" s="542"/>
    </row>
    <row r="614" spans="1:8" ht="9" customHeight="1" x14ac:dyDescent="0.2"/>
    <row r="615" spans="1:8" ht="15.75" customHeight="1" x14ac:dyDescent="0.2">
      <c r="A615" s="543" t="s">
        <v>416</v>
      </c>
      <c r="B615" s="540"/>
      <c r="C615" s="540"/>
      <c r="D615" s="540"/>
      <c r="E615" s="540"/>
      <c r="F615" s="540"/>
      <c r="G615" s="540"/>
      <c r="H615" s="540"/>
    </row>
    <row r="616" spans="1:8" ht="15" customHeight="1" x14ac:dyDescent="0.2">
      <c r="C616" s="539" t="s">
        <v>373</v>
      </c>
      <c r="D616" s="540"/>
      <c r="E616" s="540"/>
      <c r="F616" s="215"/>
      <c r="G616" s="541">
        <v>203089</v>
      </c>
      <c r="H616" s="542"/>
    </row>
    <row r="617" spans="1:8" ht="15" customHeight="1" x14ac:dyDescent="0.2">
      <c r="C617" s="544" t="s">
        <v>543</v>
      </c>
      <c r="D617" s="540"/>
      <c r="E617" s="540"/>
      <c r="G617" s="545">
        <v>203089</v>
      </c>
      <c r="H617" s="542"/>
    </row>
    <row r="619" spans="1:8" ht="15.75" customHeight="1" x14ac:dyDescent="0.2">
      <c r="A619" s="543" t="s">
        <v>460</v>
      </c>
      <c r="B619" s="540"/>
      <c r="C619" s="540"/>
      <c r="D619" s="540"/>
      <c r="E619" s="540"/>
      <c r="F619" s="540"/>
      <c r="G619" s="540"/>
      <c r="H619" s="540"/>
    </row>
    <row r="620" spans="1:8" ht="15" customHeight="1" x14ac:dyDescent="0.2">
      <c r="C620" s="539" t="s">
        <v>373</v>
      </c>
      <c r="D620" s="540"/>
      <c r="E620" s="540"/>
      <c r="F620" s="215"/>
      <c r="G620" s="541">
        <v>673725</v>
      </c>
      <c r="H620" s="542"/>
    </row>
    <row r="621" spans="1:8" ht="15" customHeight="1" x14ac:dyDescent="0.2">
      <c r="C621" s="544" t="s">
        <v>548</v>
      </c>
      <c r="D621" s="540"/>
      <c r="E621" s="540"/>
      <c r="G621" s="545">
        <v>2134</v>
      </c>
      <c r="H621" s="542"/>
    </row>
    <row r="622" spans="1:8" ht="15" customHeight="1" x14ac:dyDescent="0.2">
      <c r="C622" s="544" t="s">
        <v>543</v>
      </c>
      <c r="D622" s="540"/>
      <c r="E622" s="540"/>
      <c r="G622" s="545">
        <v>671591</v>
      </c>
      <c r="H622" s="542"/>
    </row>
    <row r="623" spans="1:8" ht="9" customHeight="1" x14ac:dyDescent="0.2"/>
    <row r="624" spans="1:8" ht="31.5" customHeight="1" x14ac:dyDescent="0.2">
      <c r="A624" s="543" t="s">
        <v>554</v>
      </c>
      <c r="B624" s="540"/>
      <c r="C624" s="540"/>
      <c r="D624" s="540"/>
      <c r="E624" s="540"/>
      <c r="F624" s="540"/>
      <c r="G624" s="540"/>
      <c r="H624" s="540"/>
    </row>
    <row r="625" spans="1:8" ht="15" customHeight="1" x14ac:dyDescent="0.2">
      <c r="C625" s="539" t="s">
        <v>373</v>
      </c>
      <c r="D625" s="540"/>
      <c r="E625" s="540"/>
      <c r="F625" s="215"/>
      <c r="G625" s="541">
        <v>2560</v>
      </c>
      <c r="H625" s="542"/>
    </row>
    <row r="626" spans="1:8" ht="15" customHeight="1" x14ac:dyDescent="0.2">
      <c r="C626" s="544" t="s">
        <v>548</v>
      </c>
      <c r="D626" s="540"/>
      <c r="E626" s="540"/>
      <c r="G626" s="545">
        <v>160</v>
      </c>
      <c r="H626" s="542"/>
    </row>
    <row r="627" spans="1:8" ht="15" customHeight="1" x14ac:dyDescent="0.2">
      <c r="C627" s="544" t="s">
        <v>547</v>
      </c>
      <c r="D627" s="540"/>
      <c r="E627" s="540"/>
      <c r="G627" s="545">
        <v>2400</v>
      </c>
      <c r="H627" s="542"/>
    </row>
    <row r="628" spans="1:8" ht="9" customHeight="1" x14ac:dyDescent="0.2"/>
    <row r="629" spans="1:8" ht="15.75" customHeight="1" x14ac:dyDescent="0.2">
      <c r="A629" s="543" t="s">
        <v>418</v>
      </c>
      <c r="B629" s="540"/>
      <c r="C629" s="540"/>
      <c r="D629" s="540"/>
      <c r="E629" s="540"/>
      <c r="F629" s="540"/>
      <c r="G629" s="540"/>
      <c r="H629" s="540"/>
    </row>
    <row r="630" spans="1:8" ht="15" customHeight="1" x14ac:dyDescent="0.2">
      <c r="C630" s="539" t="s">
        <v>373</v>
      </c>
      <c r="D630" s="540"/>
      <c r="E630" s="540"/>
      <c r="F630" s="215"/>
      <c r="G630" s="541">
        <v>390000</v>
      </c>
      <c r="H630" s="542"/>
    </row>
    <row r="631" spans="1:8" ht="15" customHeight="1" x14ac:dyDescent="0.2">
      <c r="C631" s="544" t="s">
        <v>543</v>
      </c>
      <c r="D631" s="540"/>
      <c r="E631" s="540"/>
      <c r="G631" s="545">
        <v>390000</v>
      </c>
      <c r="H631" s="542"/>
    </row>
    <row r="632" spans="1:8" ht="9" customHeight="1" x14ac:dyDescent="0.2"/>
    <row r="633" spans="1:8" ht="15.75" customHeight="1" x14ac:dyDescent="0.2">
      <c r="A633" s="543" t="s">
        <v>419</v>
      </c>
      <c r="B633" s="540"/>
      <c r="C633" s="540"/>
      <c r="D633" s="540"/>
      <c r="E633" s="540"/>
      <c r="F633" s="540"/>
      <c r="G633" s="540"/>
      <c r="H633" s="540"/>
    </row>
    <row r="634" spans="1:8" ht="15" customHeight="1" x14ac:dyDescent="0.2">
      <c r="C634" s="539" t="s">
        <v>373</v>
      </c>
      <c r="D634" s="540"/>
      <c r="E634" s="540"/>
      <c r="F634" s="215"/>
      <c r="G634" s="541">
        <v>8719</v>
      </c>
      <c r="H634" s="542"/>
    </row>
    <row r="635" spans="1:8" ht="15" customHeight="1" x14ac:dyDescent="0.2">
      <c r="C635" s="544" t="s">
        <v>547</v>
      </c>
      <c r="D635" s="540"/>
      <c r="E635" s="540"/>
      <c r="G635" s="545">
        <v>1434</v>
      </c>
      <c r="H635" s="542"/>
    </row>
    <row r="636" spans="1:8" ht="15" customHeight="1" x14ac:dyDescent="0.2">
      <c r="C636" s="544" t="s">
        <v>543</v>
      </c>
      <c r="D636" s="540"/>
      <c r="E636" s="540"/>
      <c r="G636" s="545">
        <v>7285</v>
      </c>
      <c r="H636" s="542"/>
    </row>
    <row r="637" spans="1:8" ht="9" customHeight="1" x14ac:dyDescent="0.2"/>
    <row r="638" spans="1:8" ht="31.5" customHeight="1" x14ac:dyDescent="0.2">
      <c r="A638" s="543" t="s">
        <v>553</v>
      </c>
      <c r="B638" s="540"/>
      <c r="C638" s="540"/>
      <c r="D638" s="540"/>
      <c r="E638" s="540"/>
      <c r="F638" s="540"/>
      <c r="G638" s="540"/>
      <c r="H638" s="540"/>
    </row>
    <row r="639" spans="1:8" ht="15" customHeight="1" x14ac:dyDescent="0.2">
      <c r="C639" s="539" t="s">
        <v>373</v>
      </c>
      <c r="D639" s="540"/>
      <c r="E639" s="540"/>
      <c r="F639" s="215"/>
      <c r="G639" s="541">
        <v>91699</v>
      </c>
      <c r="H639" s="542"/>
    </row>
    <row r="640" spans="1:8" ht="15" customHeight="1" x14ac:dyDescent="0.2">
      <c r="C640" s="544" t="s">
        <v>543</v>
      </c>
      <c r="D640" s="540"/>
      <c r="E640" s="540"/>
      <c r="G640" s="545">
        <v>91699</v>
      </c>
      <c r="H640" s="542"/>
    </row>
    <row r="641" spans="1:8" ht="9" customHeight="1" x14ac:dyDescent="0.2"/>
    <row r="642" spans="1:8" ht="15.75" customHeight="1" x14ac:dyDescent="0.2">
      <c r="A642" s="543" t="s">
        <v>420</v>
      </c>
      <c r="B642" s="540"/>
      <c r="C642" s="540"/>
      <c r="D642" s="540"/>
      <c r="E642" s="540"/>
      <c r="F642" s="540"/>
      <c r="G642" s="540"/>
      <c r="H642" s="540"/>
    </row>
    <row r="643" spans="1:8" ht="15" customHeight="1" x14ac:dyDescent="0.2">
      <c r="C643" s="539" t="s">
        <v>373</v>
      </c>
      <c r="D643" s="540"/>
      <c r="E643" s="540"/>
      <c r="F643" s="215"/>
      <c r="G643" s="541">
        <v>92506</v>
      </c>
      <c r="H643" s="542"/>
    </row>
    <row r="644" spans="1:8" ht="15" customHeight="1" x14ac:dyDescent="0.2">
      <c r="C644" s="544" t="s">
        <v>548</v>
      </c>
      <c r="D644" s="540"/>
      <c r="E644" s="540"/>
      <c r="G644" s="545">
        <v>45102</v>
      </c>
      <c r="H644" s="542"/>
    </row>
    <row r="645" spans="1:8" ht="15" customHeight="1" x14ac:dyDescent="0.2">
      <c r="C645" s="544" t="s">
        <v>547</v>
      </c>
      <c r="D645" s="540"/>
      <c r="E645" s="540"/>
      <c r="G645" s="545">
        <v>47404</v>
      </c>
      <c r="H645" s="542"/>
    </row>
    <row r="646" spans="1:8" ht="9" customHeight="1" x14ac:dyDescent="0.2"/>
    <row r="647" spans="1:8" ht="15.75" customHeight="1" x14ac:dyDescent="0.2">
      <c r="A647" s="543" t="s">
        <v>421</v>
      </c>
      <c r="B647" s="540"/>
      <c r="C647" s="540"/>
      <c r="D647" s="540"/>
      <c r="E647" s="540"/>
      <c r="F647" s="540"/>
      <c r="G647" s="540"/>
      <c r="H647" s="540"/>
    </row>
    <row r="648" spans="1:8" ht="15" customHeight="1" x14ac:dyDescent="0.2">
      <c r="C648" s="539" t="s">
        <v>373</v>
      </c>
      <c r="D648" s="540"/>
      <c r="E648" s="540"/>
      <c r="F648" s="215"/>
      <c r="G648" s="541">
        <v>17158</v>
      </c>
      <c r="H648" s="542"/>
    </row>
    <row r="649" spans="1:8" ht="15" customHeight="1" x14ac:dyDescent="0.2">
      <c r="C649" s="544" t="s">
        <v>548</v>
      </c>
      <c r="D649" s="540"/>
      <c r="E649" s="540"/>
      <c r="G649" s="545">
        <v>7510</v>
      </c>
      <c r="H649" s="542"/>
    </row>
    <row r="650" spans="1:8" ht="15" customHeight="1" x14ac:dyDescent="0.2">
      <c r="C650" s="544" t="s">
        <v>547</v>
      </c>
      <c r="D650" s="540"/>
      <c r="E650" s="540"/>
      <c r="G650" s="545">
        <v>9648</v>
      </c>
      <c r="H650" s="542"/>
    </row>
    <row r="652" spans="1:8" ht="15.75" customHeight="1" x14ac:dyDescent="0.2">
      <c r="A652" s="543" t="s">
        <v>552</v>
      </c>
      <c r="B652" s="540"/>
      <c r="C652" s="540"/>
      <c r="D652" s="540"/>
      <c r="E652" s="540"/>
      <c r="F652" s="540"/>
      <c r="G652" s="540"/>
      <c r="H652" s="540"/>
    </row>
    <row r="653" spans="1:8" ht="15" customHeight="1" x14ac:dyDescent="0.2">
      <c r="C653" s="539" t="s">
        <v>373</v>
      </c>
      <c r="D653" s="540"/>
      <c r="E653" s="540"/>
      <c r="F653" s="215"/>
      <c r="G653" s="541">
        <v>1049748</v>
      </c>
      <c r="H653" s="542"/>
    </row>
    <row r="654" spans="1:8" ht="15" customHeight="1" x14ac:dyDescent="0.2">
      <c r="C654" s="544" t="s">
        <v>548</v>
      </c>
      <c r="D654" s="540"/>
      <c r="E654" s="540"/>
      <c r="G654" s="545">
        <v>903971</v>
      </c>
      <c r="H654" s="542"/>
    </row>
    <row r="655" spans="1:8" ht="15" customHeight="1" x14ac:dyDescent="0.2">
      <c r="C655" s="544" t="s">
        <v>547</v>
      </c>
      <c r="D655" s="540"/>
      <c r="E655" s="540"/>
      <c r="G655" s="545">
        <v>126047</v>
      </c>
      <c r="H655" s="542"/>
    </row>
    <row r="656" spans="1:8" ht="15" customHeight="1" x14ac:dyDescent="0.2">
      <c r="C656" s="544" t="s">
        <v>544</v>
      </c>
      <c r="D656" s="540"/>
      <c r="E656" s="540"/>
      <c r="G656" s="545">
        <v>19730</v>
      </c>
      <c r="H656" s="542"/>
    </row>
    <row r="658" spans="1:8" ht="15.75" customHeight="1" x14ac:dyDescent="0.2">
      <c r="A658" s="543" t="s">
        <v>422</v>
      </c>
      <c r="B658" s="540"/>
      <c r="C658" s="540"/>
      <c r="D658" s="540"/>
      <c r="E658" s="540"/>
      <c r="F658" s="540"/>
      <c r="G658" s="540"/>
      <c r="H658" s="540"/>
    </row>
    <row r="659" spans="1:8" ht="15" customHeight="1" x14ac:dyDescent="0.2">
      <c r="C659" s="539" t="s">
        <v>373</v>
      </c>
      <c r="D659" s="540"/>
      <c r="E659" s="540"/>
      <c r="F659" s="215"/>
      <c r="G659" s="541">
        <v>8200</v>
      </c>
      <c r="H659" s="542"/>
    </row>
    <row r="660" spans="1:8" ht="15" customHeight="1" x14ac:dyDescent="0.2">
      <c r="C660" s="544" t="s">
        <v>543</v>
      </c>
      <c r="D660" s="540"/>
      <c r="E660" s="540"/>
      <c r="G660" s="545">
        <v>8200</v>
      </c>
      <c r="H660" s="542"/>
    </row>
    <row r="661" spans="1:8" ht="26.25" customHeight="1" x14ac:dyDescent="0.2"/>
    <row r="662" spans="1:8" ht="31.5" customHeight="1" x14ac:dyDescent="0.2">
      <c r="A662" s="556" t="s">
        <v>934</v>
      </c>
      <c r="B662" s="550"/>
      <c r="C662" s="550"/>
      <c r="D662" s="550"/>
      <c r="E662" s="550"/>
      <c r="F662" s="550"/>
      <c r="G662" s="550"/>
      <c r="H662" s="550"/>
    </row>
    <row r="663" spans="1:8" x14ac:dyDescent="0.2">
      <c r="A663" s="521"/>
      <c r="B663" s="521"/>
      <c r="C663" s="557" t="s">
        <v>373</v>
      </c>
      <c r="D663" s="550"/>
      <c r="E663" s="550"/>
      <c r="F663" s="522"/>
      <c r="G663" s="558">
        <v>810052</v>
      </c>
      <c r="H663" s="552"/>
    </row>
    <row r="664" spans="1:8" x14ac:dyDescent="0.2">
      <c r="A664" s="521"/>
      <c r="B664" s="521"/>
      <c r="C664" s="557" t="s">
        <v>548</v>
      </c>
      <c r="D664" s="550"/>
      <c r="E664" s="550"/>
      <c r="F664" s="522"/>
      <c r="G664" s="558">
        <v>589649</v>
      </c>
      <c r="H664" s="552"/>
    </row>
    <row r="665" spans="1:8" x14ac:dyDescent="0.2">
      <c r="A665" s="521"/>
      <c r="B665" s="521"/>
      <c r="C665" s="557" t="s">
        <v>547</v>
      </c>
      <c r="D665" s="550"/>
      <c r="E665" s="550"/>
      <c r="F665" s="522"/>
      <c r="G665" s="558">
        <v>208058</v>
      </c>
      <c r="H665" s="552"/>
    </row>
    <row r="666" spans="1:8" x14ac:dyDescent="0.2">
      <c r="A666" s="521"/>
      <c r="B666" s="521"/>
      <c r="C666" s="557" t="s">
        <v>544</v>
      </c>
      <c r="D666" s="550"/>
      <c r="E666" s="550"/>
      <c r="F666" s="522"/>
      <c r="G666" s="558">
        <v>1450</v>
      </c>
      <c r="H666" s="552"/>
    </row>
    <row r="667" spans="1:8" x14ac:dyDescent="0.2">
      <c r="A667" s="521"/>
      <c r="B667" s="521"/>
      <c r="C667" s="557" t="s">
        <v>543</v>
      </c>
      <c r="D667" s="550"/>
      <c r="E667" s="550"/>
      <c r="F667" s="522"/>
      <c r="G667" s="558">
        <v>10895</v>
      </c>
      <c r="H667" s="552"/>
    </row>
    <row r="668" spans="1:8" x14ac:dyDescent="0.2">
      <c r="A668" s="523"/>
      <c r="B668" s="523"/>
      <c r="C668" s="523"/>
      <c r="D668" s="523"/>
      <c r="E668" s="523"/>
      <c r="F668" s="523"/>
      <c r="G668" s="523"/>
      <c r="H668" s="523"/>
    </row>
    <row r="669" spans="1:8" x14ac:dyDescent="0.2">
      <c r="A669" s="553" t="s">
        <v>559</v>
      </c>
      <c r="B669" s="550"/>
      <c r="C669" s="550"/>
      <c r="D669" s="550"/>
      <c r="E669" s="550"/>
      <c r="F669" s="550"/>
      <c r="G669" s="550"/>
      <c r="H669" s="550"/>
    </row>
    <row r="670" spans="1:8" x14ac:dyDescent="0.2">
      <c r="A670" s="523"/>
      <c r="B670" s="523"/>
      <c r="C670" s="554" t="s">
        <v>373</v>
      </c>
      <c r="D670" s="550"/>
      <c r="E670" s="550"/>
      <c r="F670" s="524"/>
      <c r="G670" s="555">
        <v>711500</v>
      </c>
      <c r="H670" s="552"/>
    </row>
    <row r="671" spans="1:8" x14ac:dyDescent="0.2">
      <c r="A671" s="523"/>
      <c r="B671" s="523"/>
      <c r="C671" s="549" t="s">
        <v>548</v>
      </c>
      <c r="D671" s="550"/>
      <c r="E671" s="550"/>
      <c r="F671" s="523"/>
      <c r="G671" s="551">
        <v>516746</v>
      </c>
      <c r="H671" s="552"/>
    </row>
    <row r="672" spans="1:8" x14ac:dyDescent="0.2">
      <c r="A672" s="523"/>
      <c r="B672" s="523"/>
      <c r="C672" s="549" t="s">
        <v>547</v>
      </c>
      <c r="D672" s="550"/>
      <c r="E672" s="550"/>
      <c r="F672" s="523"/>
      <c r="G672" s="551">
        <v>183509</v>
      </c>
      <c r="H672" s="552"/>
    </row>
    <row r="673" spans="1:8" x14ac:dyDescent="0.2">
      <c r="A673" s="523"/>
      <c r="B673" s="523"/>
      <c r="C673" s="549" t="s">
        <v>544</v>
      </c>
      <c r="D673" s="550"/>
      <c r="E673" s="550"/>
      <c r="F673" s="523"/>
      <c r="G673" s="551">
        <v>350</v>
      </c>
      <c r="H673" s="552"/>
    </row>
    <row r="674" spans="1:8" x14ac:dyDescent="0.2">
      <c r="A674" s="523"/>
      <c r="B674" s="523"/>
      <c r="C674" s="549" t="s">
        <v>543</v>
      </c>
      <c r="D674" s="550"/>
      <c r="E674" s="550"/>
      <c r="F674" s="523"/>
      <c r="G674" s="551">
        <v>10895</v>
      </c>
      <c r="H674" s="552"/>
    </row>
    <row r="675" spans="1:8" x14ac:dyDescent="0.2">
      <c r="A675" s="523"/>
      <c r="B675" s="523"/>
      <c r="C675" s="523"/>
      <c r="D675" s="523"/>
      <c r="E675" s="523"/>
      <c r="F675" s="523"/>
      <c r="G675" s="523"/>
      <c r="H675" s="523"/>
    </row>
    <row r="676" spans="1:8" x14ac:dyDescent="0.2">
      <c r="A676" s="553" t="s">
        <v>558</v>
      </c>
      <c r="B676" s="550"/>
      <c r="C676" s="550"/>
      <c r="D676" s="550"/>
      <c r="E676" s="550"/>
      <c r="F676" s="550"/>
      <c r="G676" s="550"/>
      <c r="H676" s="550"/>
    </row>
    <row r="677" spans="1:8" x14ac:dyDescent="0.2">
      <c r="A677" s="523"/>
      <c r="B677" s="523"/>
      <c r="C677" s="554" t="s">
        <v>373</v>
      </c>
      <c r="D677" s="550"/>
      <c r="E677" s="550"/>
      <c r="F677" s="524"/>
      <c r="G677" s="555">
        <v>98552</v>
      </c>
      <c r="H677" s="552"/>
    </row>
    <row r="678" spans="1:8" x14ac:dyDescent="0.2">
      <c r="A678" s="523"/>
      <c r="B678" s="523"/>
      <c r="C678" s="549" t="s">
        <v>548</v>
      </c>
      <c r="D678" s="550"/>
      <c r="E678" s="550"/>
      <c r="F678" s="523"/>
      <c r="G678" s="551">
        <v>72903</v>
      </c>
      <c r="H678" s="552"/>
    </row>
    <row r="679" spans="1:8" x14ac:dyDescent="0.2">
      <c r="A679" s="523"/>
      <c r="B679" s="523"/>
      <c r="C679" s="549" t="s">
        <v>547</v>
      </c>
      <c r="D679" s="550"/>
      <c r="E679" s="550"/>
      <c r="F679" s="523"/>
      <c r="G679" s="551">
        <v>24549</v>
      </c>
      <c r="H679" s="552"/>
    </row>
    <row r="680" spans="1:8" x14ac:dyDescent="0.2">
      <c r="A680" s="523"/>
      <c r="B680" s="523"/>
      <c r="C680" s="549" t="s">
        <v>544</v>
      </c>
      <c r="D680" s="550"/>
      <c r="E680" s="550"/>
      <c r="F680" s="523"/>
      <c r="G680" s="551">
        <v>1100</v>
      </c>
      <c r="H680" s="552"/>
    </row>
    <row r="683" spans="1:8" ht="15.75" customHeight="1" x14ac:dyDescent="0.2">
      <c r="A683" s="546" t="s">
        <v>551</v>
      </c>
      <c r="B683" s="540"/>
      <c r="C683" s="540"/>
      <c r="D683" s="540"/>
      <c r="E683" s="540"/>
      <c r="F683" s="540"/>
      <c r="G683" s="540"/>
      <c r="H683" s="540"/>
    </row>
    <row r="684" spans="1:8" ht="15" customHeight="1" x14ac:dyDescent="0.2">
      <c r="A684" s="247"/>
      <c r="B684" s="247"/>
      <c r="C684" s="547" t="s">
        <v>373</v>
      </c>
      <c r="D684" s="540"/>
      <c r="E684" s="540"/>
      <c r="F684" s="247"/>
      <c r="G684" s="548">
        <v>6151062</v>
      </c>
      <c r="H684" s="542"/>
    </row>
    <row r="685" spans="1:8" ht="15" customHeight="1" x14ac:dyDescent="0.2">
      <c r="A685" s="215"/>
      <c r="B685" s="215"/>
      <c r="C685" s="547" t="s">
        <v>424</v>
      </c>
      <c r="D685" s="540"/>
      <c r="E685" s="540"/>
      <c r="F685" s="247"/>
      <c r="G685" s="548">
        <v>4854961</v>
      </c>
      <c r="H685" s="542"/>
    </row>
    <row r="686" spans="1:8" ht="15" customHeight="1" x14ac:dyDescent="0.2">
      <c r="A686" s="215"/>
      <c r="B686" s="215"/>
      <c r="C686" s="547" t="s">
        <v>425</v>
      </c>
      <c r="D686" s="540"/>
      <c r="E686" s="540"/>
      <c r="F686" s="247"/>
      <c r="G686" s="548">
        <v>467128</v>
      </c>
      <c r="H686" s="542"/>
    </row>
    <row r="688" spans="1:8" ht="15.75" customHeight="1" x14ac:dyDescent="0.2">
      <c r="A688" s="543" t="s">
        <v>550</v>
      </c>
      <c r="B688" s="540"/>
      <c r="C688" s="540"/>
      <c r="D688" s="540"/>
      <c r="E688" s="540"/>
      <c r="F688" s="540"/>
      <c r="G688" s="540"/>
      <c r="H688" s="540"/>
    </row>
    <row r="689" spans="1:8" ht="15" customHeight="1" x14ac:dyDescent="0.2">
      <c r="C689" s="544" t="s">
        <v>424</v>
      </c>
      <c r="D689" s="540"/>
      <c r="E689" s="540"/>
      <c r="G689" s="545">
        <v>4854961</v>
      </c>
      <c r="H689" s="542"/>
    </row>
    <row r="691" spans="1:8" ht="15.75" customHeight="1" x14ac:dyDescent="0.2">
      <c r="A691" s="543" t="s">
        <v>549</v>
      </c>
      <c r="B691" s="540"/>
      <c r="C691" s="540"/>
      <c r="D691" s="540"/>
      <c r="E691" s="540"/>
      <c r="F691" s="540"/>
      <c r="G691" s="540"/>
      <c r="H691" s="540"/>
    </row>
    <row r="692" spans="1:8" ht="15" customHeight="1" x14ac:dyDescent="0.2">
      <c r="C692" s="544" t="s">
        <v>425</v>
      </c>
      <c r="D692" s="540"/>
      <c r="E692" s="540"/>
      <c r="G692" s="545">
        <v>467128</v>
      </c>
      <c r="H692" s="542"/>
    </row>
    <row r="696" spans="1:8" ht="15.75" customHeight="1" x14ac:dyDescent="0.2">
      <c r="A696" s="543" t="s">
        <v>371</v>
      </c>
      <c r="B696" s="540"/>
      <c r="C696" s="540"/>
      <c r="D696" s="540"/>
      <c r="E696" s="540"/>
      <c r="F696" s="540"/>
      <c r="G696" s="540"/>
      <c r="H696" s="540"/>
    </row>
    <row r="697" spans="1:8" ht="14.25" customHeight="1" x14ac:dyDescent="0.2">
      <c r="A697" s="215"/>
      <c r="B697" s="215"/>
      <c r="C697" s="539" t="s">
        <v>373</v>
      </c>
      <c r="D697" s="540"/>
      <c r="E697" s="540"/>
      <c r="F697" s="215"/>
      <c r="G697" s="541">
        <v>71479249</v>
      </c>
      <c r="H697" s="542"/>
    </row>
    <row r="698" spans="1:8" ht="14.25" customHeight="1" x14ac:dyDescent="0.2">
      <c r="A698" s="215"/>
      <c r="B698" s="215"/>
      <c r="C698" s="539" t="s">
        <v>548</v>
      </c>
      <c r="D698" s="540"/>
      <c r="E698" s="540"/>
      <c r="F698" s="215"/>
      <c r="G698" s="541">
        <v>28707942</v>
      </c>
      <c r="H698" s="542"/>
    </row>
    <row r="699" spans="1:8" ht="14.25" customHeight="1" x14ac:dyDescent="0.2">
      <c r="A699" s="215"/>
      <c r="B699" s="215"/>
      <c r="C699" s="539" t="s">
        <v>547</v>
      </c>
      <c r="D699" s="540"/>
      <c r="E699" s="540"/>
      <c r="F699" s="215"/>
      <c r="G699" s="541">
        <v>15762439</v>
      </c>
      <c r="H699" s="542"/>
    </row>
    <row r="700" spans="1:8" ht="14.25" customHeight="1" x14ac:dyDescent="0.2">
      <c r="A700" s="215"/>
      <c r="B700" s="215"/>
      <c r="C700" s="539" t="s">
        <v>546</v>
      </c>
      <c r="D700" s="540"/>
      <c r="E700" s="540"/>
      <c r="F700" s="215"/>
      <c r="G700" s="541">
        <v>5125395</v>
      </c>
      <c r="H700" s="542"/>
    </row>
    <row r="701" spans="1:8" ht="14.25" customHeight="1" x14ac:dyDescent="0.2">
      <c r="A701" s="215"/>
      <c r="B701" s="215"/>
      <c r="C701" s="539" t="s">
        <v>545</v>
      </c>
      <c r="D701" s="540"/>
      <c r="E701" s="540"/>
      <c r="F701" s="215"/>
      <c r="G701" s="541">
        <v>100000</v>
      </c>
      <c r="H701" s="542"/>
    </row>
    <row r="702" spans="1:8" ht="14.25" customHeight="1" x14ac:dyDescent="0.2">
      <c r="A702" s="215"/>
      <c r="B702" s="215"/>
      <c r="C702" s="539" t="s">
        <v>544</v>
      </c>
      <c r="D702" s="540"/>
      <c r="E702" s="540"/>
      <c r="F702" s="215"/>
      <c r="G702" s="541">
        <v>12155172</v>
      </c>
      <c r="H702" s="542"/>
    </row>
    <row r="703" spans="1:8" ht="14.25" customHeight="1" x14ac:dyDescent="0.2">
      <c r="A703" s="215"/>
      <c r="B703" s="215"/>
      <c r="C703" s="539" t="s">
        <v>543</v>
      </c>
      <c r="D703" s="540"/>
      <c r="E703" s="540"/>
      <c r="F703" s="215"/>
      <c r="G703" s="541">
        <v>2229467</v>
      </c>
      <c r="H703" s="542"/>
    </row>
    <row r="704" spans="1:8" ht="28.5" customHeight="1" x14ac:dyDescent="0.2">
      <c r="A704" s="215"/>
      <c r="B704" s="215"/>
      <c r="C704" s="539" t="s">
        <v>542</v>
      </c>
      <c r="D704" s="540"/>
      <c r="E704" s="540"/>
      <c r="F704" s="215"/>
      <c r="G704" s="541">
        <v>1247772</v>
      </c>
      <c r="H704" s="542"/>
    </row>
    <row r="705" spans="1:10" ht="14.25" customHeight="1" x14ac:dyDescent="0.2">
      <c r="A705" s="215"/>
      <c r="B705" s="215"/>
      <c r="C705" s="539" t="s">
        <v>424</v>
      </c>
      <c r="D705" s="540"/>
      <c r="E705" s="540"/>
      <c r="F705" s="215"/>
      <c r="G705" s="541">
        <v>4854961</v>
      </c>
      <c r="H705" s="542"/>
    </row>
    <row r="706" spans="1:10" ht="14.25" customHeight="1" x14ac:dyDescent="0.2">
      <c r="A706" s="215"/>
      <c r="B706" s="215"/>
      <c r="C706" s="539" t="s">
        <v>425</v>
      </c>
      <c r="D706" s="540"/>
      <c r="E706" s="540"/>
      <c r="F706" s="215"/>
      <c r="G706" s="541">
        <v>467128</v>
      </c>
      <c r="H706" s="542"/>
    </row>
    <row r="707" spans="1:10" ht="14.25" customHeight="1" x14ac:dyDescent="0.2">
      <c r="A707" s="215"/>
      <c r="B707" s="215"/>
      <c r="C707" s="539" t="s">
        <v>426</v>
      </c>
      <c r="D707" s="540"/>
      <c r="E707" s="540"/>
      <c r="F707" s="215"/>
      <c r="G707" s="541">
        <v>828973</v>
      </c>
      <c r="H707" s="542"/>
    </row>
    <row r="708" spans="1:10" ht="14.25" customHeight="1" x14ac:dyDescent="0.2">
      <c r="E708" s="538"/>
      <c r="F708" s="538"/>
      <c r="G708" s="538"/>
      <c r="H708" s="538"/>
      <c r="I708" s="538"/>
      <c r="J708" s="538"/>
    </row>
    <row r="711" spans="1:10" ht="15" x14ac:dyDescent="0.25">
      <c r="B711" s="33" t="s">
        <v>27</v>
      </c>
      <c r="C711" s="33"/>
      <c r="F711" s="34" t="s">
        <v>28</v>
      </c>
    </row>
  </sheetData>
  <mergeCells count="1013">
    <mergeCell ref="D3:H3"/>
    <mergeCell ref="D4:H4"/>
    <mergeCell ref="B6:I6"/>
    <mergeCell ref="A7:E7"/>
    <mergeCell ref="F7:I7"/>
    <mergeCell ref="A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G14:H14"/>
    <mergeCell ref="C15:E15"/>
    <mergeCell ref="G15:H15"/>
    <mergeCell ref="A17:H17"/>
    <mergeCell ref="C18:E18"/>
    <mergeCell ref="G18:H18"/>
    <mergeCell ref="C19:E19"/>
    <mergeCell ref="G19:H19"/>
    <mergeCell ref="C20:E20"/>
    <mergeCell ref="G20:H20"/>
    <mergeCell ref="C21:E21"/>
    <mergeCell ref="G21:H21"/>
    <mergeCell ref="A23:H23"/>
    <mergeCell ref="C24:E24"/>
    <mergeCell ref="G24:H24"/>
    <mergeCell ref="C25:E25"/>
    <mergeCell ref="G25:H25"/>
    <mergeCell ref="C26:E26"/>
    <mergeCell ref="G26:H26"/>
    <mergeCell ref="C27:E27"/>
    <mergeCell ref="G27:H27"/>
    <mergeCell ref="A29:H29"/>
    <mergeCell ref="C30:E30"/>
    <mergeCell ref="G30:H30"/>
    <mergeCell ref="C31:E31"/>
    <mergeCell ref="G31:H31"/>
    <mergeCell ref="C32:E32"/>
    <mergeCell ref="G32:H32"/>
    <mergeCell ref="A34:H34"/>
    <mergeCell ref="C35:E35"/>
    <mergeCell ref="G35:H35"/>
    <mergeCell ref="C36:E36"/>
    <mergeCell ref="G36:H36"/>
    <mergeCell ref="A38:H38"/>
    <mergeCell ref="C39:E39"/>
    <mergeCell ref="G39:H39"/>
    <mergeCell ref="C40:E40"/>
    <mergeCell ref="G40:H40"/>
    <mergeCell ref="C41:E41"/>
    <mergeCell ref="G41:H41"/>
    <mergeCell ref="A43:H43"/>
    <mergeCell ref="C44:E44"/>
    <mergeCell ref="G44:H44"/>
    <mergeCell ref="C45:E45"/>
    <mergeCell ref="G45:H45"/>
    <mergeCell ref="C46:E46"/>
    <mergeCell ref="G46:H46"/>
    <mergeCell ref="A48:H48"/>
    <mergeCell ref="C49:E49"/>
    <mergeCell ref="G49:H49"/>
    <mergeCell ref="C50:E50"/>
    <mergeCell ref="G50:H50"/>
    <mergeCell ref="C51:E51"/>
    <mergeCell ref="G51:H51"/>
    <mergeCell ref="A53:H53"/>
    <mergeCell ref="C54:E54"/>
    <mergeCell ref="G54:H54"/>
    <mergeCell ref="C55:E55"/>
    <mergeCell ref="G55:H55"/>
    <mergeCell ref="A57:H57"/>
    <mergeCell ref="C58:E58"/>
    <mergeCell ref="G58:H58"/>
    <mergeCell ref="C59:E59"/>
    <mergeCell ref="G59:H59"/>
    <mergeCell ref="C60:E60"/>
    <mergeCell ref="G60:H60"/>
    <mergeCell ref="A62:H62"/>
    <mergeCell ref="C63:E63"/>
    <mergeCell ref="G63:H63"/>
    <mergeCell ref="C64:E64"/>
    <mergeCell ref="G64:H64"/>
    <mergeCell ref="C65:E65"/>
    <mergeCell ref="G65:H65"/>
    <mergeCell ref="A67:H67"/>
    <mergeCell ref="C68:E68"/>
    <mergeCell ref="G68:H68"/>
    <mergeCell ref="C69:E69"/>
    <mergeCell ref="G69:H69"/>
    <mergeCell ref="C70:E70"/>
    <mergeCell ref="G70:H70"/>
    <mergeCell ref="A72:H72"/>
    <mergeCell ref="C73:E73"/>
    <mergeCell ref="G73:H73"/>
    <mergeCell ref="C74:E74"/>
    <mergeCell ref="G74:H74"/>
    <mergeCell ref="C75:E75"/>
    <mergeCell ref="G75:H75"/>
    <mergeCell ref="A77:H77"/>
    <mergeCell ref="C78:E78"/>
    <mergeCell ref="G78:H78"/>
    <mergeCell ref="C79:E79"/>
    <mergeCell ref="G79:H79"/>
    <mergeCell ref="C80:E80"/>
    <mergeCell ref="G80:H80"/>
    <mergeCell ref="A82:H82"/>
    <mergeCell ref="C83:E83"/>
    <mergeCell ref="G83:H83"/>
    <mergeCell ref="C84:E84"/>
    <mergeCell ref="G84:H84"/>
    <mergeCell ref="C85:E85"/>
    <mergeCell ref="G85:H85"/>
    <mergeCell ref="A87:H87"/>
    <mergeCell ref="C88:E88"/>
    <mergeCell ref="G88:H88"/>
    <mergeCell ref="C89:E89"/>
    <mergeCell ref="G89:H89"/>
    <mergeCell ref="A91:H91"/>
    <mergeCell ref="C92:E92"/>
    <mergeCell ref="G92:H92"/>
    <mergeCell ref="C93:E93"/>
    <mergeCell ref="G93:H93"/>
    <mergeCell ref="A95:H95"/>
    <mergeCell ref="C96:E96"/>
    <mergeCell ref="G96:H96"/>
    <mergeCell ref="C97:E97"/>
    <mergeCell ref="G97:H97"/>
    <mergeCell ref="C98:E98"/>
    <mergeCell ref="G98:H98"/>
    <mergeCell ref="A100:H100"/>
    <mergeCell ref="C101:E101"/>
    <mergeCell ref="G101:H101"/>
    <mergeCell ref="C102:E102"/>
    <mergeCell ref="G102:H102"/>
    <mergeCell ref="A104:H104"/>
    <mergeCell ref="C105:E105"/>
    <mergeCell ref="G105:H105"/>
    <mergeCell ref="C106:E106"/>
    <mergeCell ref="G106:H106"/>
    <mergeCell ref="C107:E107"/>
    <mergeCell ref="G107:H107"/>
    <mergeCell ref="C108:E108"/>
    <mergeCell ref="G108:H108"/>
    <mergeCell ref="A110:H110"/>
    <mergeCell ref="C111:E111"/>
    <mergeCell ref="G111:H111"/>
    <mergeCell ref="C112:E112"/>
    <mergeCell ref="G112:H112"/>
    <mergeCell ref="A114:H114"/>
    <mergeCell ref="C115:E115"/>
    <mergeCell ref="G115:H115"/>
    <mergeCell ref="C116:E116"/>
    <mergeCell ref="G116:H116"/>
    <mergeCell ref="A118:H118"/>
    <mergeCell ref="C119:E119"/>
    <mergeCell ref="G119:H119"/>
    <mergeCell ref="C120:E120"/>
    <mergeCell ref="G120:H120"/>
    <mergeCell ref="A122:H122"/>
    <mergeCell ref="C123:E123"/>
    <mergeCell ref="G123:H123"/>
    <mergeCell ref="C124:E124"/>
    <mergeCell ref="G124:H124"/>
    <mergeCell ref="C125:E125"/>
    <mergeCell ref="G125:H125"/>
    <mergeCell ref="A127:H127"/>
    <mergeCell ref="C128:E128"/>
    <mergeCell ref="G128:H128"/>
    <mergeCell ref="C129:E129"/>
    <mergeCell ref="G129:H129"/>
    <mergeCell ref="C130:E130"/>
    <mergeCell ref="G130:H130"/>
    <mergeCell ref="A133:H133"/>
    <mergeCell ref="C134:E134"/>
    <mergeCell ref="G134:H134"/>
    <mergeCell ref="C135:E135"/>
    <mergeCell ref="G135:H135"/>
    <mergeCell ref="C136:E136"/>
    <mergeCell ref="G136:H136"/>
    <mergeCell ref="C137:E137"/>
    <mergeCell ref="G137:H137"/>
    <mergeCell ref="C138:E138"/>
    <mergeCell ref="G138:H138"/>
    <mergeCell ref="A140:H140"/>
    <mergeCell ref="C141:E141"/>
    <mergeCell ref="G141:H141"/>
    <mergeCell ref="C142:E142"/>
    <mergeCell ref="G142:H142"/>
    <mergeCell ref="A144:H144"/>
    <mergeCell ref="C145:E145"/>
    <mergeCell ref="G145:H145"/>
    <mergeCell ref="C146:E146"/>
    <mergeCell ref="G146:H146"/>
    <mergeCell ref="C147:E147"/>
    <mergeCell ref="G147:H147"/>
    <mergeCell ref="A149:H149"/>
    <mergeCell ref="C150:E150"/>
    <mergeCell ref="G150:H150"/>
    <mergeCell ref="C151:E151"/>
    <mergeCell ref="G151:H151"/>
    <mergeCell ref="A153:H153"/>
    <mergeCell ref="C154:E154"/>
    <mergeCell ref="G154:H154"/>
    <mergeCell ref="C155:E155"/>
    <mergeCell ref="G155:H155"/>
    <mergeCell ref="A157:H157"/>
    <mergeCell ref="C158:E158"/>
    <mergeCell ref="G158:H158"/>
    <mergeCell ref="C159:E159"/>
    <mergeCell ref="G159:H159"/>
    <mergeCell ref="A161:H161"/>
    <mergeCell ref="C162:E162"/>
    <mergeCell ref="G162:H162"/>
    <mergeCell ref="C163:E163"/>
    <mergeCell ref="G163:H163"/>
    <mergeCell ref="A165:H165"/>
    <mergeCell ref="C166:E166"/>
    <mergeCell ref="G166:H166"/>
    <mergeCell ref="C167:E167"/>
    <mergeCell ref="G167:H167"/>
    <mergeCell ref="A169:H169"/>
    <mergeCell ref="C170:E170"/>
    <mergeCell ref="G170:H170"/>
    <mergeCell ref="C171:E171"/>
    <mergeCell ref="G171:H171"/>
    <mergeCell ref="A173:H173"/>
    <mergeCell ref="C174:E174"/>
    <mergeCell ref="G174:H174"/>
    <mergeCell ref="C175:E175"/>
    <mergeCell ref="G175:H175"/>
    <mergeCell ref="A177:H177"/>
    <mergeCell ref="C178:E178"/>
    <mergeCell ref="G178:H178"/>
    <mergeCell ref="C179:E179"/>
    <mergeCell ref="G179:H179"/>
    <mergeCell ref="A181:H181"/>
    <mergeCell ref="C182:E182"/>
    <mergeCell ref="G182:H182"/>
    <mergeCell ref="C183:E183"/>
    <mergeCell ref="G183:H183"/>
    <mergeCell ref="A185:H185"/>
    <mergeCell ref="C186:E186"/>
    <mergeCell ref="G186:H186"/>
    <mergeCell ref="C187:E187"/>
    <mergeCell ref="G187:H187"/>
    <mergeCell ref="A189:H189"/>
    <mergeCell ref="C190:E190"/>
    <mergeCell ref="G190:H190"/>
    <mergeCell ref="C191:E191"/>
    <mergeCell ref="G191:H191"/>
    <mergeCell ref="A194:H194"/>
    <mergeCell ref="C195:E195"/>
    <mergeCell ref="G195:H195"/>
    <mergeCell ref="C196:E196"/>
    <mergeCell ref="G196:H196"/>
    <mergeCell ref="C197:E197"/>
    <mergeCell ref="G197:H197"/>
    <mergeCell ref="C198:E198"/>
    <mergeCell ref="G198:H198"/>
    <mergeCell ref="A200:H200"/>
    <mergeCell ref="C201:E201"/>
    <mergeCell ref="G201:H201"/>
    <mergeCell ref="C202:E202"/>
    <mergeCell ref="G202:H202"/>
    <mergeCell ref="C203:E203"/>
    <mergeCell ref="G203:H203"/>
    <mergeCell ref="C204:E204"/>
    <mergeCell ref="G204:H204"/>
    <mergeCell ref="A206:H206"/>
    <mergeCell ref="C207:E207"/>
    <mergeCell ref="G207:H207"/>
    <mergeCell ref="C208:E208"/>
    <mergeCell ref="G208:H208"/>
    <mergeCell ref="C209:E209"/>
    <mergeCell ref="G209:H209"/>
    <mergeCell ref="C210:E210"/>
    <mergeCell ref="G210:H210"/>
    <mergeCell ref="A212:H212"/>
    <mergeCell ref="C213:E213"/>
    <mergeCell ref="G213:H213"/>
    <mergeCell ref="C214:E214"/>
    <mergeCell ref="G214:H214"/>
    <mergeCell ref="C215:E215"/>
    <mergeCell ref="G215:H215"/>
    <mergeCell ref="C216:E216"/>
    <mergeCell ref="G216:H216"/>
    <mergeCell ref="A218:H218"/>
    <mergeCell ref="C219:E219"/>
    <mergeCell ref="G219:H219"/>
    <mergeCell ref="C220:E220"/>
    <mergeCell ref="G220:H220"/>
    <mergeCell ref="C221:E221"/>
    <mergeCell ref="G221:H221"/>
    <mergeCell ref="C222:E222"/>
    <mergeCell ref="G222:H222"/>
    <mergeCell ref="A224:H224"/>
    <mergeCell ref="C225:E225"/>
    <mergeCell ref="G225:H225"/>
    <mergeCell ref="C226:E226"/>
    <mergeCell ref="G226:H226"/>
    <mergeCell ref="C227:E227"/>
    <mergeCell ref="G227:H227"/>
    <mergeCell ref="C228:E228"/>
    <mergeCell ref="G228:H228"/>
    <mergeCell ref="A230:H230"/>
    <mergeCell ref="C231:E231"/>
    <mergeCell ref="G231:H231"/>
    <mergeCell ref="C232:E232"/>
    <mergeCell ref="G232:H232"/>
    <mergeCell ref="C233:E233"/>
    <mergeCell ref="G233:H233"/>
    <mergeCell ref="A235:H235"/>
    <mergeCell ref="C236:E236"/>
    <mergeCell ref="G236:H236"/>
    <mergeCell ref="C237:E237"/>
    <mergeCell ref="G237:H237"/>
    <mergeCell ref="C238:E238"/>
    <mergeCell ref="G238:H238"/>
    <mergeCell ref="C239:E239"/>
    <mergeCell ref="G239:H239"/>
    <mergeCell ref="A241:H241"/>
    <mergeCell ref="C242:E242"/>
    <mergeCell ref="G242:H242"/>
    <mergeCell ref="C243:E243"/>
    <mergeCell ref="G243:H243"/>
    <mergeCell ref="C244:E244"/>
    <mergeCell ref="G244:H244"/>
    <mergeCell ref="C245:E245"/>
    <mergeCell ref="G245:H245"/>
    <mergeCell ref="A247:H247"/>
    <mergeCell ref="C248:E248"/>
    <mergeCell ref="G248:H248"/>
    <mergeCell ref="C249:E249"/>
    <mergeCell ref="G249:H249"/>
    <mergeCell ref="C250:E250"/>
    <mergeCell ref="G250:H250"/>
    <mergeCell ref="C251:E251"/>
    <mergeCell ref="G251:H251"/>
    <mergeCell ref="C252:E252"/>
    <mergeCell ref="G252:H252"/>
    <mergeCell ref="C253:E253"/>
    <mergeCell ref="G253:H253"/>
    <mergeCell ref="C254:E254"/>
    <mergeCell ref="G254:H254"/>
    <mergeCell ref="A256:H256"/>
    <mergeCell ref="C257:E257"/>
    <mergeCell ref="G257:H257"/>
    <mergeCell ref="C258:E258"/>
    <mergeCell ref="G258:H258"/>
    <mergeCell ref="C259:E259"/>
    <mergeCell ref="G259:H259"/>
    <mergeCell ref="A261:H261"/>
    <mergeCell ref="C262:E262"/>
    <mergeCell ref="G262:H262"/>
    <mergeCell ref="C263:E263"/>
    <mergeCell ref="G263:H263"/>
    <mergeCell ref="A265:H265"/>
    <mergeCell ref="C266:E266"/>
    <mergeCell ref="G266:H266"/>
    <mergeCell ref="C267:E267"/>
    <mergeCell ref="G267:H267"/>
    <mergeCell ref="C268:E268"/>
    <mergeCell ref="G268:H268"/>
    <mergeCell ref="A270:H270"/>
    <mergeCell ref="C271:E271"/>
    <mergeCell ref="G271:H271"/>
    <mergeCell ref="C272:E272"/>
    <mergeCell ref="G272:H272"/>
    <mergeCell ref="C273:E273"/>
    <mergeCell ref="G273:H273"/>
    <mergeCell ref="A275:H275"/>
    <mergeCell ref="C276:E276"/>
    <mergeCell ref="G276:H276"/>
    <mergeCell ref="C277:E277"/>
    <mergeCell ref="G277:H277"/>
    <mergeCell ref="C278:E278"/>
    <mergeCell ref="G278:H278"/>
    <mergeCell ref="C279:E279"/>
    <mergeCell ref="G279:H279"/>
    <mergeCell ref="A281:H281"/>
    <mergeCell ref="C282:E282"/>
    <mergeCell ref="G282:H282"/>
    <mergeCell ref="C283:E283"/>
    <mergeCell ref="G283:H283"/>
    <mergeCell ref="C284:E284"/>
    <mergeCell ref="G284:H284"/>
    <mergeCell ref="C285:E285"/>
    <mergeCell ref="G285:H285"/>
    <mergeCell ref="A287:H287"/>
    <mergeCell ref="C288:E288"/>
    <mergeCell ref="G288:H288"/>
    <mergeCell ref="C289:E289"/>
    <mergeCell ref="G289:H289"/>
    <mergeCell ref="C290:E290"/>
    <mergeCell ref="G290:H290"/>
    <mergeCell ref="C291:E291"/>
    <mergeCell ref="G291:H291"/>
    <mergeCell ref="C292:E292"/>
    <mergeCell ref="G292:H292"/>
    <mergeCell ref="A294:H294"/>
    <mergeCell ref="C295:E295"/>
    <mergeCell ref="G295:H295"/>
    <mergeCell ref="C296:E296"/>
    <mergeCell ref="G296:H296"/>
    <mergeCell ref="C297:E297"/>
    <mergeCell ref="G297:H297"/>
    <mergeCell ref="C298:E298"/>
    <mergeCell ref="G298:H298"/>
    <mergeCell ref="C299:E299"/>
    <mergeCell ref="G299:H299"/>
    <mergeCell ref="A301:H301"/>
    <mergeCell ref="C302:E302"/>
    <mergeCell ref="G302:H302"/>
    <mergeCell ref="C303:E303"/>
    <mergeCell ref="G303:H303"/>
    <mergeCell ref="C304:E304"/>
    <mergeCell ref="G304:H304"/>
    <mergeCell ref="C305:E305"/>
    <mergeCell ref="G305:H305"/>
    <mergeCell ref="A307:H307"/>
    <mergeCell ref="C308:E308"/>
    <mergeCell ref="G308:H308"/>
    <mergeCell ref="C309:E309"/>
    <mergeCell ref="G309:H309"/>
    <mergeCell ref="C310:E310"/>
    <mergeCell ref="G310:H310"/>
    <mergeCell ref="C311:E311"/>
    <mergeCell ref="G311:H311"/>
    <mergeCell ref="C312:E312"/>
    <mergeCell ref="G312:H312"/>
    <mergeCell ref="A314:H314"/>
    <mergeCell ref="C315:E315"/>
    <mergeCell ref="G315:H315"/>
    <mergeCell ref="C316:E316"/>
    <mergeCell ref="G316:H316"/>
    <mergeCell ref="C317:E317"/>
    <mergeCell ref="G317:H317"/>
    <mergeCell ref="A319:H319"/>
    <mergeCell ref="C320:E320"/>
    <mergeCell ref="G320:H320"/>
    <mergeCell ref="C321:E321"/>
    <mergeCell ref="G321:H321"/>
    <mergeCell ref="C322:E322"/>
    <mergeCell ref="G322:H322"/>
    <mergeCell ref="A324:H324"/>
    <mergeCell ref="C325:E325"/>
    <mergeCell ref="G325:H325"/>
    <mergeCell ref="C326:E326"/>
    <mergeCell ref="G326:H326"/>
    <mergeCell ref="C327:E327"/>
    <mergeCell ref="G327:H327"/>
    <mergeCell ref="A329:H329"/>
    <mergeCell ref="C330:E330"/>
    <mergeCell ref="G330:H330"/>
    <mergeCell ref="C331:E331"/>
    <mergeCell ref="G331:H331"/>
    <mergeCell ref="C332:E332"/>
    <mergeCell ref="G332:H332"/>
    <mergeCell ref="A334:H334"/>
    <mergeCell ref="C335:E335"/>
    <mergeCell ref="G335:H335"/>
    <mergeCell ref="C336:E336"/>
    <mergeCell ref="G336:H336"/>
    <mergeCell ref="C337:E337"/>
    <mergeCell ref="G337:H337"/>
    <mergeCell ref="C338:E338"/>
    <mergeCell ref="G338:H338"/>
    <mergeCell ref="A340:H340"/>
    <mergeCell ref="C341:E341"/>
    <mergeCell ref="G341:H341"/>
    <mergeCell ref="C342:E342"/>
    <mergeCell ref="G342:H342"/>
    <mergeCell ref="C343:E343"/>
    <mergeCell ref="G343:H343"/>
    <mergeCell ref="C344:E344"/>
    <mergeCell ref="G344:H344"/>
    <mergeCell ref="A346:H346"/>
    <mergeCell ref="C347:E347"/>
    <mergeCell ref="G347:H347"/>
    <mergeCell ref="C348:E348"/>
    <mergeCell ref="G348:H348"/>
    <mergeCell ref="C349:E349"/>
    <mergeCell ref="G349:H349"/>
    <mergeCell ref="A351:H351"/>
    <mergeCell ref="C352:E352"/>
    <mergeCell ref="G352:H352"/>
    <mergeCell ref="C353:E353"/>
    <mergeCell ref="G353:H353"/>
    <mergeCell ref="C354:E354"/>
    <mergeCell ref="G354:H354"/>
    <mergeCell ref="C355:E355"/>
    <mergeCell ref="G355:H355"/>
    <mergeCell ref="A357:H357"/>
    <mergeCell ref="C358:E358"/>
    <mergeCell ref="G358:H358"/>
    <mergeCell ref="C359:E359"/>
    <mergeCell ref="G359:H359"/>
    <mergeCell ref="C360:E360"/>
    <mergeCell ref="G360:H360"/>
    <mergeCell ref="C361:E361"/>
    <mergeCell ref="G361:H361"/>
    <mergeCell ref="A363:H363"/>
    <mergeCell ref="C364:E364"/>
    <mergeCell ref="G364:H364"/>
    <mergeCell ref="C365:E365"/>
    <mergeCell ref="G365:H365"/>
    <mergeCell ref="C366:E366"/>
    <mergeCell ref="G366:H366"/>
    <mergeCell ref="C367:E367"/>
    <mergeCell ref="G367:H367"/>
    <mergeCell ref="C368:E368"/>
    <mergeCell ref="G368:H368"/>
    <mergeCell ref="C369:E369"/>
    <mergeCell ref="G369:H369"/>
    <mergeCell ref="A371:H371"/>
    <mergeCell ref="C372:E372"/>
    <mergeCell ref="G372:H372"/>
    <mergeCell ref="C373:E373"/>
    <mergeCell ref="G373:H373"/>
    <mergeCell ref="C374:E374"/>
    <mergeCell ref="G374:H374"/>
    <mergeCell ref="C375:E375"/>
    <mergeCell ref="G375:H375"/>
    <mergeCell ref="A377:H377"/>
    <mergeCell ref="C378:E378"/>
    <mergeCell ref="G378:H378"/>
    <mergeCell ref="C379:E379"/>
    <mergeCell ref="G379:H379"/>
    <mergeCell ref="C380:E380"/>
    <mergeCell ref="G380:H380"/>
    <mergeCell ref="C381:E381"/>
    <mergeCell ref="G381:H381"/>
    <mergeCell ref="A383:H383"/>
    <mergeCell ref="C384:E384"/>
    <mergeCell ref="G384:H384"/>
    <mergeCell ref="C385:E385"/>
    <mergeCell ref="G385:H385"/>
    <mergeCell ref="C386:E386"/>
    <mergeCell ref="G386:H386"/>
    <mergeCell ref="A388:H388"/>
    <mergeCell ref="C389:E389"/>
    <mergeCell ref="G389:H389"/>
    <mergeCell ref="C390:E390"/>
    <mergeCell ref="G390:H390"/>
    <mergeCell ref="C391:E391"/>
    <mergeCell ref="G391:H391"/>
    <mergeCell ref="A393:H393"/>
    <mergeCell ref="C394:E394"/>
    <mergeCell ref="G394:H394"/>
    <mergeCell ref="C395:E395"/>
    <mergeCell ref="G395:H395"/>
    <mergeCell ref="C396:E396"/>
    <mergeCell ref="G396:H396"/>
    <mergeCell ref="A398:H398"/>
    <mergeCell ref="C399:E399"/>
    <mergeCell ref="G399:H399"/>
    <mergeCell ref="C400:E400"/>
    <mergeCell ref="G400:H400"/>
    <mergeCell ref="C401:E401"/>
    <mergeCell ref="G401:H401"/>
    <mergeCell ref="C402:E402"/>
    <mergeCell ref="G402:H402"/>
    <mergeCell ref="C403:E403"/>
    <mergeCell ref="G403:H403"/>
    <mergeCell ref="C404:E404"/>
    <mergeCell ref="G404:H404"/>
    <mergeCell ref="A406:H406"/>
    <mergeCell ref="C407:E407"/>
    <mergeCell ref="G407:H407"/>
    <mergeCell ref="C408:E408"/>
    <mergeCell ref="G408:H408"/>
    <mergeCell ref="C409:E409"/>
    <mergeCell ref="G409:H409"/>
    <mergeCell ref="C410:E410"/>
    <mergeCell ref="G410:H410"/>
    <mergeCell ref="A412:H412"/>
    <mergeCell ref="C413:E413"/>
    <mergeCell ref="G413:H413"/>
    <mergeCell ref="C414:E414"/>
    <mergeCell ref="G414:H414"/>
    <mergeCell ref="C415:E415"/>
    <mergeCell ref="G415:H415"/>
    <mergeCell ref="C416:E416"/>
    <mergeCell ref="G416:H416"/>
    <mergeCell ref="A418:H418"/>
    <mergeCell ref="C419:E419"/>
    <mergeCell ref="G419:H419"/>
    <mergeCell ref="C420:E420"/>
    <mergeCell ref="G420:H420"/>
    <mergeCell ref="C421:E421"/>
    <mergeCell ref="G421:H421"/>
    <mergeCell ref="C422:E422"/>
    <mergeCell ref="G422:H422"/>
    <mergeCell ref="C435:E435"/>
    <mergeCell ref="G435:H435"/>
    <mergeCell ref="C436:E436"/>
    <mergeCell ref="G436:H436"/>
    <mergeCell ref="A518:H518"/>
    <mergeCell ref="C519:E519"/>
    <mergeCell ref="G519:H519"/>
    <mergeCell ref="C520:E520"/>
    <mergeCell ref="G520:H520"/>
    <mergeCell ref="C521:E521"/>
    <mergeCell ref="G521:H521"/>
    <mergeCell ref="C522:E522"/>
    <mergeCell ref="G522:H522"/>
    <mergeCell ref="C523:E523"/>
    <mergeCell ref="G523:H523"/>
    <mergeCell ref="A525:H525"/>
    <mergeCell ref="C526:E526"/>
    <mergeCell ref="G526:H526"/>
    <mergeCell ref="A438:H438"/>
    <mergeCell ref="C439:E439"/>
    <mergeCell ref="G439:H439"/>
    <mergeCell ref="C440:E440"/>
    <mergeCell ref="G440:H440"/>
    <mergeCell ref="C441:E441"/>
    <mergeCell ref="G441:H441"/>
    <mergeCell ref="C442:E442"/>
    <mergeCell ref="G442:H442"/>
    <mergeCell ref="C443:E443"/>
    <mergeCell ref="G443:H443"/>
    <mergeCell ref="A445:H445"/>
    <mergeCell ref="C446:E446"/>
    <mergeCell ref="G446:H446"/>
    <mergeCell ref="A424:H424"/>
    <mergeCell ref="C425:E425"/>
    <mergeCell ref="G425:H425"/>
    <mergeCell ref="C426:E426"/>
    <mergeCell ref="G426:H426"/>
    <mergeCell ref="C427:E427"/>
    <mergeCell ref="G427:H427"/>
    <mergeCell ref="C428:E428"/>
    <mergeCell ref="G428:H428"/>
    <mergeCell ref="C429:E429"/>
    <mergeCell ref="G429:H429"/>
    <mergeCell ref="C430:E430"/>
    <mergeCell ref="G430:H430"/>
    <mergeCell ref="C431:E431"/>
    <mergeCell ref="G431:H431"/>
    <mergeCell ref="A433:H433"/>
    <mergeCell ref="C434:E434"/>
    <mergeCell ref="G434:H434"/>
    <mergeCell ref="C447:E447"/>
    <mergeCell ref="G447:H447"/>
    <mergeCell ref="C448:E448"/>
    <mergeCell ref="G448:H448"/>
    <mergeCell ref="C449:E449"/>
    <mergeCell ref="G449:H449"/>
    <mergeCell ref="C450:E450"/>
    <mergeCell ref="G450:H450"/>
    <mergeCell ref="A452:H452"/>
    <mergeCell ref="C453:E453"/>
    <mergeCell ref="G453:H453"/>
    <mergeCell ref="C454:E454"/>
    <mergeCell ref="G454:H454"/>
    <mergeCell ref="C455:E455"/>
    <mergeCell ref="G455:H455"/>
    <mergeCell ref="C456:E456"/>
    <mergeCell ref="G456:H456"/>
    <mergeCell ref="A458:H458"/>
    <mergeCell ref="C459:E459"/>
    <mergeCell ref="G459:H459"/>
    <mergeCell ref="C460:E460"/>
    <mergeCell ref="G460:H460"/>
    <mergeCell ref="C461:E461"/>
    <mergeCell ref="G461:H461"/>
    <mergeCell ref="C462:E462"/>
    <mergeCell ref="G462:H462"/>
    <mergeCell ref="A464:H464"/>
    <mergeCell ref="C465:E465"/>
    <mergeCell ref="G465:H465"/>
    <mergeCell ref="C466:E466"/>
    <mergeCell ref="G466:H466"/>
    <mergeCell ref="C467:E467"/>
    <mergeCell ref="G467:H467"/>
    <mergeCell ref="C468:E468"/>
    <mergeCell ref="G468:H468"/>
    <mergeCell ref="C469:E469"/>
    <mergeCell ref="G469:H469"/>
    <mergeCell ref="A471:H471"/>
    <mergeCell ref="C472:E472"/>
    <mergeCell ref="G472:H472"/>
    <mergeCell ref="C473:E473"/>
    <mergeCell ref="G473:H473"/>
    <mergeCell ref="C474:E474"/>
    <mergeCell ref="G474:H474"/>
    <mergeCell ref="C475:E475"/>
    <mergeCell ref="G475:H475"/>
    <mergeCell ref="A477:H477"/>
    <mergeCell ref="C478:E478"/>
    <mergeCell ref="G478:H478"/>
    <mergeCell ref="C479:E479"/>
    <mergeCell ref="G479:H479"/>
    <mergeCell ref="C480:E480"/>
    <mergeCell ref="G480:H480"/>
    <mergeCell ref="C481:E481"/>
    <mergeCell ref="G481:H481"/>
    <mergeCell ref="A483:H483"/>
    <mergeCell ref="C484:E484"/>
    <mergeCell ref="G484:H484"/>
    <mergeCell ref="C485:E485"/>
    <mergeCell ref="G485:H485"/>
    <mergeCell ref="C486:E486"/>
    <mergeCell ref="G486:H486"/>
    <mergeCell ref="C487:E487"/>
    <mergeCell ref="G487:H487"/>
    <mergeCell ref="A489:H489"/>
    <mergeCell ref="C490:E490"/>
    <mergeCell ref="G490:H490"/>
    <mergeCell ref="C491:E491"/>
    <mergeCell ref="G491:H491"/>
    <mergeCell ref="C492:E492"/>
    <mergeCell ref="G492:H492"/>
    <mergeCell ref="C493:E493"/>
    <mergeCell ref="G493:H493"/>
    <mergeCell ref="A495:H495"/>
    <mergeCell ref="C496:E496"/>
    <mergeCell ref="G496:H496"/>
    <mergeCell ref="C497:E497"/>
    <mergeCell ref="G497:H497"/>
    <mergeCell ref="C498:E498"/>
    <mergeCell ref="G498:H498"/>
    <mergeCell ref="C499:E499"/>
    <mergeCell ref="G499:H499"/>
    <mergeCell ref="A501:H501"/>
    <mergeCell ref="C502:E502"/>
    <mergeCell ref="G502:H502"/>
    <mergeCell ref="C503:E503"/>
    <mergeCell ref="G503:H503"/>
    <mergeCell ref="C504:E504"/>
    <mergeCell ref="G504:H504"/>
    <mergeCell ref="C529:E529"/>
    <mergeCell ref="G529:H529"/>
    <mergeCell ref="A531:H531"/>
    <mergeCell ref="C532:E532"/>
    <mergeCell ref="G532:H532"/>
    <mergeCell ref="C533:E533"/>
    <mergeCell ref="G533:H533"/>
    <mergeCell ref="C527:E527"/>
    <mergeCell ref="G527:H527"/>
    <mergeCell ref="C528:E528"/>
    <mergeCell ref="G528:H528"/>
    <mergeCell ref="C505:E505"/>
    <mergeCell ref="G505:H505"/>
    <mergeCell ref="C506:E506"/>
    <mergeCell ref="G506:H506"/>
    <mergeCell ref="A508:H508"/>
    <mergeCell ref="C509:E509"/>
    <mergeCell ref="G509:H509"/>
    <mergeCell ref="C510:E510"/>
    <mergeCell ref="G510:H510"/>
    <mergeCell ref="C511:E511"/>
    <mergeCell ref="G511:H511"/>
    <mergeCell ref="C512:E512"/>
    <mergeCell ref="G512:H512"/>
    <mergeCell ref="A514:H514"/>
    <mergeCell ref="C515:E515"/>
    <mergeCell ref="G515:H515"/>
    <mergeCell ref="C516:E516"/>
    <mergeCell ref="G516:H516"/>
    <mergeCell ref="C540:E540"/>
    <mergeCell ref="G540:H540"/>
    <mergeCell ref="C534:E534"/>
    <mergeCell ref="G534:H534"/>
    <mergeCell ref="C535:E535"/>
    <mergeCell ref="C541:E541"/>
    <mergeCell ref="G541:H541"/>
    <mergeCell ref="C542:E542"/>
    <mergeCell ref="G542:H542"/>
    <mergeCell ref="A544:H544"/>
    <mergeCell ref="C545:E545"/>
    <mergeCell ref="G545:H545"/>
    <mergeCell ref="C546:E546"/>
    <mergeCell ref="G546:H546"/>
    <mergeCell ref="C547:E547"/>
    <mergeCell ref="G547:H547"/>
    <mergeCell ref="C548:E548"/>
    <mergeCell ref="G548:H548"/>
    <mergeCell ref="A538:H538"/>
    <mergeCell ref="C539:E539"/>
    <mergeCell ref="G539:H539"/>
    <mergeCell ref="G535:H535"/>
    <mergeCell ref="C536:E536"/>
    <mergeCell ref="G536:H536"/>
    <mergeCell ref="G679:H679"/>
    <mergeCell ref="C680:E680"/>
    <mergeCell ref="G680:H680"/>
    <mergeCell ref="A551:H551"/>
    <mergeCell ref="C552:E552"/>
    <mergeCell ref="G552:H552"/>
    <mergeCell ref="C553:E553"/>
    <mergeCell ref="G553:H553"/>
    <mergeCell ref="A662:H662"/>
    <mergeCell ref="C663:E663"/>
    <mergeCell ref="G663:H663"/>
    <mergeCell ref="C664:E664"/>
    <mergeCell ref="G664:H664"/>
    <mergeCell ref="C665:E665"/>
    <mergeCell ref="G665:H665"/>
    <mergeCell ref="C666:E666"/>
    <mergeCell ref="G666:H666"/>
    <mergeCell ref="C667:E667"/>
    <mergeCell ref="G667:H667"/>
    <mergeCell ref="A669:H669"/>
    <mergeCell ref="C670:E670"/>
    <mergeCell ref="G670:H670"/>
    <mergeCell ref="C671:E671"/>
    <mergeCell ref="G671:H671"/>
    <mergeCell ref="C672:E672"/>
    <mergeCell ref="G672:H672"/>
    <mergeCell ref="C554:E554"/>
    <mergeCell ref="G554:H554"/>
    <mergeCell ref="C555:E555"/>
    <mergeCell ref="G555:H555"/>
    <mergeCell ref="C556:E556"/>
    <mergeCell ref="G556:H556"/>
    <mergeCell ref="C557:E557"/>
    <mergeCell ref="G557:H557"/>
    <mergeCell ref="A559:H559"/>
    <mergeCell ref="C560:E560"/>
    <mergeCell ref="G560:H560"/>
    <mergeCell ref="C561:E561"/>
    <mergeCell ref="G561:H561"/>
    <mergeCell ref="A563:H563"/>
    <mergeCell ref="C564:E564"/>
    <mergeCell ref="G564:H564"/>
    <mergeCell ref="C565:E565"/>
    <mergeCell ref="G565:H565"/>
    <mergeCell ref="A567:H567"/>
    <mergeCell ref="C568:E568"/>
    <mergeCell ref="G568:H568"/>
    <mergeCell ref="C569:E569"/>
    <mergeCell ref="G569:H569"/>
    <mergeCell ref="A571:H571"/>
    <mergeCell ref="C572:E572"/>
    <mergeCell ref="G572:H572"/>
    <mergeCell ref="C573:E573"/>
    <mergeCell ref="G573:H573"/>
    <mergeCell ref="A575:H575"/>
    <mergeCell ref="C576:E576"/>
    <mergeCell ref="G576:H576"/>
    <mergeCell ref="C577:E577"/>
    <mergeCell ref="G577:H577"/>
    <mergeCell ref="A579:H579"/>
    <mergeCell ref="C580:E580"/>
    <mergeCell ref="G580:H580"/>
    <mergeCell ref="C581:E581"/>
    <mergeCell ref="G581:H581"/>
    <mergeCell ref="C582:E582"/>
    <mergeCell ref="G582:H582"/>
    <mergeCell ref="C583:E583"/>
    <mergeCell ref="G583:H583"/>
    <mergeCell ref="C584:E584"/>
    <mergeCell ref="G584:H584"/>
    <mergeCell ref="A586:H586"/>
    <mergeCell ref="C587:E587"/>
    <mergeCell ref="G587:H587"/>
    <mergeCell ref="C588:E588"/>
    <mergeCell ref="G588:H588"/>
    <mergeCell ref="C589:E589"/>
    <mergeCell ref="G589:H589"/>
    <mergeCell ref="A591:H591"/>
    <mergeCell ref="C592:E592"/>
    <mergeCell ref="G592:H592"/>
    <mergeCell ref="C593:E593"/>
    <mergeCell ref="G593:H593"/>
    <mergeCell ref="C594:E594"/>
    <mergeCell ref="G594:H594"/>
    <mergeCell ref="C595:E595"/>
    <mergeCell ref="G595:H595"/>
    <mergeCell ref="A597:H597"/>
    <mergeCell ref="C598:E598"/>
    <mergeCell ref="G598:H598"/>
    <mergeCell ref="C599:E599"/>
    <mergeCell ref="G599:H599"/>
    <mergeCell ref="C600:E600"/>
    <mergeCell ref="G600:H600"/>
    <mergeCell ref="C601:E601"/>
    <mergeCell ref="G601:H601"/>
    <mergeCell ref="A603:H603"/>
    <mergeCell ref="C604:E604"/>
    <mergeCell ref="G604:H604"/>
    <mergeCell ref="C605:E605"/>
    <mergeCell ref="G605:H605"/>
    <mergeCell ref="C606:E606"/>
    <mergeCell ref="G606:H606"/>
    <mergeCell ref="A608:H608"/>
    <mergeCell ref="C609:E609"/>
    <mergeCell ref="G609:H609"/>
    <mergeCell ref="C610:E610"/>
    <mergeCell ref="G610:H610"/>
    <mergeCell ref="C611:E611"/>
    <mergeCell ref="G611:H611"/>
    <mergeCell ref="C612:E612"/>
    <mergeCell ref="G612:H612"/>
    <mergeCell ref="C613:E613"/>
    <mergeCell ref="G613:H613"/>
    <mergeCell ref="A615:H615"/>
    <mergeCell ref="C616:E616"/>
    <mergeCell ref="G616:H616"/>
    <mergeCell ref="C617:E617"/>
    <mergeCell ref="G617:H617"/>
    <mergeCell ref="A619:H619"/>
    <mergeCell ref="C620:E620"/>
    <mergeCell ref="G620:H620"/>
    <mergeCell ref="C621:E621"/>
    <mergeCell ref="G621:H621"/>
    <mergeCell ref="C622:E622"/>
    <mergeCell ref="G622:H622"/>
    <mergeCell ref="A624:H624"/>
    <mergeCell ref="C625:E625"/>
    <mergeCell ref="G625:H625"/>
    <mergeCell ref="C626:E626"/>
    <mergeCell ref="G626:H626"/>
    <mergeCell ref="C627:E627"/>
    <mergeCell ref="G627:H627"/>
    <mergeCell ref="A629:H629"/>
    <mergeCell ref="C630:E630"/>
    <mergeCell ref="G630:H630"/>
    <mergeCell ref="C631:E631"/>
    <mergeCell ref="G631:H631"/>
    <mergeCell ref="A633:H633"/>
    <mergeCell ref="C634:E634"/>
    <mergeCell ref="G634:H634"/>
    <mergeCell ref="C635:E635"/>
    <mergeCell ref="G635:H635"/>
    <mergeCell ref="C636:E636"/>
    <mergeCell ref="G636:H636"/>
    <mergeCell ref="A638:H638"/>
    <mergeCell ref="C639:E639"/>
    <mergeCell ref="G639:H639"/>
    <mergeCell ref="C640:E640"/>
    <mergeCell ref="G640:H640"/>
    <mergeCell ref="A642:H642"/>
    <mergeCell ref="C643:E643"/>
    <mergeCell ref="G643:H643"/>
    <mergeCell ref="C644:E644"/>
    <mergeCell ref="G644:H644"/>
    <mergeCell ref="C645:E645"/>
    <mergeCell ref="G645:H645"/>
    <mergeCell ref="A647:H647"/>
    <mergeCell ref="C648:E648"/>
    <mergeCell ref="G648:H648"/>
    <mergeCell ref="C649:E649"/>
    <mergeCell ref="G649:H649"/>
    <mergeCell ref="C650:E650"/>
    <mergeCell ref="G650:H650"/>
    <mergeCell ref="A652:H652"/>
    <mergeCell ref="C653:E653"/>
    <mergeCell ref="G653:H653"/>
    <mergeCell ref="C654:E654"/>
    <mergeCell ref="G654:H654"/>
    <mergeCell ref="C655:E655"/>
    <mergeCell ref="G655:H655"/>
    <mergeCell ref="C656:E656"/>
    <mergeCell ref="G656:H656"/>
    <mergeCell ref="A658:H658"/>
    <mergeCell ref="C659:E659"/>
    <mergeCell ref="G659:H659"/>
    <mergeCell ref="C660:E660"/>
    <mergeCell ref="G660:H660"/>
    <mergeCell ref="A683:H683"/>
    <mergeCell ref="C684:E684"/>
    <mergeCell ref="G684:H684"/>
    <mergeCell ref="C685:E685"/>
    <mergeCell ref="G685:H685"/>
    <mergeCell ref="C686:E686"/>
    <mergeCell ref="G686:H686"/>
    <mergeCell ref="C692:E692"/>
    <mergeCell ref="G692:H692"/>
    <mergeCell ref="A691:H691"/>
    <mergeCell ref="A688:H688"/>
    <mergeCell ref="C689:E689"/>
    <mergeCell ref="G689:H689"/>
    <mergeCell ref="C673:E673"/>
    <mergeCell ref="G673:H673"/>
    <mergeCell ref="C674:E674"/>
    <mergeCell ref="G674:H674"/>
    <mergeCell ref="A676:H676"/>
    <mergeCell ref="C677:E677"/>
    <mergeCell ref="G677:H677"/>
    <mergeCell ref="C678:E678"/>
    <mergeCell ref="G678:H678"/>
    <mergeCell ref="C679:E679"/>
    <mergeCell ref="E708:J708"/>
    <mergeCell ref="C703:E703"/>
    <mergeCell ref="G703:H703"/>
    <mergeCell ref="C704:E704"/>
    <mergeCell ref="G704:H704"/>
    <mergeCell ref="C705:E705"/>
    <mergeCell ref="A696:H696"/>
    <mergeCell ref="C697:E697"/>
    <mergeCell ref="G697:H697"/>
    <mergeCell ref="C698:E698"/>
    <mergeCell ref="G698:H698"/>
    <mergeCell ref="C699:E699"/>
    <mergeCell ref="G699:H699"/>
    <mergeCell ref="G705:H705"/>
    <mergeCell ref="C700:E700"/>
    <mergeCell ref="G700:H700"/>
    <mergeCell ref="C701:E701"/>
    <mergeCell ref="G701:H701"/>
    <mergeCell ref="C702:E702"/>
    <mergeCell ref="G702:H702"/>
    <mergeCell ref="C706:E706"/>
    <mergeCell ref="G706:H706"/>
    <mergeCell ref="C707:E707"/>
    <mergeCell ref="G707:H707"/>
  </mergeCells>
  <pageMargins left="1.1417322834645669" right="0.78740157480314965" top="0.39370078740157483" bottom="0.39370078740157483" header="0" footer="0.19685039370078741"/>
  <pageSetup scale="90" pageOrder="overThenDown" orientation="portrait" r:id="rId1"/>
  <headerFooter>
    <oddFooter>&amp;R&amp;P</oddFooter>
  </headerFooter>
  <rowBreaks count="4" manualBreakCount="4">
    <brk id="47" max="16383" man="1"/>
    <brk id="306" max="16383" man="1"/>
    <brk id="356" max="16383" man="1"/>
    <brk id="6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0"/>
  <sheetViews>
    <sheetView zoomScale="90" zoomScaleNormal="90" zoomScalePageLayoutView="70" workbookViewId="0">
      <selection activeCell="I184" sqref="I184"/>
    </sheetView>
  </sheetViews>
  <sheetFormatPr defaultColWidth="3.28515625" defaultRowHeight="12.75" x14ac:dyDescent="0.2"/>
  <cols>
    <col min="1" max="1" width="3.28515625" style="248" customWidth="1"/>
    <col min="2" max="2" width="10.85546875" style="310" customWidth="1"/>
    <col min="3" max="3" width="36" style="261" customWidth="1"/>
    <col min="4" max="4" width="3.42578125" style="261" customWidth="1"/>
    <col min="5" max="5" width="11.28515625" style="261" customWidth="1"/>
    <col min="6" max="6" width="9.85546875" style="248" customWidth="1"/>
    <col min="7" max="7" width="10.7109375" style="248" customWidth="1"/>
    <col min="8" max="8" width="11.7109375" style="248" customWidth="1"/>
    <col min="9" max="9" width="12.140625" style="248" customWidth="1"/>
    <col min="10" max="11" width="11.5703125" style="248" customWidth="1"/>
    <col min="12" max="12" width="11.140625" style="248" customWidth="1"/>
    <col min="13" max="13" width="12.140625" style="248" customWidth="1"/>
    <col min="14" max="14" width="11.42578125" style="248" customWidth="1"/>
    <col min="15" max="15" width="12.140625" style="248" customWidth="1"/>
    <col min="16" max="16" width="12.28515625" style="248" customWidth="1"/>
    <col min="17" max="17" width="11.140625" style="248" customWidth="1"/>
    <col min="18" max="18" width="11.28515625" style="248" customWidth="1"/>
    <col min="19" max="19" width="11.7109375" style="248" customWidth="1"/>
    <col min="20" max="20" width="11.42578125" style="248" customWidth="1"/>
    <col min="21" max="21" width="11.28515625" style="248" customWidth="1"/>
    <col min="22" max="22" width="12.140625" style="248" customWidth="1"/>
    <col min="23" max="23" width="12.5703125" style="248" customWidth="1"/>
    <col min="24" max="24" width="12.85546875" style="248" customWidth="1"/>
    <col min="25" max="255" width="9.140625" style="248" customWidth="1"/>
    <col min="256" max="256" width="3.28515625" style="248"/>
    <col min="257" max="257" width="3.28515625" style="248" customWidth="1"/>
    <col min="258" max="258" width="10.85546875" style="248" customWidth="1"/>
    <col min="259" max="259" width="36" style="248" customWidth="1"/>
    <col min="260" max="260" width="3.42578125" style="248" customWidth="1"/>
    <col min="261" max="261" width="11.28515625" style="248" customWidth="1"/>
    <col min="262" max="262" width="9.85546875" style="248" customWidth="1"/>
    <col min="263" max="263" width="10.7109375" style="248" customWidth="1"/>
    <col min="264" max="264" width="11.7109375" style="248" customWidth="1"/>
    <col min="265" max="265" width="12.140625" style="248" customWidth="1"/>
    <col min="266" max="267" width="11.5703125" style="248" customWidth="1"/>
    <col min="268" max="268" width="11.140625" style="248" customWidth="1"/>
    <col min="269" max="269" width="12.140625" style="248" customWidth="1"/>
    <col min="270" max="270" width="11.42578125" style="248" customWidth="1"/>
    <col min="271" max="271" width="12.140625" style="248" customWidth="1"/>
    <col min="272" max="272" width="12.28515625" style="248" customWidth="1"/>
    <col min="273" max="273" width="11.140625" style="248" customWidth="1"/>
    <col min="274" max="274" width="11.28515625" style="248" customWidth="1"/>
    <col min="275" max="275" width="11.7109375" style="248" customWidth="1"/>
    <col min="276" max="276" width="11.42578125" style="248" customWidth="1"/>
    <col min="277" max="277" width="11.28515625" style="248" customWidth="1"/>
    <col min="278" max="278" width="11.140625" style="248" customWidth="1"/>
    <col min="279" max="279" width="12.5703125" style="248" customWidth="1"/>
    <col min="280" max="280" width="12.85546875" style="248" customWidth="1"/>
    <col min="281" max="511" width="9.140625" style="248" customWidth="1"/>
    <col min="512" max="512" width="3.28515625" style="248"/>
    <col min="513" max="513" width="3.28515625" style="248" customWidth="1"/>
    <col min="514" max="514" width="10.85546875" style="248" customWidth="1"/>
    <col min="515" max="515" width="36" style="248" customWidth="1"/>
    <col min="516" max="516" width="3.42578125" style="248" customWidth="1"/>
    <col min="517" max="517" width="11.28515625" style="248" customWidth="1"/>
    <col min="518" max="518" width="9.85546875" style="248" customWidth="1"/>
    <col min="519" max="519" width="10.7109375" style="248" customWidth="1"/>
    <col min="520" max="520" width="11.7109375" style="248" customWidth="1"/>
    <col min="521" max="521" width="12.140625" style="248" customWidth="1"/>
    <col min="522" max="523" width="11.5703125" style="248" customWidth="1"/>
    <col min="524" max="524" width="11.140625" style="248" customWidth="1"/>
    <col min="525" max="525" width="12.140625" style="248" customWidth="1"/>
    <col min="526" max="526" width="11.42578125" style="248" customWidth="1"/>
    <col min="527" max="527" width="12.140625" style="248" customWidth="1"/>
    <col min="528" max="528" width="12.28515625" style="248" customWidth="1"/>
    <col min="529" max="529" width="11.140625" style="248" customWidth="1"/>
    <col min="530" max="530" width="11.28515625" style="248" customWidth="1"/>
    <col min="531" max="531" width="11.7109375" style="248" customWidth="1"/>
    <col min="532" max="532" width="11.42578125" style="248" customWidth="1"/>
    <col min="533" max="533" width="11.28515625" style="248" customWidth="1"/>
    <col min="534" max="534" width="11.140625" style="248" customWidth="1"/>
    <col min="535" max="535" width="12.5703125" style="248" customWidth="1"/>
    <col min="536" max="536" width="12.85546875" style="248" customWidth="1"/>
    <col min="537" max="767" width="9.140625" style="248" customWidth="1"/>
    <col min="768" max="768" width="3.28515625" style="248"/>
    <col min="769" max="769" width="3.28515625" style="248" customWidth="1"/>
    <col min="770" max="770" width="10.85546875" style="248" customWidth="1"/>
    <col min="771" max="771" width="36" style="248" customWidth="1"/>
    <col min="772" max="772" width="3.42578125" style="248" customWidth="1"/>
    <col min="773" max="773" width="11.28515625" style="248" customWidth="1"/>
    <col min="774" max="774" width="9.85546875" style="248" customWidth="1"/>
    <col min="775" max="775" width="10.7109375" style="248" customWidth="1"/>
    <col min="776" max="776" width="11.7109375" style="248" customWidth="1"/>
    <col min="777" max="777" width="12.140625" style="248" customWidth="1"/>
    <col min="778" max="779" width="11.5703125" style="248" customWidth="1"/>
    <col min="780" max="780" width="11.140625" style="248" customWidth="1"/>
    <col min="781" max="781" width="12.140625" style="248" customWidth="1"/>
    <col min="782" max="782" width="11.42578125" style="248" customWidth="1"/>
    <col min="783" max="783" width="12.140625" style="248" customWidth="1"/>
    <col min="784" max="784" width="12.28515625" style="248" customWidth="1"/>
    <col min="785" max="785" width="11.140625" style="248" customWidth="1"/>
    <col min="786" max="786" width="11.28515625" style="248" customWidth="1"/>
    <col min="787" max="787" width="11.7109375" style="248" customWidth="1"/>
    <col min="788" max="788" width="11.42578125" style="248" customWidth="1"/>
    <col min="789" max="789" width="11.28515625" style="248" customWidth="1"/>
    <col min="790" max="790" width="11.140625" style="248" customWidth="1"/>
    <col min="791" max="791" width="12.5703125" style="248" customWidth="1"/>
    <col min="792" max="792" width="12.85546875" style="248" customWidth="1"/>
    <col min="793" max="1023" width="9.140625" style="248" customWidth="1"/>
    <col min="1024" max="1024" width="3.28515625" style="248"/>
    <col min="1025" max="1025" width="3.28515625" style="248" customWidth="1"/>
    <col min="1026" max="1026" width="10.85546875" style="248" customWidth="1"/>
    <col min="1027" max="1027" width="36" style="248" customWidth="1"/>
    <col min="1028" max="1028" width="3.42578125" style="248" customWidth="1"/>
    <col min="1029" max="1029" width="11.28515625" style="248" customWidth="1"/>
    <col min="1030" max="1030" width="9.85546875" style="248" customWidth="1"/>
    <col min="1031" max="1031" width="10.7109375" style="248" customWidth="1"/>
    <col min="1032" max="1032" width="11.7109375" style="248" customWidth="1"/>
    <col min="1033" max="1033" width="12.140625" style="248" customWidth="1"/>
    <col min="1034" max="1035" width="11.5703125" style="248" customWidth="1"/>
    <col min="1036" max="1036" width="11.140625" style="248" customWidth="1"/>
    <col min="1037" max="1037" width="12.140625" style="248" customWidth="1"/>
    <col min="1038" max="1038" width="11.42578125" style="248" customWidth="1"/>
    <col min="1039" max="1039" width="12.140625" style="248" customWidth="1"/>
    <col min="1040" max="1040" width="12.28515625" style="248" customWidth="1"/>
    <col min="1041" max="1041" width="11.140625" style="248" customWidth="1"/>
    <col min="1042" max="1042" width="11.28515625" style="248" customWidth="1"/>
    <col min="1043" max="1043" width="11.7109375" style="248" customWidth="1"/>
    <col min="1044" max="1044" width="11.42578125" style="248" customWidth="1"/>
    <col min="1045" max="1045" width="11.28515625" style="248" customWidth="1"/>
    <col min="1046" max="1046" width="11.140625" style="248" customWidth="1"/>
    <col min="1047" max="1047" width="12.5703125" style="248" customWidth="1"/>
    <col min="1048" max="1048" width="12.85546875" style="248" customWidth="1"/>
    <col min="1049" max="1279" width="9.140625" style="248" customWidth="1"/>
    <col min="1280" max="1280" width="3.28515625" style="248"/>
    <col min="1281" max="1281" width="3.28515625" style="248" customWidth="1"/>
    <col min="1282" max="1282" width="10.85546875" style="248" customWidth="1"/>
    <col min="1283" max="1283" width="36" style="248" customWidth="1"/>
    <col min="1284" max="1284" width="3.42578125" style="248" customWidth="1"/>
    <col min="1285" max="1285" width="11.28515625" style="248" customWidth="1"/>
    <col min="1286" max="1286" width="9.85546875" style="248" customWidth="1"/>
    <col min="1287" max="1287" width="10.7109375" style="248" customWidth="1"/>
    <col min="1288" max="1288" width="11.7109375" style="248" customWidth="1"/>
    <col min="1289" max="1289" width="12.140625" style="248" customWidth="1"/>
    <col min="1290" max="1291" width="11.5703125" style="248" customWidth="1"/>
    <col min="1292" max="1292" width="11.140625" style="248" customWidth="1"/>
    <col min="1293" max="1293" width="12.140625" style="248" customWidth="1"/>
    <col min="1294" max="1294" width="11.42578125" style="248" customWidth="1"/>
    <col min="1295" max="1295" width="12.140625" style="248" customWidth="1"/>
    <col min="1296" max="1296" width="12.28515625" style="248" customWidth="1"/>
    <col min="1297" max="1297" width="11.140625" style="248" customWidth="1"/>
    <col min="1298" max="1298" width="11.28515625" style="248" customWidth="1"/>
    <col min="1299" max="1299" width="11.7109375" style="248" customWidth="1"/>
    <col min="1300" max="1300" width="11.42578125" style="248" customWidth="1"/>
    <col min="1301" max="1301" width="11.28515625" style="248" customWidth="1"/>
    <col min="1302" max="1302" width="11.140625" style="248" customWidth="1"/>
    <col min="1303" max="1303" width="12.5703125" style="248" customWidth="1"/>
    <col min="1304" max="1304" width="12.85546875" style="248" customWidth="1"/>
    <col min="1305" max="1535" width="9.140625" style="248" customWidth="1"/>
    <col min="1536" max="1536" width="3.28515625" style="248"/>
    <col min="1537" max="1537" width="3.28515625" style="248" customWidth="1"/>
    <col min="1538" max="1538" width="10.85546875" style="248" customWidth="1"/>
    <col min="1539" max="1539" width="36" style="248" customWidth="1"/>
    <col min="1540" max="1540" width="3.42578125" style="248" customWidth="1"/>
    <col min="1541" max="1541" width="11.28515625" style="248" customWidth="1"/>
    <col min="1542" max="1542" width="9.85546875" style="248" customWidth="1"/>
    <col min="1543" max="1543" width="10.7109375" style="248" customWidth="1"/>
    <col min="1544" max="1544" width="11.7109375" style="248" customWidth="1"/>
    <col min="1545" max="1545" width="12.140625" style="248" customWidth="1"/>
    <col min="1546" max="1547" width="11.5703125" style="248" customWidth="1"/>
    <col min="1548" max="1548" width="11.140625" style="248" customWidth="1"/>
    <col min="1549" max="1549" width="12.140625" style="248" customWidth="1"/>
    <col min="1550" max="1550" width="11.42578125" style="248" customWidth="1"/>
    <col min="1551" max="1551" width="12.140625" style="248" customWidth="1"/>
    <col min="1552" max="1552" width="12.28515625" style="248" customWidth="1"/>
    <col min="1553" max="1553" width="11.140625" style="248" customWidth="1"/>
    <col min="1554" max="1554" width="11.28515625" style="248" customWidth="1"/>
    <col min="1555" max="1555" width="11.7109375" style="248" customWidth="1"/>
    <col min="1556" max="1556" width="11.42578125" style="248" customWidth="1"/>
    <col min="1557" max="1557" width="11.28515625" style="248" customWidth="1"/>
    <col min="1558" max="1558" width="11.140625" style="248" customWidth="1"/>
    <col min="1559" max="1559" width="12.5703125" style="248" customWidth="1"/>
    <col min="1560" max="1560" width="12.85546875" style="248" customWidth="1"/>
    <col min="1561" max="1791" width="9.140625" style="248" customWidth="1"/>
    <col min="1792" max="1792" width="3.28515625" style="248"/>
    <col min="1793" max="1793" width="3.28515625" style="248" customWidth="1"/>
    <col min="1794" max="1794" width="10.85546875" style="248" customWidth="1"/>
    <col min="1795" max="1795" width="36" style="248" customWidth="1"/>
    <col min="1796" max="1796" width="3.42578125" style="248" customWidth="1"/>
    <col min="1797" max="1797" width="11.28515625" style="248" customWidth="1"/>
    <col min="1798" max="1798" width="9.85546875" style="248" customWidth="1"/>
    <col min="1799" max="1799" width="10.7109375" style="248" customWidth="1"/>
    <col min="1800" max="1800" width="11.7109375" style="248" customWidth="1"/>
    <col min="1801" max="1801" width="12.140625" style="248" customWidth="1"/>
    <col min="1802" max="1803" width="11.5703125" style="248" customWidth="1"/>
    <col min="1804" max="1804" width="11.140625" style="248" customWidth="1"/>
    <col min="1805" max="1805" width="12.140625" style="248" customWidth="1"/>
    <col min="1806" max="1806" width="11.42578125" style="248" customWidth="1"/>
    <col min="1807" max="1807" width="12.140625" style="248" customWidth="1"/>
    <col min="1808" max="1808" width="12.28515625" style="248" customWidth="1"/>
    <col min="1809" max="1809" width="11.140625" style="248" customWidth="1"/>
    <col min="1810" max="1810" width="11.28515625" style="248" customWidth="1"/>
    <col min="1811" max="1811" width="11.7109375" style="248" customWidth="1"/>
    <col min="1812" max="1812" width="11.42578125" style="248" customWidth="1"/>
    <col min="1813" max="1813" width="11.28515625" style="248" customWidth="1"/>
    <col min="1814" max="1814" width="11.140625" style="248" customWidth="1"/>
    <col min="1815" max="1815" width="12.5703125" style="248" customWidth="1"/>
    <col min="1816" max="1816" width="12.85546875" style="248" customWidth="1"/>
    <col min="1817" max="2047" width="9.140625" style="248" customWidth="1"/>
    <col min="2048" max="2048" width="3.28515625" style="248"/>
    <col min="2049" max="2049" width="3.28515625" style="248" customWidth="1"/>
    <col min="2050" max="2050" width="10.85546875" style="248" customWidth="1"/>
    <col min="2051" max="2051" width="36" style="248" customWidth="1"/>
    <col min="2052" max="2052" width="3.42578125" style="248" customWidth="1"/>
    <col min="2053" max="2053" width="11.28515625" style="248" customWidth="1"/>
    <col min="2054" max="2054" width="9.85546875" style="248" customWidth="1"/>
    <col min="2055" max="2055" width="10.7109375" style="248" customWidth="1"/>
    <col min="2056" max="2056" width="11.7109375" style="248" customWidth="1"/>
    <col min="2057" max="2057" width="12.140625" style="248" customWidth="1"/>
    <col min="2058" max="2059" width="11.5703125" style="248" customWidth="1"/>
    <col min="2060" max="2060" width="11.140625" style="248" customWidth="1"/>
    <col min="2061" max="2061" width="12.140625" style="248" customWidth="1"/>
    <col min="2062" max="2062" width="11.42578125" style="248" customWidth="1"/>
    <col min="2063" max="2063" width="12.140625" style="248" customWidth="1"/>
    <col min="2064" max="2064" width="12.28515625" style="248" customWidth="1"/>
    <col min="2065" max="2065" width="11.140625" style="248" customWidth="1"/>
    <col min="2066" max="2066" width="11.28515625" style="248" customWidth="1"/>
    <col min="2067" max="2067" width="11.7109375" style="248" customWidth="1"/>
    <col min="2068" max="2068" width="11.42578125" style="248" customWidth="1"/>
    <col min="2069" max="2069" width="11.28515625" style="248" customWidth="1"/>
    <col min="2070" max="2070" width="11.140625" style="248" customWidth="1"/>
    <col min="2071" max="2071" width="12.5703125" style="248" customWidth="1"/>
    <col min="2072" max="2072" width="12.85546875" style="248" customWidth="1"/>
    <col min="2073" max="2303" width="9.140625" style="248" customWidth="1"/>
    <col min="2304" max="2304" width="3.28515625" style="248"/>
    <col min="2305" max="2305" width="3.28515625" style="248" customWidth="1"/>
    <col min="2306" max="2306" width="10.85546875" style="248" customWidth="1"/>
    <col min="2307" max="2307" width="36" style="248" customWidth="1"/>
    <col min="2308" max="2308" width="3.42578125" style="248" customWidth="1"/>
    <col min="2309" max="2309" width="11.28515625" style="248" customWidth="1"/>
    <col min="2310" max="2310" width="9.85546875" style="248" customWidth="1"/>
    <col min="2311" max="2311" width="10.7109375" style="248" customWidth="1"/>
    <col min="2312" max="2312" width="11.7109375" style="248" customWidth="1"/>
    <col min="2313" max="2313" width="12.140625" style="248" customWidth="1"/>
    <col min="2314" max="2315" width="11.5703125" style="248" customWidth="1"/>
    <col min="2316" max="2316" width="11.140625" style="248" customWidth="1"/>
    <col min="2317" max="2317" width="12.140625" style="248" customWidth="1"/>
    <col min="2318" max="2318" width="11.42578125" style="248" customWidth="1"/>
    <col min="2319" max="2319" width="12.140625" style="248" customWidth="1"/>
    <col min="2320" max="2320" width="12.28515625" style="248" customWidth="1"/>
    <col min="2321" max="2321" width="11.140625" style="248" customWidth="1"/>
    <col min="2322" max="2322" width="11.28515625" style="248" customWidth="1"/>
    <col min="2323" max="2323" width="11.7109375" style="248" customWidth="1"/>
    <col min="2324" max="2324" width="11.42578125" style="248" customWidth="1"/>
    <col min="2325" max="2325" width="11.28515625" style="248" customWidth="1"/>
    <col min="2326" max="2326" width="11.140625" style="248" customWidth="1"/>
    <col min="2327" max="2327" width="12.5703125" style="248" customWidth="1"/>
    <col min="2328" max="2328" width="12.85546875" style="248" customWidth="1"/>
    <col min="2329" max="2559" width="9.140625" style="248" customWidth="1"/>
    <col min="2560" max="2560" width="3.28515625" style="248"/>
    <col min="2561" max="2561" width="3.28515625" style="248" customWidth="1"/>
    <col min="2562" max="2562" width="10.85546875" style="248" customWidth="1"/>
    <col min="2563" max="2563" width="36" style="248" customWidth="1"/>
    <col min="2564" max="2564" width="3.42578125" style="248" customWidth="1"/>
    <col min="2565" max="2565" width="11.28515625" style="248" customWidth="1"/>
    <col min="2566" max="2566" width="9.85546875" style="248" customWidth="1"/>
    <col min="2567" max="2567" width="10.7109375" style="248" customWidth="1"/>
    <col min="2568" max="2568" width="11.7109375" style="248" customWidth="1"/>
    <col min="2569" max="2569" width="12.140625" style="248" customWidth="1"/>
    <col min="2570" max="2571" width="11.5703125" style="248" customWidth="1"/>
    <col min="2572" max="2572" width="11.140625" style="248" customWidth="1"/>
    <col min="2573" max="2573" width="12.140625" style="248" customWidth="1"/>
    <col min="2574" max="2574" width="11.42578125" style="248" customWidth="1"/>
    <col min="2575" max="2575" width="12.140625" style="248" customWidth="1"/>
    <col min="2576" max="2576" width="12.28515625" style="248" customWidth="1"/>
    <col min="2577" max="2577" width="11.140625" style="248" customWidth="1"/>
    <col min="2578" max="2578" width="11.28515625" style="248" customWidth="1"/>
    <col min="2579" max="2579" width="11.7109375" style="248" customWidth="1"/>
    <col min="2580" max="2580" width="11.42578125" style="248" customWidth="1"/>
    <col min="2581" max="2581" width="11.28515625" style="248" customWidth="1"/>
    <col min="2582" max="2582" width="11.140625" style="248" customWidth="1"/>
    <col min="2583" max="2583" width="12.5703125" style="248" customWidth="1"/>
    <col min="2584" max="2584" width="12.85546875" style="248" customWidth="1"/>
    <col min="2585" max="2815" width="9.140625" style="248" customWidth="1"/>
    <col min="2816" max="2816" width="3.28515625" style="248"/>
    <col min="2817" max="2817" width="3.28515625" style="248" customWidth="1"/>
    <col min="2818" max="2818" width="10.85546875" style="248" customWidth="1"/>
    <col min="2819" max="2819" width="36" style="248" customWidth="1"/>
    <col min="2820" max="2820" width="3.42578125" style="248" customWidth="1"/>
    <col min="2821" max="2821" width="11.28515625" style="248" customWidth="1"/>
    <col min="2822" max="2822" width="9.85546875" style="248" customWidth="1"/>
    <col min="2823" max="2823" width="10.7109375" style="248" customWidth="1"/>
    <col min="2824" max="2824" width="11.7109375" style="248" customWidth="1"/>
    <col min="2825" max="2825" width="12.140625" style="248" customWidth="1"/>
    <col min="2826" max="2827" width="11.5703125" style="248" customWidth="1"/>
    <col min="2828" max="2828" width="11.140625" style="248" customWidth="1"/>
    <col min="2829" max="2829" width="12.140625" style="248" customWidth="1"/>
    <col min="2830" max="2830" width="11.42578125" style="248" customWidth="1"/>
    <col min="2831" max="2831" width="12.140625" style="248" customWidth="1"/>
    <col min="2832" max="2832" width="12.28515625" style="248" customWidth="1"/>
    <col min="2833" max="2833" width="11.140625" style="248" customWidth="1"/>
    <col min="2834" max="2834" width="11.28515625" style="248" customWidth="1"/>
    <col min="2835" max="2835" width="11.7109375" style="248" customWidth="1"/>
    <col min="2836" max="2836" width="11.42578125" style="248" customWidth="1"/>
    <col min="2837" max="2837" width="11.28515625" style="248" customWidth="1"/>
    <col min="2838" max="2838" width="11.140625" style="248" customWidth="1"/>
    <col min="2839" max="2839" width="12.5703125" style="248" customWidth="1"/>
    <col min="2840" max="2840" width="12.85546875" style="248" customWidth="1"/>
    <col min="2841" max="3071" width="9.140625" style="248" customWidth="1"/>
    <col min="3072" max="3072" width="3.28515625" style="248"/>
    <col min="3073" max="3073" width="3.28515625" style="248" customWidth="1"/>
    <col min="3074" max="3074" width="10.85546875" style="248" customWidth="1"/>
    <col min="3075" max="3075" width="36" style="248" customWidth="1"/>
    <col min="3076" max="3076" width="3.42578125" style="248" customWidth="1"/>
    <col min="3077" max="3077" width="11.28515625" style="248" customWidth="1"/>
    <col min="3078" max="3078" width="9.85546875" style="248" customWidth="1"/>
    <col min="3079" max="3079" width="10.7109375" style="248" customWidth="1"/>
    <col min="3080" max="3080" width="11.7109375" style="248" customWidth="1"/>
    <col min="3081" max="3081" width="12.140625" style="248" customWidth="1"/>
    <col min="3082" max="3083" width="11.5703125" style="248" customWidth="1"/>
    <col min="3084" max="3084" width="11.140625" style="248" customWidth="1"/>
    <col min="3085" max="3085" width="12.140625" style="248" customWidth="1"/>
    <col min="3086" max="3086" width="11.42578125" style="248" customWidth="1"/>
    <col min="3087" max="3087" width="12.140625" style="248" customWidth="1"/>
    <col min="3088" max="3088" width="12.28515625" style="248" customWidth="1"/>
    <col min="3089" max="3089" width="11.140625" style="248" customWidth="1"/>
    <col min="3090" max="3090" width="11.28515625" style="248" customWidth="1"/>
    <col min="3091" max="3091" width="11.7109375" style="248" customWidth="1"/>
    <col min="3092" max="3092" width="11.42578125" style="248" customWidth="1"/>
    <col min="3093" max="3093" width="11.28515625" style="248" customWidth="1"/>
    <col min="3094" max="3094" width="11.140625" style="248" customWidth="1"/>
    <col min="3095" max="3095" width="12.5703125" style="248" customWidth="1"/>
    <col min="3096" max="3096" width="12.85546875" style="248" customWidth="1"/>
    <col min="3097" max="3327" width="9.140625" style="248" customWidth="1"/>
    <col min="3328" max="3328" width="3.28515625" style="248"/>
    <col min="3329" max="3329" width="3.28515625" style="248" customWidth="1"/>
    <col min="3330" max="3330" width="10.85546875" style="248" customWidth="1"/>
    <col min="3331" max="3331" width="36" style="248" customWidth="1"/>
    <col min="3332" max="3332" width="3.42578125" style="248" customWidth="1"/>
    <col min="3333" max="3333" width="11.28515625" style="248" customWidth="1"/>
    <col min="3334" max="3334" width="9.85546875" style="248" customWidth="1"/>
    <col min="3335" max="3335" width="10.7109375" style="248" customWidth="1"/>
    <col min="3336" max="3336" width="11.7109375" style="248" customWidth="1"/>
    <col min="3337" max="3337" width="12.140625" style="248" customWidth="1"/>
    <col min="3338" max="3339" width="11.5703125" style="248" customWidth="1"/>
    <col min="3340" max="3340" width="11.140625" style="248" customWidth="1"/>
    <col min="3341" max="3341" width="12.140625" style="248" customWidth="1"/>
    <col min="3342" max="3342" width="11.42578125" style="248" customWidth="1"/>
    <col min="3343" max="3343" width="12.140625" style="248" customWidth="1"/>
    <col min="3344" max="3344" width="12.28515625" style="248" customWidth="1"/>
    <col min="3345" max="3345" width="11.140625" style="248" customWidth="1"/>
    <col min="3346" max="3346" width="11.28515625" style="248" customWidth="1"/>
    <col min="3347" max="3347" width="11.7109375" style="248" customWidth="1"/>
    <col min="3348" max="3348" width="11.42578125" style="248" customWidth="1"/>
    <col min="3349" max="3349" width="11.28515625" style="248" customWidth="1"/>
    <col min="3350" max="3350" width="11.140625" style="248" customWidth="1"/>
    <col min="3351" max="3351" width="12.5703125" style="248" customWidth="1"/>
    <col min="3352" max="3352" width="12.85546875" style="248" customWidth="1"/>
    <col min="3353" max="3583" width="9.140625" style="248" customWidth="1"/>
    <col min="3584" max="3584" width="3.28515625" style="248"/>
    <col min="3585" max="3585" width="3.28515625" style="248" customWidth="1"/>
    <col min="3586" max="3586" width="10.85546875" style="248" customWidth="1"/>
    <col min="3587" max="3587" width="36" style="248" customWidth="1"/>
    <col min="3588" max="3588" width="3.42578125" style="248" customWidth="1"/>
    <col min="3589" max="3589" width="11.28515625" style="248" customWidth="1"/>
    <col min="3590" max="3590" width="9.85546875" style="248" customWidth="1"/>
    <col min="3591" max="3591" width="10.7109375" style="248" customWidth="1"/>
    <col min="3592" max="3592" width="11.7109375" style="248" customWidth="1"/>
    <col min="3593" max="3593" width="12.140625" style="248" customWidth="1"/>
    <col min="3594" max="3595" width="11.5703125" style="248" customWidth="1"/>
    <col min="3596" max="3596" width="11.140625" style="248" customWidth="1"/>
    <col min="3597" max="3597" width="12.140625" style="248" customWidth="1"/>
    <col min="3598" max="3598" width="11.42578125" style="248" customWidth="1"/>
    <col min="3599" max="3599" width="12.140625" style="248" customWidth="1"/>
    <col min="3600" max="3600" width="12.28515625" style="248" customWidth="1"/>
    <col min="3601" max="3601" width="11.140625" style="248" customWidth="1"/>
    <col min="3602" max="3602" width="11.28515625" style="248" customWidth="1"/>
    <col min="3603" max="3603" width="11.7109375" style="248" customWidth="1"/>
    <col min="3604" max="3604" width="11.42578125" style="248" customWidth="1"/>
    <col min="3605" max="3605" width="11.28515625" style="248" customWidth="1"/>
    <col min="3606" max="3606" width="11.140625" style="248" customWidth="1"/>
    <col min="3607" max="3607" width="12.5703125" style="248" customWidth="1"/>
    <col min="3608" max="3608" width="12.85546875" style="248" customWidth="1"/>
    <col min="3609" max="3839" width="9.140625" style="248" customWidth="1"/>
    <col min="3840" max="3840" width="3.28515625" style="248"/>
    <col min="3841" max="3841" width="3.28515625" style="248" customWidth="1"/>
    <col min="3842" max="3842" width="10.85546875" style="248" customWidth="1"/>
    <col min="3843" max="3843" width="36" style="248" customWidth="1"/>
    <col min="3844" max="3844" width="3.42578125" style="248" customWidth="1"/>
    <col min="3845" max="3845" width="11.28515625" style="248" customWidth="1"/>
    <col min="3846" max="3846" width="9.85546875" style="248" customWidth="1"/>
    <col min="3847" max="3847" width="10.7109375" style="248" customWidth="1"/>
    <col min="3848" max="3848" width="11.7109375" style="248" customWidth="1"/>
    <col min="3849" max="3849" width="12.140625" style="248" customWidth="1"/>
    <col min="3850" max="3851" width="11.5703125" style="248" customWidth="1"/>
    <col min="3852" max="3852" width="11.140625" style="248" customWidth="1"/>
    <col min="3853" max="3853" width="12.140625" style="248" customWidth="1"/>
    <col min="3854" max="3854" width="11.42578125" style="248" customWidth="1"/>
    <col min="3855" max="3855" width="12.140625" style="248" customWidth="1"/>
    <col min="3856" max="3856" width="12.28515625" style="248" customWidth="1"/>
    <col min="3857" max="3857" width="11.140625" style="248" customWidth="1"/>
    <col min="3858" max="3858" width="11.28515625" style="248" customWidth="1"/>
    <col min="3859" max="3859" width="11.7109375" style="248" customWidth="1"/>
    <col min="3860" max="3860" width="11.42578125" style="248" customWidth="1"/>
    <col min="3861" max="3861" width="11.28515625" style="248" customWidth="1"/>
    <col min="3862" max="3862" width="11.140625" style="248" customWidth="1"/>
    <col min="3863" max="3863" width="12.5703125" style="248" customWidth="1"/>
    <col min="3864" max="3864" width="12.85546875" style="248" customWidth="1"/>
    <col min="3865" max="4095" width="9.140625" style="248" customWidth="1"/>
    <col min="4096" max="4096" width="3.28515625" style="248"/>
    <col min="4097" max="4097" width="3.28515625" style="248" customWidth="1"/>
    <col min="4098" max="4098" width="10.85546875" style="248" customWidth="1"/>
    <col min="4099" max="4099" width="36" style="248" customWidth="1"/>
    <col min="4100" max="4100" width="3.42578125" style="248" customWidth="1"/>
    <col min="4101" max="4101" width="11.28515625" style="248" customWidth="1"/>
    <col min="4102" max="4102" width="9.85546875" style="248" customWidth="1"/>
    <col min="4103" max="4103" width="10.7109375" style="248" customWidth="1"/>
    <col min="4104" max="4104" width="11.7109375" style="248" customWidth="1"/>
    <col min="4105" max="4105" width="12.140625" style="248" customWidth="1"/>
    <col min="4106" max="4107" width="11.5703125" style="248" customWidth="1"/>
    <col min="4108" max="4108" width="11.140625" style="248" customWidth="1"/>
    <col min="4109" max="4109" width="12.140625" style="248" customWidth="1"/>
    <col min="4110" max="4110" width="11.42578125" style="248" customWidth="1"/>
    <col min="4111" max="4111" width="12.140625" style="248" customWidth="1"/>
    <col min="4112" max="4112" width="12.28515625" style="248" customWidth="1"/>
    <col min="4113" max="4113" width="11.140625" style="248" customWidth="1"/>
    <col min="4114" max="4114" width="11.28515625" style="248" customWidth="1"/>
    <col min="4115" max="4115" width="11.7109375" style="248" customWidth="1"/>
    <col min="4116" max="4116" width="11.42578125" style="248" customWidth="1"/>
    <col min="4117" max="4117" width="11.28515625" style="248" customWidth="1"/>
    <col min="4118" max="4118" width="11.140625" style="248" customWidth="1"/>
    <col min="4119" max="4119" width="12.5703125" style="248" customWidth="1"/>
    <col min="4120" max="4120" width="12.85546875" style="248" customWidth="1"/>
    <col min="4121" max="4351" width="9.140625" style="248" customWidth="1"/>
    <col min="4352" max="4352" width="3.28515625" style="248"/>
    <col min="4353" max="4353" width="3.28515625" style="248" customWidth="1"/>
    <col min="4354" max="4354" width="10.85546875" style="248" customWidth="1"/>
    <col min="4355" max="4355" width="36" style="248" customWidth="1"/>
    <col min="4356" max="4356" width="3.42578125" style="248" customWidth="1"/>
    <col min="4357" max="4357" width="11.28515625" style="248" customWidth="1"/>
    <col min="4358" max="4358" width="9.85546875" style="248" customWidth="1"/>
    <col min="4359" max="4359" width="10.7109375" style="248" customWidth="1"/>
    <col min="4360" max="4360" width="11.7109375" style="248" customWidth="1"/>
    <col min="4361" max="4361" width="12.140625" style="248" customWidth="1"/>
    <col min="4362" max="4363" width="11.5703125" style="248" customWidth="1"/>
    <col min="4364" max="4364" width="11.140625" style="248" customWidth="1"/>
    <col min="4365" max="4365" width="12.140625" style="248" customWidth="1"/>
    <col min="4366" max="4366" width="11.42578125" style="248" customWidth="1"/>
    <col min="4367" max="4367" width="12.140625" style="248" customWidth="1"/>
    <col min="4368" max="4368" width="12.28515625" style="248" customWidth="1"/>
    <col min="4369" max="4369" width="11.140625" style="248" customWidth="1"/>
    <col min="4370" max="4370" width="11.28515625" style="248" customWidth="1"/>
    <col min="4371" max="4371" width="11.7109375" style="248" customWidth="1"/>
    <col min="4372" max="4372" width="11.42578125" style="248" customWidth="1"/>
    <col min="4373" max="4373" width="11.28515625" style="248" customWidth="1"/>
    <col min="4374" max="4374" width="11.140625" style="248" customWidth="1"/>
    <col min="4375" max="4375" width="12.5703125" style="248" customWidth="1"/>
    <col min="4376" max="4376" width="12.85546875" style="248" customWidth="1"/>
    <col min="4377" max="4607" width="9.140625" style="248" customWidth="1"/>
    <col min="4608" max="4608" width="3.28515625" style="248"/>
    <col min="4609" max="4609" width="3.28515625" style="248" customWidth="1"/>
    <col min="4610" max="4610" width="10.85546875" style="248" customWidth="1"/>
    <col min="4611" max="4611" width="36" style="248" customWidth="1"/>
    <col min="4612" max="4612" width="3.42578125" style="248" customWidth="1"/>
    <col min="4613" max="4613" width="11.28515625" style="248" customWidth="1"/>
    <col min="4614" max="4614" width="9.85546875" style="248" customWidth="1"/>
    <col min="4615" max="4615" width="10.7109375" style="248" customWidth="1"/>
    <col min="4616" max="4616" width="11.7109375" style="248" customWidth="1"/>
    <col min="4617" max="4617" width="12.140625" style="248" customWidth="1"/>
    <col min="4618" max="4619" width="11.5703125" style="248" customWidth="1"/>
    <col min="4620" max="4620" width="11.140625" style="248" customWidth="1"/>
    <col min="4621" max="4621" width="12.140625" style="248" customWidth="1"/>
    <col min="4622" max="4622" width="11.42578125" style="248" customWidth="1"/>
    <col min="4623" max="4623" width="12.140625" style="248" customWidth="1"/>
    <col min="4624" max="4624" width="12.28515625" style="248" customWidth="1"/>
    <col min="4625" max="4625" width="11.140625" style="248" customWidth="1"/>
    <col min="4626" max="4626" width="11.28515625" style="248" customWidth="1"/>
    <col min="4627" max="4627" width="11.7109375" style="248" customWidth="1"/>
    <col min="4628" max="4628" width="11.42578125" style="248" customWidth="1"/>
    <col min="4629" max="4629" width="11.28515625" style="248" customWidth="1"/>
    <col min="4630" max="4630" width="11.140625" style="248" customWidth="1"/>
    <col min="4631" max="4631" width="12.5703125" style="248" customWidth="1"/>
    <col min="4632" max="4632" width="12.85546875" style="248" customWidth="1"/>
    <col min="4633" max="4863" width="9.140625" style="248" customWidth="1"/>
    <col min="4864" max="4864" width="3.28515625" style="248"/>
    <col min="4865" max="4865" width="3.28515625" style="248" customWidth="1"/>
    <col min="4866" max="4866" width="10.85546875" style="248" customWidth="1"/>
    <col min="4867" max="4867" width="36" style="248" customWidth="1"/>
    <col min="4868" max="4868" width="3.42578125" style="248" customWidth="1"/>
    <col min="4869" max="4869" width="11.28515625" style="248" customWidth="1"/>
    <col min="4870" max="4870" width="9.85546875" style="248" customWidth="1"/>
    <col min="4871" max="4871" width="10.7109375" style="248" customWidth="1"/>
    <col min="4872" max="4872" width="11.7109375" style="248" customWidth="1"/>
    <col min="4873" max="4873" width="12.140625" style="248" customWidth="1"/>
    <col min="4874" max="4875" width="11.5703125" style="248" customWidth="1"/>
    <col min="4876" max="4876" width="11.140625" style="248" customWidth="1"/>
    <col min="4877" max="4877" width="12.140625" style="248" customWidth="1"/>
    <col min="4878" max="4878" width="11.42578125" style="248" customWidth="1"/>
    <col min="4879" max="4879" width="12.140625" style="248" customWidth="1"/>
    <col min="4880" max="4880" width="12.28515625" style="248" customWidth="1"/>
    <col min="4881" max="4881" width="11.140625" style="248" customWidth="1"/>
    <col min="4882" max="4882" width="11.28515625" style="248" customWidth="1"/>
    <col min="4883" max="4883" width="11.7109375" style="248" customWidth="1"/>
    <col min="4884" max="4884" width="11.42578125" style="248" customWidth="1"/>
    <col min="4885" max="4885" width="11.28515625" style="248" customWidth="1"/>
    <col min="4886" max="4886" width="11.140625" style="248" customWidth="1"/>
    <col min="4887" max="4887" width="12.5703125" style="248" customWidth="1"/>
    <col min="4888" max="4888" width="12.85546875" style="248" customWidth="1"/>
    <col min="4889" max="5119" width="9.140625" style="248" customWidth="1"/>
    <col min="5120" max="5120" width="3.28515625" style="248"/>
    <col min="5121" max="5121" width="3.28515625" style="248" customWidth="1"/>
    <col min="5122" max="5122" width="10.85546875" style="248" customWidth="1"/>
    <col min="5123" max="5123" width="36" style="248" customWidth="1"/>
    <col min="5124" max="5124" width="3.42578125" style="248" customWidth="1"/>
    <col min="5125" max="5125" width="11.28515625" style="248" customWidth="1"/>
    <col min="5126" max="5126" width="9.85546875" style="248" customWidth="1"/>
    <col min="5127" max="5127" width="10.7109375" style="248" customWidth="1"/>
    <col min="5128" max="5128" width="11.7109375" style="248" customWidth="1"/>
    <col min="5129" max="5129" width="12.140625" style="248" customWidth="1"/>
    <col min="5130" max="5131" width="11.5703125" style="248" customWidth="1"/>
    <col min="5132" max="5132" width="11.140625" style="248" customWidth="1"/>
    <col min="5133" max="5133" width="12.140625" style="248" customWidth="1"/>
    <col min="5134" max="5134" width="11.42578125" style="248" customWidth="1"/>
    <col min="5135" max="5135" width="12.140625" style="248" customWidth="1"/>
    <col min="5136" max="5136" width="12.28515625" style="248" customWidth="1"/>
    <col min="5137" max="5137" width="11.140625" style="248" customWidth="1"/>
    <col min="5138" max="5138" width="11.28515625" style="248" customWidth="1"/>
    <col min="5139" max="5139" width="11.7109375" style="248" customWidth="1"/>
    <col min="5140" max="5140" width="11.42578125" style="248" customWidth="1"/>
    <col min="5141" max="5141" width="11.28515625" style="248" customWidth="1"/>
    <col min="5142" max="5142" width="11.140625" style="248" customWidth="1"/>
    <col min="5143" max="5143" width="12.5703125" style="248" customWidth="1"/>
    <col min="5144" max="5144" width="12.85546875" style="248" customWidth="1"/>
    <col min="5145" max="5375" width="9.140625" style="248" customWidth="1"/>
    <col min="5376" max="5376" width="3.28515625" style="248"/>
    <col min="5377" max="5377" width="3.28515625" style="248" customWidth="1"/>
    <col min="5378" max="5378" width="10.85546875" style="248" customWidth="1"/>
    <col min="5379" max="5379" width="36" style="248" customWidth="1"/>
    <col min="5380" max="5380" width="3.42578125" style="248" customWidth="1"/>
    <col min="5381" max="5381" width="11.28515625" style="248" customWidth="1"/>
    <col min="5382" max="5382" width="9.85546875" style="248" customWidth="1"/>
    <col min="5383" max="5383" width="10.7109375" style="248" customWidth="1"/>
    <col min="5384" max="5384" width="11.7109375" style="248" customWidth="1"/>
    <col min="5385" max="5385" width="12.140625" style="248" customWidth="1"/>
    <col min="5386" max="5387" width="11.5703125" style="248" customWidth="1"/>
    <col min="5388" max="5388" width="11.140625" style="248" customWidth="1"/>
    <col min="5389" max="5389" width="12.140625" style="248" customWidth="1"/>
    <col min="5390" max="5390" width="11.42578125" style="248" customWidth="1"/>
    <col min="5391" max="5391" width="12.140625" style="248" customWidth="1"/>
    <col min="5392" max="5392" width="12.28515625" style="248" customWidth="1"/>
    <col min="5393" max="5393" width="11.140625" style="248" customWidth="1"/>
    <col min="5394" max="5394" width="11.28515625" style="248" customWidth="1"/>
    <col min="5395" max="5395" width="11.7109375" style="248" customWidth="1"/>
    <col min="5396" max="5396" width="11.42578125" style="248" customWidth="1"/>
    <col min="5397" max="5397" width="11.28515625" style="248" customWidth="1"/>
    <col min="5398" max="5398" width="11.140625" style="248" customWidth="1"/>
    <col min="5399" max="5399" width="12.5703125" style="248" customWidth="1"/>
    <col min="5400" max="5400" width="12.85546875" style="248" customWidth="1"/>
    <col min="5401" max="5631" width="9.140625" style="248" customWidth="1"/>
    <col min="5632" max="5632" width="3.28515625" style="248"/>
    <col min="5633" max="5633" width="3.28515625" style="248" customWidth="1"/>
    <col min="5634" max="5634" width="10.85546875" style="248" customWidth="1"/>
    <col min="5635" max="5635" width="36" style="248" customWidth="1"/>
    <col min="5636" max="5636" width="3.42578125" style="248" customWidth="1"/>
    <col min="5637" max="5637" width="11.28515625" style="248" customWidth="1"/>
    <col min="5638" max="5638" width="9.85546875" style="248" customWidth="1"/>
    <col min="5639" max="5639" width="10.7109375" style="248" customWidth="1"/>
    <col min="5640" max="5640" width="11.7109375" style="248" customWidth="1"/>
    <col min="5641" max="5641" width="12.140625" style="248" customWidth="1"/>
    <col min="5642" max="5643" width="11.5703125" style="248" customWidth="1"/>
    <col min="5644" max="5644" width="11.140625" style="248" customWidth="1"/>
    <col min="5645" max="5645" width="12.140625" style="248" customWidth="1"/>
    <col min="5646" max="5646" width="11.42578125" style="248" customWidth="1"/>
    <col min="5647" max="5647" width="12.140625" style="248" customWidth="1"/>
    <col min="5648" max="5648" width="12.28515625" style="248" customWidth="1"/>
    <col min="5649" max="5649" width="11.140625" style="248" customWidth="1"/>
    <col min="5650" max="5650" width="11.28515625" style="248" customWidth="1"/>
    <col min="5651" max="5651" width="11.7109375" style="248" customWidth="1"/>
    <col min="5652" max="5652" width="11.42578125" style="248" customWidth="1"/>
    <col min="5653" max="5653" width="11.28515625" style="248" customWidth="1"/>
    <col min="5654" max="5654" width="11.140625" style="248" customWidth="1"/>
    <col min="5655" max="5655" width="12.5703125" style="248" customWidth="1"/>
    <col min="5656" max="5656" width="12.85546875" style="248" customWidth="1"/>
    <col min="5657" max="5887" width="9.140625" style="248" customWidth="1"/>
    <col min="5888" max="5888" width="3.28515625" style="248"/>
    <col min="5889" max="5889" width="3.28515625" style="248" customWidth="1"/>
    <col min="5890" max="5890" width="10.85546875" style="248" customWidth="1"/>
    <col min="5891" max="5891" width="36" style="248" customWidth="1"/>
    <col min="5892" max="5892" width="3.42578125" style="248" customWidth="1"/>
    <col min="5893" max="5893" width="11.28515625" style="248" customWidth="1"/>
    <col min="5894" max="5894" width="9.85546875" style="248" customWidth="1"/>
    <col min="5895" max="5895" width="10.7109375" style="248" customWidth="1"/>
    <col min="5896" max="5896" width="11.7109375" style="248" customWidth="1"/>
    <col min="5897" max="5897" width="12.140625" style="248" customWidth="1"/>
    <col min="5898" max="5899" width="11.5703125" style="248" customWidth="1"/>
    <col min="5900" max="5900" width="11.140625" style="248" customWidth="1"/>
    <col min="5901" max="5901" width="12.140625" style="248" customWidth="1"/>
    <col min="5902" max="5902" width="11.42578125" style="248" customWidth="1"/>
    <col min="5903" max="5903" width="12.140625" style="248" customWidth="1"/>
    <col min="5904" max="5904" width="12.28515625" style="248" customWidth="1"/>
    <col min="5905" max="5905" width="11.140625" style="248" customWidth="1"/>
    <col min="5906" max="5906" width="11.28515625" style="248" customWidth="1"/>
    <col min="5907" max="5907" width="11.7109375" style="248" customWidth="1"/>
    <col min="5908" max="5908" width="11.42578125" style="248" customWidth="1"/>
    <col min="5909" max="5909" width="11.28515625" style="248" customWidth="1"/>
    <col min="5910" max="5910" width="11.140625" style="248" customWidth="1"/>
    <col min="5911" max="5911" width="12.5703125" style="248" customWidth="1"/>
    <col min="5912" max="5912" width="12.85546875" style="248" customWidth="1"/>
    <col min="5913" max="6143" width="9.140625" style="248" customWidth="1"/>
    <col min="6144" max="6144" width="3.28515625" style="248"/>
    <col min="6145" max="6145" width="3.28515625" style="248" customWidth="1"/>
    <col min="6146" max="6146" width="10.85546875" style="248" customWidth="1"/>
    <col min="6147" max="6147" width="36" style="248" customWidth="1"/>
    <col min="6148" max="6148" width="3.42578125" style="248" customWidth="1"/>
    <col min="6149" max="6149" width="11.28515625" style="248" customWidth="1"/>
    <col min="6150" max="6150" width="9.85546875" style="248" customWidth="1"/>
    <col min="6151" max="6151" width="10.7109375" style="248" customWidth="1"/>
    <col min="6152" max="6152" width="11.7109375" style="248" customWidth="1"/>
    <col min="6153" max="6153" width="12.140625" style="248" customWidth="1"/>
    <col min="6154" max="6155" width="11.5703125" style="248" customWidth="1"/>
    <col min="6156" max="6156" width="11.140625" style="248" customWidth="1"/>
    <col min="6157" max="6157" width="12.140625" style="248" customWidth="1"/>
    <col min="6158" max="6158" width="11.42578125" style="248" customWidth="1"/>
    <col min="6159" max="6159" width="12.140625" style="248" customWidth="1"/>
    <col min="6160" max="6160" width="12.28515625" style="248" customWidth="1"/>
    <col min="6161" max="6161" width="11.140625" style="248" customWidth="1"/>
    <col min="6162" max="6162" width="11.28515625" style="248" customWidth="1"/>
    <col min="6163" max="6163" width="11.7109375" style="248" customWidth="1"/>
    <col min="6164" max="6164" width="11.42578125" style="248" customWidth="1"/>
    <col min="6165" max="6165" width="11.28515625" style="248" customWidth="1"/>
    <col min="6166" max="6166" width="11.140625" style="248" customWidth="1"/>
    <col min="6167" max="6167" width="12.5703125" style="248" customWidth="1"/>
    <col min="6168" max="6168" width="12.85546875" style="248" customWidth="1"/>
    <col min="6169" max="6399" width="9.140625" style="248" customWidth="1"/>
    <col min="6400" max="6400" width="3.28515625" style="248"/>
    <col min="6401" max="6401" width="3.28515625" style="248" customWidth="1"/>
    <col min="6402" max="6402" width="10.85546875" style="248" customWidth="1"/>
    <col min="6403" max="6403" width="36" style="248" customWidth="1"/>
    <col min="6404" max="6404" width="3.42578125" style="248" customWidth="1"/>
    <col min="6405" max="6405" width="11.28515625" style="248" customWidth="1"/>
    <col min="6406" max="6406" width="9.85546875" style="248" customWidth="1"/>
    <col min="6407" max="6407" width="10.7109375" style="248" customWidth="1"/>
    <col min="6408" max="6408" width="11.7109375" style="248" customWidth="1"/>
    <col min="6409" max="6409" width="12.140625" style="248" customWidth="1"/>
    <col min="6410" max="6411" width="11.5703125" style="248" customWidth="1"/>
    <col min="6412" max="6412" width="11.140625" style="248" customWidth="1"/>
    <col min="6413" max="6413" width="12.140625" style="248" customWidth="1"/>
    <col min="6414" max="6414" width="11.42578125" style="248" customWidth="1"/>
    <col min="6415" max="6415" width="12.140625" style="248" customWidth="1"/>
    <col min="6416" max="6416" width="12.28515625" style="248" customWidth="1"/>
    <col min="6417" max="6417" width="11.140625" style="248" customWidth="1"/>
    <col min="6418" max="6418" width="11.28515625" style="248" customWidth="1"/>
    <col min="6419" max="6419" width="11.7109375" style="248" customWidth="1"/>
    <col min="6420" max="6420" width="11.42578125" style="248" customWidth="1"/>
    <col min="6421" max="6421" width="11.28515625" style="248" customWidth="1"/>
    <col min="6422" max="6422" width="11.140625" style="248" customWidth="1"/>
    <col min="6423" max="6423" width="12.5703125" style="248" customWidth="1"/>
    <col min="6424" max="6424" width="12.85546875" style="248" customWidth="1"/>
    <col min="6425" max="6655" width="9.140625" style="248" customWidth="1"/>
    <col min="6656" max="6656" width="3.28515625" style="248"/>
    <col min="6657" max="6657" width="3.28515625" style="248" customWidth="1"/>
    <col min="6658" max="6658" width="10.85546875" style="248" customWidth="1"/>
    <col min="6659" max="6659" width="36" style="248" customWidth="1"/>
    <col min="6660" max="6660" width="3.42578125" style="248" customWidth="1"/>
    <col min="6661" max="6661" width="11.28515625" style="248" customWidth="1"/>
    <col min="6662" max="6662" width="9.85546875" style="248" customWidth="1"/>
    <col min="6663" max="6663" width="10.7109375" style="248" customWidth="1"/>
    <col min="6664" max="6664" width="11.7109375" style="248" customWidth="1"/>
    <col min="6665" max="6665" width="12.140625" style="248" customWidth="1"/>
    <col min="6666" max="6667" width="11.5703125" style="248" customWidth="1"/>
    <col min="6668" max="6668" width="11.140625" style="248" customWidth="1"/>
    <col min="6669" max="6669" width="12.140625" style="248" customWidth="1"/>
    <col min="6670" max="6670" width="11.42578125" style="248" customWidth="1"/>
    <col min="6671" max="6671" width="12.140625" style="248" customWidth="1"/>
    <col min="6672" max="6672" width="12.28515625" style="248" customWidth="1"/>
    <col min="6673" max="6673" width="11.140625" style="248" customWidth="1"/>
    <col min="6674" max="6674" width="11.28515625" style="248" customWidth="1"/>
    <col min="6675" max="6675" width="11.7109375" style="248" customWidth="1"/>
    <col min="6676" max="6676" width="11.42578125" style="248" customWidth="1"/>
    <col min="6677" max="6677" width="11.28515625" style="248" customWidth="1"/>
    <col min="6678" max="6678" width="11.140625" style="248" customWidth="1"/>
    <col min="6679" max="6679" width="12.5703125" style="248" customWidth="1"/>
    <col min="6680" max="6680" width="12.85546875" style="248" customWidth="1"/>
    <col min="6681" max="6911" width="9.140625" style="248" customWidth="1"/>
    <col min="6912" max="6912" width="3.28515625" style="248"/>
    <col min="6913" max="6913" width="3.28515625" style="248" customWidth="1"/>
    <col min="6914" max="6914" width="10.85546875" style="248" customWidth="1"/>
    <col min="6915" max="6915" width="36" style="248" customWidth="1"/>
    <col min="6916" max="6916" width="3.42578125" style="248" customWidth="1"/>
    <col min="6917" max="6917" width="11.28515625" style="248" customWidth="1"/>
    <col min="6918" max="6918" width="9.85546875" style="248" customWidth="1"/>
    <col min="6919" max="6919" width="10.7109375" style="248" customWidth="1"/>
    <col min="6920" max="6920" width="11.7109375" style="248" customWidth="1"/>
    <col min="6921" max="6921" width="12.140625" style="248" customWidth="1"/>
    <col min="6922" max="6923" width="11.5703125" style="248" customWidth="1"/>
    <col min="6924" max="6924" width="11.140625" style="248" customWidth="1"/>
    <col min="6925" max="6925" width="12.140625" style="248" customWidth="1"/>
    <col min="6926" max="6926" width="11.42578125" style="248" customWidth="1"/>
    <col min="6927" max="6927" width="12.140625" style="248" customWidth="1"/>
    <col min="6928" max="6928" width="12.28515625" style="248" customWidth="1"/>
    <col min="6929" max="6929" width="11.140625" style="248" customWidth="1"/>
    <col min="6930" max="6930" width="11.28515625" style="248" customWidth="1"/>
    <col min="6931" max="6931" width="11.7109375" style="248" customWidth="1"/>
    <col min="6932" max="6932" width="11.42578125" style="248" customWidth="1"/>
    <col min="6933" max="6933" width="11.28515625" style="248" customWidth="1"/>
    <col min="6934" max="6934" width="11.140625" style="248" customWidth="1"/>
    <col min="6935" max="6935" width="12.5703125" style="248" customWidth="1"/>
    <col min="6936" max="6936" width="12.85546875" style="248" customWidth="1"/>
    <col min="6937" max="7167" width="9.140625" style="248" customWidth="1"/>
    <col min="7168" max="7168" width="3.28515625" style="248"/>
    <col min="7169" max="7169" width="3.28515625" style="248" customWidth="1"/>
    <col min="7170" max="7170" width="10.85546875" style="248" customWidth="1"/>
    <col min="7171" max="7171" width="36" style="248" customWidth="1"/>
    <col min="7172" max="7172" width="3.42578125" style="248" customWidth="1"/>
    <col min="7173" max="7173" width="11.28515625" style="248" customWidth="1"/>
    <col min="7174" max="7174" width="9.85546875" style="248" customWidth="1"/>
    <col min="7175" max="7175" width="10.7109375" style="248" customWidth="1"/>
    <col min="7176" max="7176" width="11.7109375" style="248" customWidth="1"/>
    <col min="7177" max="7177" width="12.140625" style="248" customWidth="1"/>
    <col min="7178" max="7179" width="11.5703125" style="248" customWidth="1"/>
    <col min="7180" max="7180" width="11.140625" style="248" customWidth="1"/>
    <col min="7181" max="7181" width="12.140625" style="248" customWidth="1"/>
    <col min="7182" max="7182" width="11.42578125" style="248" customWidth="1"/>
    <col min="7183" max="7183" width="12.140625" style="248" customWidth="1"/>
    <col min="7184" max="7184" width="12.28515625" style="248" customWidth="1"/>
    <col min="7185" max="7185" width="11.140625" style="248" customWidth="1"/>
    <col min="7186" max="7186" width="11.28515625" style="248" customWidth="1"/>
    <col min="7187" max="7187" width="11.7109375" style="248" customWidth="1"/>
    <col min="7188" max="7188" width="11.42578125" style="248" customWidth="1"/>
    <col min="7189" max="7189" width="11.28515625" style="248" customWidth="1"/>
    <col min="7190" max="7190" width="11.140625" style="248" customWidth="1"/>
    <col min="7191" max="7191" width="12.5703125" style="248" customWidth="1"/>
    <col min="7192" max="7192" width="12.85546875" style="248" customWidth="1"/>
    <col min="7193" max="7423" width="9.140625" style="248" customWidth="1"/>
    <col min="7424" max="7424" width="3.28515625" style="248"/>
    <col min="7425" max="7425" width="3.28515625" style="248" customWidth="1"/>
    <col min="7426" max="7426" width="10.85546875" style="248" customWidth="1"/>
    <col min="7427" max="7427" width="36" style="248" customWidth="1"/>
    <col min="7428" max="7428" width="3.42578125" style="248" customWidth="1"/>
    <col min="7429" max="7429" width="11.28515625" style="248" customWidth="1"/>
    <col min="7430" max="7430" width="9.85546875" style="248" customWidth="1"/>
    <col min="7431" max="7431" width="10.7109375" style="248" customWidth="1"/>
    <col min="7432" max="7432" width="11.7109375" style="248" customWidth="1"/>
    <col min="7433" max="7433" width="12.140625" style="248" customWidth="1"/>
    <col min="7434" max="7435" width="11.5703125" style="248" customWidth="1"/>
    <col min="7436" max="7436" width="11.140625" style="248" customWidth="1"/>
    <col min="7437" max="7437" width="12.140625" style="248" customWidth="1"/>
    <col min="7438" max="7438" width="11.42578125" style="248" customWidth="1"/>
    <col min="7439" max="7439" width="12.140625" style="248" customWidth="1"/>
    <col min="7440" max="7440" width="12.28515625" style="248" customWidth="1"/>
    <col min="7441" max="7441" width="11.140625" style="248" customWidth="1"/>
    <col min="7442" max="7442" width="11.28515625" style="248" customWidth="1"/>
    <col min="7443" max="7443" width="11.7109375" style="248" customWidth="1"/>
    <col min="7444" max="7444" width="11.42578125" style="248" customWidth="1"/>
    <col min="7445" max="7445" width="11.28515625" style="248" customWidth="1"/>
    <col min="7446" max="7446" width="11.140625" style="248" customWidth="1"/>
    <col min="7447" max="7447" width="12.5703125" style="248" customWidth="1"/>
    <col min="7448" max="7448" width="12.85546875" style="248" customWidth="1"/>
    <col min="7449" max="7679" width="9.140625" style="248" customWidth="1"/>
    <col min="7680" max="7680" width="3.28515625" style="248"/>
    <col min="7681" max="7681" width="3.28515625" style="248" customWidth="1"/>
    <col min="7682" max="7682" width="10.85546875" style="248" customWidth="1"/>
    <col min="7683" max="7683" width="36" style="248" customWidth="1"/>
    <col min="7684" max="7684" width="3.42578125" style="248" customWidth="1"/>
    <col min="7685" max="7685" width="11.28515625" style="248" customWidth="1"/>
    <col min="7686" max="7686" width="9.85546875" style="248" customWidth="1"/>
    <col min="7687" max="7687" width="10.7109375" style="248" customWidth="1"/>
    <col min="7688" max="7688" width="11.7109375" style="248" customWidth="1"/>
    <col min="7689" max="7689" width="12.140625" style="248" customWidth="1"/>
    <col min="7690" max="7691" width="11.5703125" style="248" customWidth="1"/>
    <col min="7692" max="7692" width="11.140625" style="248" customWidth="1"/>
    <col min="7693" max="7693" width="12.140625" style="248" customWidth="1"/>
    <col min="7694" max="7694" width="11.42578125" style="248" customWidth="1"/>
    <col min="7695" max="7695" width="12.140625" style="248" customWidth="1"/>
    <col min="7696" max="7696" width="12.28515625" style="248" customWidth="1"/>
    <col min="7697" max="7697" width="11.140625" style="248" customWidth="1"/>
    <col min="7698" max="7698" width="11.28515625" style="248" customWidth="1"/>
    <col min="7699" max="7699" width="11.7109375" style="248" customWidth="1"/>
    <col min="7700" max="7700" width="11.42578125" style="248" customWidth="1"/>
    <col min="7701" max="7701" width="11.28515625" style="248" customWidth="1"/>
    <col min="7702" max="7702" width="11.140625" style="248" customWidth="1"/>
    <col min="7703" max="7703" width="12.5703125" style="248" customWidth="1"/>
    <col min="7704" max="7704" width="12.85546875" style="248" customWidth="1"/>
    <col min="7705" max="7935" width="9.140625" style="248" customWidth="1"/>
    <col min="7936" max="7936" width="3.28515625" style="248"/>
    <col min="7937" max="7937" width="3.28515625" style="248" customWidth="1"/>
    <col min="7938" max="7938" width="10.85546875" style="248" customWidth="1"/>
    <col min="7939" max="7939" width="36" style="248" customWidth="1"/>
    <col min="7940" max="7940" width="3.42578125" style="248" customWidth="1"/>
    <col min="7941" max="7941" width="11.28515625" style="248" customWidth="1"/>
    <col min="7942" max="7942" width="9.85546875" style="248" customWidth="1"/>
    <col min="7943" max="7943" width="10.7109375" style="248" customWidth="1"/>
    <col min="7944" max="7944" width="11.7109375" style="248" customWidth="1"/>
    <col min="7945" max="7945" width="12.140625" style="248" customWidth="1"/>
    <col min="7946" max="7947" width="11.5703125" style="248" customWidth="1"/>
    <col min="7948" max="7948" width="11.140625" style="248" customWidth="1"/>
    <col min="7949" max="7949" width="12.140625" style="248" customWidth="1"/>
    <col min="7950" max="7950" width="11.42578125" style="248" customWidth="1"/>
    <col min="7951" max="7951" width="12.140625" style="248" customWidth="1"/>
    <col min="7952" max="7952" width="12.28515625" style="248" customWidth="1"/>
    <col min="7953" max="7953" width="11.140625" style="248" customWidth="1"/>
    <col min="7954" max="7954" width="11.28515625" style="248" customWidth="1"/>
    <col min="7955" max="7955" width="11.7109375" style="248" customWidth="1"/>
    <col min="7956" max="7956" width="11.42578125" style="248" customWidth="1"/>
    <col min="7957" max="7957" width="11.28515625" style="248" customWidth="1"/>
    <col min="7958" max="7958" width="11.140625" style="248" customWidth="1"/>
    <col min="7959" max="7959" width="12.5703125" style="248" customWidth="1"/>
    <col min="7960" max="7960" width="12.85546875" style="248" customWidth="1"/>
    <col min="7961" max="8191" width="9.140625" style="248" customWidth="1"/>
    <col min="8192" max="8192" width="3.28515625" style="248"/>
    <col min="8193" max="8193" width="3.28515625" style="248" customWidth="1"/>
    <col min="8194" max="8194" width="10.85546875" style="248" customWidth="1"/>
    <col min="8195" max="8195" width="36" style="248" customWidth="1"/>
    <col min="8196" max="8196" width="3.42578125" style="248" customWidth="1"/>
    <col min="8197" max="8197" width="11.28515625" style="248" customWidth="1"/>
    <col min="8198" max="8198" width="9.85546875" style="248" customWidth="1"/>
    <col min="8199" max="8199" width="10.7109375" style="248" customWidth="1"/>
    <col min="8200" max="8200" width="11.7109375" style="248" customWidth="1"/>
    <col min="8201" max="8201" width="12.140625" style="248" customWidth="1"/>
    <col min="8202" max="8203" width="11.5703125" style="248" customWidth="1"/>
    <col min="8204" max="8204" width="11.140625" style="248" customWidth="1"/>
    <col min="8205" max="8205" width="12.140625" style="248" customWidth="1"/>
    <col min="8206" max="8206" width="11.42578125" style="248" customWidth="1"/>
    <col min="8207" max="8207" width="12.140625" style="248" customWidth="1"/>
    <col min="8208" max="8208" width="12.28515625" style="248" customWidth="1"/>
    <col min="8209" max="8209" width="11.140625" style="248" customWidth="1"/>
    <col min="8210" max="8210" width="11.28515625" style="248" customWidth="1"/>
    <col min="8211" max="8211" width="11.7109375" style="248" customWidth="1"/>
    <col min="8212" max="8212" width="11.42578125" style="248" customWidth="1"/>
    <col min="8213" max="8213" width="11.28515625" style="248" customWidth="1"/>
    <col min="8214" max="8214" width="11.140625" style="248" customWidth="1"/>
    <col min="8215" max="8215" width="12.5703125" style="248" customWidth="1"/>
    <col min="8216" max="8216" width="12.85546875" style="248" customWidth="1"/>
    <col min="8217" max="8447" width="9.140625" style="248" customWidth="1"/>
    <col min="8448" max="8448" width="3.28515625" style="248"/>
    <col min="8449" max="8449" width="3.28515625" style="248" customWidth="1"/>
    <col min="8450" max="8450" width="10.85546875" style="248" customWidth="1"/>
    <col min="8451" max="8451" width="36" style="248" customWidth="1"/>
    <col min="8452" max="8452" width="3.42578125" style="248" customWidth="1"/>
    <col min="8453" max="8453" width="11.28515625" style="248" customWidth="1"/>
    <col min="8454" max="8454" width="9.85546875" style="248" customWidth="1"/>
    <col min="8455" max="8455" width="10.7109375" style="248" customWidth="1"/>
    <col min="8456" max="8456" width="11.7109375" style="248" customWidth="1"/>
    <col min="8457" max="8457" width="12.140625" style="248" customWidth="1"/>
    <col min="8458" max="8459" width="11.5703125" style="248" customWidth="1"/>
    <col min="8460" max="8460" width="11.140625" style="248" customWidth="1"/>
    <col min="8461" max="8461" width="12.140625" style="248" customWidth="1"/>
    <col min="8462" max="8462" width="11.42578125" style="248" customWidth="1"/>
    <col min="8463" max="8463" width="12.140625" style="248" customWidth="1"/>
    <col min="8464" max="8464" width="12.28515625" style="248" customWidth="1"/>
    <col min="8465" max="8465" width="11.140625" style="248" customWidth="1"/>
    <col min="8466" max="8466" width="11.28515625" style="248" customWidth="1"/>
    <col min="8467" max="8467" width="11.7109375" style="248" customWidth="1"/>
    <col min="8468" max="8468" width="11.42578125" style="248" customWidth="1"/>
    <col min="8469" max="8469" width="11.28515625" style="248" customWidth="1"/>
    <col min="8470" max="8470" width="11.140625" style="248" customWidth="1"/>
    <col min="8471" max="8471" width="12.5703125" style="248" customWidth="1"/>
    <col min="8472" max="8472" width="12.85546875" style="248" customWidth="1"/>
    <col min="8473" max="8703" width="9.140625" style="248" customWidth="1"/>
    <col min="8704" max="8704" width="3.28515625" style="248"/>
    <col min="8705" max="8705" width="3.28515625" style="248" customWidth="1"/>
    <col min="8706" max="8706" width="10.85546875" style="248" customWidth="1"/>
    <col min="8707" max="8707" width="36" style="248" customWidth="1"/>
    <col min="8708" max="8708" width="3.42578125" style="248" customWidth="1"/>
    <col min="8709" max="8709" width="11.28515625" style="248" customWidth="1"/>
    <col min="8710" max="8710" width="9.85546875" style="248" customWidth="1"/>
    <col min="8711" max="8711" width="10.7109375" style="248" customWidth="1"/>
    <col min="8712" max="8712" width="11.7109375" style="248" customWidth="1"/>
    <col min="8713" max="8713" width="12.140625" style="248" customWidth="1"/>
    <col min="8714" max="8715" width="11.5703125" style="248" customWidth="1"/>
    <col min="8716" max="8716" width="11.140625" style="248" customWidth="1"/>
    <col min="8717" max="8717" width="12.140625" style="248" customWidth="1"/>
    <col min="8718" max="8718" width="11.42578125" style="248" customWidth="1"/>
    <col min="8719" max="8719" width="12.140625" style="248" customWidth="1"/>
    <col min="8720" max="8720" width="12.28515625" style="248" customWidth="1"/>
    <col min="8721" max="8721" width="11.140625" style="248" customWidth="1"/>
    <col min="8722" max="8722" width="11.28515625" style="248" customWidth="1"/>
    <col min="8723" max="8723" width="11.7109375" style="248" customWidth="1"/>
    <col min="8724" max="8724" width="11.42578125" style="248" customWidth="1"/>
    <col min="8725" max="8725" width="11.28515625" style="248" customWidth="1"/>
    <col min="8726" max="8726" width="11.140625" style="248" customWidth="1"/>
    <col min="8727" max="8727" width="12.5703125" style="248" customWidth="1"/>
    <col min="8728" max="8728" width="12.85546875" style="248" customWidth="1"/>
    <col min="8729" max="8959" width="9.140625" style="248" customWidth="1"/>
    <col min="8960" max="8960" width="3.28515625" style="248"/>
    <col min="8961" max="8961" width="3.28515625" style="248" customWidth="1"/>
    <col min="8962" max="8962" width="10.85546875" style="248" customWidth="1"/>
    <col min="8963" max="8963" width="36" style="248" customWidth="1"/>
    <col min="8964" max="8964" width="3.42578125" style="248" customWidth="1"/>
    <col min="8965" max="8965" width="11.28515625" style="248" customWidth="1"/>
    <col min="8966" max="8966" width="9.85546875" style="248" customWidth="1"/>
    <col min="8967" max="8967" width="10.7109375" style="248" customWidth="1"/>
    <col min="8968" max="8968" width="11.7109375" style="248" customWidth="1"/>
    <col min="8969" max="8969" width="12.140625" style="248" customWidth="1"/>
    <col min="8970" max="8971" width="11.5703125" style="248" customWidth="1"/>
    <col min="8972" max="8972" width="11.140625" style="248" customWidth="1"/>
    <col min="8973" max="8973" width="12.140625" style="248" customWidth="1"/>
    <col min="8974" max="8974" width="11.42578125" style="248" customWidth="1"/>
    <col min="8975" max="8975" width="12.140625" style="248" customWidth="1"/>
    <col min="8976" max="8976" width="12.28515625" style="248" customWidth="1"/>
    <col min="8977" max="8977" width="11.140625" style="248" customWidth="1"/>
    <col min="8978" max="8978" width="11.28515625" style="248" customWidth="1"/>
    <col min="8979" max="8979" width="11.7109375" style="248" customWidth="1"/>
    <col min="8980" max="8980" width="11.42578125" style="248" customWidth="1"/>
    <col min="8981" max="8981" width="11.28515625" style="248" customWidth="1"/>
    <col min="8982" max="8982" width="11.140625" style="248" customWidth="1"/>
    <col min="8983" max="8983" width="12.5703125" style="248" customWidth="1"/>
    <col min="8984" max="8984" width="12.85546875" style="248" customWidth="1"/>
    <col min="8985" max="9215" width="9.140625" style="248" customWidth="1"/>
    <col min="9216" max="9216" width="3.28515625" style="248"/>
    <col min="9217" max="9217" width="3.28515625" style="248" customWidth="1"/>
    <col min="9218" max="9218" width="10.85546875" style="248" customWidth="1"/>
    <col min="9219" max="9219" width="36" style="248" customWidth="1"/>
    <col min="9220" max="9220" width="3.42578125" style="248" customWidth="1"/>
    <col min="9221" max="9221" width="11.28515625" style="248" customWidth="1"/>
    <col min="9222" max="9222" width="9.85546875" style="248" customWidth="1"/>
    <col min="9223" max="9223" width="10.7109375" style="248" customWidth="1"/>
    <col min="9224" max="9224" width="11.7109375" style="248" customWidth="1"/>
    <col min="9225" max="9225" width="12.140625" style="248" customWidth="1"/>
    <col min="9226" max="9227" width="11.5703125" style="248" customWidth="1"/>
    <col min="9228" max="9228" width="11.140625" style="248" customWidth="1"/>
    <col min="9229" max="9229" width="12.140625" style="248" customWidth="1"/>
    <col min="9230" max="9230" width="11.42578125" style="248" customWidth="1"/>
    <col min="9231" max="9231" width="12.140625" style="248" customWidth="1"/>
    <col min="9232" max="9232" width="12.28515625" style="248" customWidth="1"/>
    <col min="9233" max="9233" width="11.140625" style="248" customWidth="1"/>
    <col min="9234" max="9234" width="11.28515625" style="248" customWidth="1"/>
    <col min="9235" max="9235" width="11.7109375" style="248" customWidth="1"/>
    <col min="9236" max="9236" width="11.42578125" style="248" customWidth="1"/>
    <col min="9237" max="9237" width="11.28515625" style="248" customWidth="1"/>
    <col min="9238" max="9238" width="11.140625" style="248" customWidth="1"/>
    <col min="9239" max="9239" width="12.5703125" style="248" customWidth="1"/>
    <col min="9240" max="9240" width="12.85546875" style="248" customWidth="1"/>
    <col min="9241" max="9471" width="9.140625" style="248" customWidth="1"/>
    <col min="9472" max="9472" width="3.28515625" style="248"/>
    <col min="9473" max="9473" width="3.28515625" style="248" customWidth="1"/>
    <col min="9474" max="9474" width="10.85546875" style="248" customWidth="1"/>
    <col min="9475" max="9475" width="36" style="248" customWidth="1"/>
    <col min="9476" max="9476" width="3.42578125" style="248" customWidth="1"/>
    <col min="9477" max="9477" width="11.28515625" style="248" customWidth="1"/>
    <col min="9478" max="9478" width="9.85546875" style="248" customWidth="1"/>
    <col min="9479" max="9479" width="10.7109375" style="248" customWidth="1"/>
    <col min="9480" max="9480" width="11.7109375" style="248" customWidth="1"/>
    <col min="9481" max="9481" width="12.140625" style="248" customWidth="1"/>
    <col min="9482" max="9483" width="11.5703125" style="248" customWidth="1"/>
    <col min="9484" max="9484" width="11.140625" style="248" customWidth="1"/>
    <col min="9485" max="9485" width="12.140625" style="248" customWidth="1"/>
    <col min="9486" max="9486" width="11.42578125" style="248" customWidth="1"/>
    <col min="9487" max="9487" width="12.140625" style="248" customWidth="1"/>
    <col min="9488" max="9488" width="12.28515625" style="248" customWidth="1"/>
    <col min="9489" max="9489" width="11.140625" style="248" customWidth="1"/>
    <col min="9490" max="9490" width="11.28515625" style="248" customWidth="1"/>
    <col min="9491" max="9491" width="11.7109375" style="248" customWidth="1"/>
    <col min="9492" max="9492" width="11.42578125" style="248" customWidth="1"/>
    <col min="9493" max="9493" width="11.28515625" style="248" customWidth="1"/>
    <col min="9494" max="9494" width="11.140625" style="248" customWidth="1"/>
    <col min="9495" max="9495" width="12.5703125" style="248" customWidth="1"/>
    <col min="9496" max="9496" width="12.85546875" style="248" customWidth="1"/>
    <col min="9497" max="9727" width="9.140625" style="248" customWidth="1"/>
    <col min="9728" max="9728" width="3.28515625" style="248"/>
    <col min="9729" max="9729" width="3.28515625" style="248" customWidth="1"/>
    <col min="9730" max="9730" width="10.85546875" style="248" customWidth="1"/>
    <col min="9731" max="9731" width="36" style="248" customWidth="1"/>
    <col min="9732" max="9732" width="3.42578125" style="248" customWidth="1"/>
    <col min="9733" max="9733" width="11.28515625" style="248" customWidth="1"/>
    <col min="9734" max="9734" width="9.85546875" style="248" customWidth="1"/>
    <col min="9735" max="9735" width="10.7109375" style="248" customWidth="1"/>
    <col min="9736" max="9736" width="11.7109375" style="248" customWidth="1"/>
    <col min="9737" max="9737" width="12.140625" style="248" customWidth="1"/>
    <col min="9738" max="9739" width="11.5703125" style="248" customWidth="1"/>
    <col min="9740" max="9740" width="11.140625" style="248" customWidth="1"/>
    <col min="9741" max="9741" width="12.140625" style="248" customWidth="1"/>
    <col min="9742" max="9742" width="11.42578125" style="248" customWidth="1"/>
    <col min="9743" max="9743" width="12.140625" style="248" customWidth="1"/>
    <col min="9744" max="9744" width="12.28515625" style="248" customWidth="1"/>
    <col min="9745" max="9745" width="11.140625" style="248" customWidth="1"/>
    <col min="9746" max="9746" width="11.28515625" style="248" customWidth="1"/>
    <col min="9747" max="9747" width="11.7109375" style="248" customWidth="1"/>
    <col min="9748" max="9748" width="11.42578125" style="248" customWidth="1"/>
    <col min="9749" max="9749" width="11.28515625" style="248" customWidth="1"/>
    <col min="9750" max="9750" width="11.140625" style="248" customWidth="1"/>
    <col min="9751" max="9751" width="12.5703125" style="248" customWidth="1"/>
    <col min="9752" max="9752" width="12.85546875" style="248" customWidth="1"/>
    <col min="9753" max="9983" width="9.140625" style="248" customWidth="1"/>
    <col min="9984" max="9984" width="3.28515625" style="248"/>
    <col min="9985" max="9985" width="3.28515625" style="248" customWidth="1"/>
    <col min="9986" max="9986" width="10.85546875" style="248" customWidth="1"/>
    <col min="9987" max="9987" width="36" style="248" customWidth="1"/>
    <col min="9988" max="9988" width="3.42578125" style="248" customWidth="1"/>
    <col min="9989" max="9989" width="11.28515625" style="248" customWidth="1"/>
    <col min="9990" max="9990" width="9.85546875" style="248" customWidth="1"/>
    <col min="9991" max="9991" width="10.7109375" style="248" customWidth="1"/>
    <col min="9992" max="9992" width="11.7109375" style="248" customWidth="1"/>
    <col min="9993" max="9993" width="12.140625" style="248" customWidth="1"/>
    <col min="9994" max="9995" width="11.5703125" style="248" customWidth="1"/>
    <col min="9996" max="9996" width="11.140625" style="248" customWidth="1"/>
    <col min="9997" max="9997" width="12.140625" style="248" customWidth="1"/>
    <col min="9998" max="9998" width="11.42578125" style="248" customWidth="1"/>
    <col min="9999" max="9999" width="12.140625" style="248" customWidth="1"/>
    <col min="10000" max="10000" width="12.28515625" style="248" customWidth="1"/>
    <col min="10001" max="10001" width="11.140625" style="248" customWidth="1"/>
    <col min="10002" max="10002" width="11.28515625" style="248" customWidth="1"/>
    <col min="10003" max="10003" width="11.7109375" style="248" customWidth="1"/>
    <col min="10004" max="10004" width="11.42578125" style="248" customWidth="1"/>
    <col min="10005" max="10005" width="11.28515625" style="248" customWidth="1"/>
    <col min="10006" max="10006" width="11.140625" style="248" customWidth="1"/>
    <col min="10007" max="10007" width="12.5703125" style="248" customWidth="1"/>
    <col min="10008" max="10008" width="12.85546875" style="248" customWidth="1"/>
    <col min="10009" max="10239" width="9.140625" style="248" customWidth="1"/>
    <col min="10240" max="10240" width="3.28515625" style="248"/>
    <col min="10241" max="10241" width="3.28515625" style="248" customWidth="1"/>
    <col min="10242" max="10242" width="10.85546875" style="248" customWidth="1"/>
    <col min="10243" max="10243" width="36" style="248" customWidth="1"/>
    <col min="10244" max="10244" width="3.42578125" style="248" customWidth="1"/>
    <col min="10245" max="10245" width="11.28515625" style="248" customWidth="1"/>
    <col min="10246" max="10246" width="9.85546875" style="248" customWidth="1"/>
    <col min="10247" max="10247" width="10.7109375" style="248" customWidth="1"/>
    <col min="10248" max="10248" width="11.7109375" style="248" customWidth="1"/>
    <col min="10249" max="10249" width="12.140625" style="248" customWidth="1"/>
    <col min="10250" max="10251" width="11.5703125" style="248" customWidth="1"/>
    <col min="10252" max="10252" width="11.140625" style="248" customWidth="1"/>
    <col min="10253" max="10253" width="12.140625" style="248" customWidth="1"/>
    <col min="10254" max="10254" width="11.42578125" style="248" customWidth="1"/>
    <col min="10255" max="10255" width="12.140625" style="248" customWidth="1"/>
    <col min="10256" max="10256" width="12.28515625" style="248" customWidth="1"/>
    <col min="10257" max="10257" width="11.140625" style="248" customWidth="1"/>
    <col min="10258" max="10258" width="11.28515625" style="248" customWidth="1"/>
    <col min="10259" max="10259" width="11.7109375" style="248" customWidth="1"/>
    <col min="10260" max="10260" width="11.42578125" style="248" customWidth="1"/>
    <col min="10261" max="10261" width="11.28515625" style="248" customWidth="1"/>
    <col min="10262" max="10262" width="11.140625" style="248" customWidth="1"/>
    <col min="10263" max="10263" width="12.5703125" style="248" customWidth="1"/>
    <col min="10264" max="10264" width="12.85546875" style="248" customWidth="1"/>
    <col min="10265" max="10495" width="9.140625" style="248" customWidth="1"/>
    <col min="10496" max="10496" width="3.28515625" style="248"/>
    <col min="10497" max="10497" width="3.28515625" style="248" customWidth="1"/>
    <col min="10498" max="10498" width="10.85546875" style="248" customWidth="1"/>
    <col min="10499" max="10499" width="36" style="248" customWidth="1"/>
    <col min="10500" max="10500" width="3.42578125" style="248" customWidth="1"/>
    <col min="10501" max="10501" width="11.28515625" style="248" customWidth="1"/>
    <col min="10502" max="10502" width="9.85546875" style="248" customWidth="1"/>
    <col min="10503" max="10503" width="10.7109375" style="248" customWidth="1"/>
    <col min="10504" max="10504" width="11.7109375" style="248" customWidth="1"/>
    <col min="10505" max="10505" width="12.140625" style="248" customWidth="1"/>
    <col min="10506" max="10507" width="11.5703125" style="248" customWidth="1"/>
    <col min="10508" max="10508" width="11.140625" style="248" customWidth="1"/>
    <col min="10509" max="10509" width="12.140625" style="248" customWidth="1"/>
    <col min="10510" max="10510" width="11.42578125" style="248" customWidth="1"/>
    <col min="10511" max="10511" width="12.140625" style="248" customWidth="1"/>
    <col min="10512" max="10512" width="12.28515625" style="248" customWidth="1"/>
    <col min="10513" max="10513" width="11.140625" style="248" customWidth="1"/>
    <col min="10514" max="10514" width="11.28515625" style="248" customWidth="1"/>
    <col min="10515" max="10515" width="11.7109375" style="248" customWidth="1"/>
    <col min="10516" max="10516" width="11.42578125" style="248" customWidth="1"/>
    <col min="10517" max="10517" width="11.28515625" style="248" customWidth="1"/>
    <col min="10518" max="10518" width="11.140625" style="248" customWidth="1"/>
    <col min="10519" max="10519" width="12.5703125" style="248" customWidth="1"/>
    <col min="10520" max="10520" width="12.85546875" style="248" customWidth="1"/>
    <col min="10521" max="10751" width="9.140625" style="248" customWidth="1"/>
    <col min="10752" max="10752" width="3.28515625" style="248"/>
    <col min="10753" max="10753" width="3.28515625" style="248" customWidth="1"/>
    <col min="10754" max="10754" width="10.85546875" style="248" customWidth="1"/>
    <col min="10755" max="10755" width="36" style="248" customWidth="1"/>
    <col min="10756" max="10756" width="3.42578125" style="248" customWidth="1"/>
    <col min="10757" max="10757" width="11.28515625" style="248" customWidth="1"/>
    <col min="10758" max="10758" width="9.85546875" style="248" customWidth="1"/>
    <col min="10759" max="10759" width="10.7109375" style="248" customWidth="1"/>
    <col min="10760" max="10760" width="11.7109375" style="248" customWidth="1"/>
    <col min="10761" max="10761" width="12.140625" style="248" customWidth="1"/>
    <col min="10762" max="10763" width="11.5703125" style="248" customWidth="1"/>
    <col min="10764" max="10764" width="11.140625" style="248" customWidth="1"/>
    <col min="10765" max="10765" width="12.140625" style="248" customWidth="1"/>
    <col min="10766" max="10766" width="11.42578125" style="248" customWidth="1"/>
    <col min="10767" max="10767" width="12.140625" style="248" customWidth="1"/>
    <col min="10768" max="10768" width="12.28515625" style="248" customWidth="1"/>
    <col min="10769" max="10769" width="11.140625" style="248" customWidth="1"/>
    <col min="10770" max="10770" width="11.28515625" style="248" customWidth="1"/>
    <col min="10771" max="10771" width="11.7109375" style="248" customWidth="1"/>
    <col min="10772" max="10772" width="11.42578125" style="248" customWidth="1"/>
    <col min="10773" max="10773" width="11.28515625" style="248" customWidth="1"/>
    <col min="10774" max="10774" width="11.140625" style="248" customWidth="1"/>
    <col min="10775" max="10775" width="12.5703125" style="248" customWidth="1"/>
    <col min="10776" max="10776" width="12.85546875" style="248" customWidth="1"/>
    <col min="10777" max="11007" width="9.140625" style="248" customWidth="1"/>
    <col min="11008" max="11008" width="3.28515625" style="248"/>
    <col min="11009" max="11009" width="3.28515625" style="248" customWidth="1"/>
    <col min="11010" max="11010" width="10.85546875" style="248" customWidth="1"/>
    <col min="11011" max="11011" width="36" style="248" customWidth="1"/>
    <col min="11012" max="11012" width="3.42578125" style="248" customWidth="1"/>
    <col min="11013" max="11013" width="11.28515625" style="248" customWidth="1"/>
    <col min="11014" max="11014" width="9.85546875" style="248" customWidth="1"/>
    <col min="11015" max="11015" width="10.7109375" style="248" customWidth="1"/>
    <col min="11016" max="11016" width="11.7109375" style="248" customWidth="1"/>
    <col min="11017" max="11017" width="12.140625" style="248" customWidth="1"/>
    <col min="11018" max="11019" width="11.5703125" style="248" customWidth="1"/>
    <col min="11020" max="11020" width="11.140625" style="248" customWidth="1"/>
    <col min="11021" max="11021" width="12.140625" style="248" customWidth="1"/>
    <col min="11022" max="11022" width="11.42578125" style="248" customWidth="1"/>
    <col min="11023" max="11023" width="12.140625" style="248" customWidth="1"/>
    <col min="11024" max="11024" width="12.28515625" style="248" customWidth="1"/>
    <col min="11025" max="11025" width="11.140625" style="248" customWidth="1"/>
    <col min="11026" max="11026" width="11.28515625" style="248" customWidth="1"/>
    <col min="11027" max="11027" width="11.7109375" style="248" customWidth="1"/>
    <col min="11028" max="11028" width="11.42578125" style="248" customWidth="1"/>
    <col min="11029" max="11029" width="11.28515625" style="248" customWidth="1"/>
    <col min="11030" max="11030" width="11.140625" style="248" customWidth="1"/>
    <col min="11031" max="11031" width="12.5703125" style="248" customWidth="1"/>
    <col min="11032" max="11032" width="12.85546875" style="248" customWidth="1"/>
    <col min="11033" max="11263" width="9.140625" style="248" customWidth="1"/>
    <col min="11264" max="11264" width="3.28515625" style="248"/>
    <col min="11265" max="11265" width="3.28515625" style="248" customWidth="1"/>
    <col min="11266" max="11266" width="10.85546875" style="248" customWidth="1"/>
    <col min="11267" max="11267" width="36" style="248" customWidth="1"/>
    <col min="11268" max="11268" width="3.42578125" style="248" customWidth="1"/>
    <col min="11269" max="11269" width="11.28515625" style="248" customWidth="1"/>
    <col min="11270" max="11270" width="9.85546875" style="248" customWidth="1"/>
    <col min="11271" max="11271" width="10.7109375" style="248" customWidth="1"/>
    <col min="11272" max="11272" width="11.7109375" style="248" customWidth="1"/>
    <col min="11273" max="11273" width="12.140625" style="248" customWidth="1"/>
    <col min="11274" max="11275" width="11.5703125" style="248" customWidth="1"/>
    <col min="11276" max="11276" width="11.140625" style="248" customWidth="1"/>
    <col min="11277" max="11277" width="12.140625" style="248" customWidth="1"/>
    <col min="11278" max="11278" width="11.42578125" style="248" customWidth="1"/>
    <col min="11279" max="11279" width="12.140625" style="248" customWidth="1"/>
    <col min="11280" max="11280" width="12.28515625" style="248" customWidth="1"/>
    <col min="11281" max="11281" width="11.140625" style="248" customWidth="1"/>
    <col min="11282" max="11282" width="11.28515625" style="248" customWidth="1"/>
    <col min="11283" max="11283" width="11.7109375" style="248" customWidth="1"/>
    <col min="11284" max="11284" width="11.42578125" style="248" customWidth="1"/>
    <col min="11285" max="11285" width="11.28515625" style="248" customWidth="1"/>
    <col min="11286" max="11286" width="11.140625" style="248" customWidth="1"/>
    <col min="11287" max="11287" width="12.5703125" style="248" customWidth="1"/>
    <col min="11288" max="11288" width="12.85546875" style="248" customWidth="1"/>
    <col min="11289" max="11519" width="9.140625" style="248" customWidth="1"/>
    <col min="11520" max="11520" width="3.28515625" style="248"/>
    <col min="11521" max="11521" width="3.28515625" style="248" customWidth="1"/>
    <col min="11522" max="11522" width="10.85546875" style="248" customWidth="1"/>
    <col min="11523" max="11523" width="36" style="248" customWidth="1"/>
    <col min="11524" max="11524" width="3.42578125" style="248" customWidth="1"/>
    <col min="11525" max="11525" width="11.28515625" style="248" customWidth="1"/>
    <col min="11526" max="11526" width="9.85546875" style="248" customWidth="1"/>
    <col min="11527" max="11527" width="10.7109375" style="248" customWidth="1"/>
    <col min="11528" max="11528" width="11.7109375" style="248" customWidth="1"/>
    <col min="11529" max="11529" width="12.140625" style="248" customWidth="1"/>
    <col min="11530" max="11531" width="11.5703125" style="248" customWidth="1"/>
    <col min="11532" max="11532" width="11.140625" style="248" customWidth="1"/>
    <col min="11533" max="11533" width="12.140625" style="248" customWidth="1"/>
    <col min="11534" max="11534" width="11.42578125" style="248" customWidth="1"/>
    <col min="11535" max="11535" width="12.140625" style="248" customWidth="1"/>
    <col min="11536" max="11536" width="12.28515625" style="248" customWidth="1"/>
    <col min="11537" max="11537" width="11.140625" style="248" customWidth="1"/>
    <col min="11538" max="11538" width="11.28515625" style="248" customWidth="1"/>
    <col min="11539" max="11539" width="11.7109375" style="248" customWidth="1"/>
    <col min="11540" max="11540" width="11.42578125" style="248" customWidth="1"/>
    <col min="11541" max="11541" width="11.28515625" style="248" customWidth="1"/>
    <col min="11542" max="11542" width="11.140625" style="248" customWidth="1"/>
    <col min="11543" max="11543" width="12.5703125" style="248" customWidth="1"/>
    <col min="11544" max="11544" width="12.85546875" style="248" customWidth="1"/>
    <col min="11545" max="11775" width="9.140625" style="248" customWidth="1"/>
    <col min="11776" max="11776" width="3.28515625" style="248"/>
    <col min="11777" max="11777" width="3.28515625" style="248" customWidth="1"/>
    <col min="11778" max="11778" width="10.85546875" style="248" customWidth="1"/>
    <col min="11779" max="11779" width="36" style="248" customWidth="1"/>
    <col min="11780" max="11780" width="3.42578125" style="248" customWidth="1"/>
    <col min="11781" max="11781" width="11.28515625" style="248" customWidth="1"/>
    <col min="11782" max="11782" width="9.85546875" style="248" customWidth="1"/>
    <col min="11783" max="11783" width="10.7109375" style="248" customWidth="1"/>
    <col min="11784" max="11784" width="11.7109375" style="248" customWidth="1"/>
    <col min="11785" max="11785" width="12.140625" style="248" customWidth="1"/>
    <col min="11786" max="11787" width="11.5703125" style="248" customWidth="1"/>
    <col min="11788" max="11788" width="11.140625" style="248" customWidth="1"/>
    <col min="11789" max="11789" width="12.140625" style="248" customWidth="1"/>
    <col min="11790" max="11790" width="11.42578125" style="248" customWidth="1"/>
    <col min="11791" max="11791" width="12.140625" style="248" customWidth="1"/>
    <col min="11792" max="11792" width="12.28515625" style="248" customWidth="1"/>
    <col min="11793" max="11793" width="11.140625" style="248" customWidth="1"/>
    <col min="11794" max="11794" width="11.28515625" style="248" customWidth="1"/>
    <col min="11795" max="11795" width="11.7109375" style="248" customWidth="1"/>
    <col min="11796" max="11796" width="11.42578125" style="248" customWidth="1"/>
    <col min="11797" max="11797" width="11.28515625" style="248" customWidth="1"/>
    <col min="11798" max="11798" width="11.140625" style="248" customWidth="1"/>
    <col min="11799" max="11799" width="12.5703125" style="248" customWidth="1"/>
    <col min="11800" max="11800" width="12.85546875" style="248" customWidth="1"/>
    <col min="11801" max="12031" width="9.140625" style="248" customWidth="1"/>
    <col min="12032" max="12032" width="3.28515625" style="248"/>
    <col min="12033" max="12033" width="3.28515625" style="248" customWidth="1"/>
    <col min="12034" max="12034" width="10.85546875" style="248" customWidth="1"/>
    <col min="12035" max="12035" width="36" style="248" customWidth="1"/>
    <col min="12036" max="12036" width="3.42578125" style="248" customWidth="1"/>
    <col min="12037" max="12037" width="11.28515625" style="248" customWidth="1"/>
    <col min="12038" max="12038" width="9.85546875" style="248" customWidth="1"/>
    <col min="12039" max="12039" width="10.7109375" style="248" customWidth="1"/>
    <col min="12040" max="12040" width="11.7109375" style="248" customWidth="1"/>
    <col min="12041" max="12041" width="12.140625" style="248" customWidth="1"/>
    <col min="12042" max="12043" width="11.5703125" style="248" customWidth="1"/>
    <col min="12044" max="12044" width="11.140625" style="248" customWidth="1"/>
    <col min="12045" max="12045" width="12.140625" style="248" customWidth="1"/>
    <col min="12046" max="12046" width="11.42578125" style="248" customWidth="1"/>
    <col min="12047" max="12047" width="12.140625" style="248" customWidth="1"/>
    <col min="12048" max="12048" width="12.28515625" style="248" customWidth="1"/>
    <col min="12049" max="12049" width="11.140625" style="248" customWidth="1"/>
    <col min="12050" max="12050" width="11.28515625" style="248" customWidth="1"/>
    <col min="12051" max="12051" width="11.7109375" style="248" customWidth="1"/>
    <col min="12052" max="12052" width="11.42578125" style="248" customWidth="1"/>
    <col min="12053" max="12053" width="11.28515625" style="248" customWidth="1"/>
    <col min="12054" max="12054" width="11.140625" style="248" customWidth="1"/>
    <col min="12055" max="12055" width="12.5703125" style="248" customWidth="1"/>
    <col min="12056" max="12056" width="12.85546875" style="248" customWidth="1"/>
    <col min="12057" max="12287" width="9.140625" style="248" customWidth="1"/>
    <col min="12288" max="12288" width="3.28515625" style="248"/>
    <col min="12289" max="12289" width="3.28515625" style="248" customWidth="1"/>
    <col min="12290" max="12290" width="10.85546875" style="248" customWidth="1"/>
    <col min="12291" max="12291" width="36" style="248" customWidth="1"/>
    <col min="12292" max="12292" width="3.42578125" style="248" customWidth="1"/>
    <col min="12293" max="12293" width="11.28515625" style="248" customWidth="1"/>
    <col min="12294" max="12294" width="9.85546875" style="248" customWidth="1"/>
    <col min="12295" max="12295" width="10.7109375" style="248" customWidth="1"/>
    <col min="12296" max="12296" width="11.7109375" style="248" customWidth="1"/>
    <col min="12297" max="12297" width="12.140625" style="248" customWidth="1"/>
    <col min="12298" max="12299" width="11.5703125" style="248" customWidth="1"/>
    <col min="12300" max="12300" width="11.140625" style="248" customWidth="1"/>
    <col min="12301" max="12301" width="12.140625" style="248" customWidth="1"/>
    <col min="12302" max="12302" width="11.42578125" style="248" customWidth="1"/>
    <col min="12303" max="12303" width="12.140625" style="248" customWidth="1"/>
    <col min="12304" max="12304" width="12.28515625" style="248" customWidth="1"/>
    <col min="12305" max="12305" width="11.140625" style="248" customWidth="1"/>
    <col min="12306" max="12306" width="11.28515625" style="248" customWidth="1"/>
    <col min="12307" max="12307" width="11.7109375" style="248" customWidth="1"/>
    <col min="12308" max="12308" width="11.42578125" style="248" customWidth="1"/>
    <col min="12309" max="12309" width="11.28515625" style="248" customWidth="1"/>
    <col min="12310" max="12310" width="11.140625" style="248" customWidth="1"/>
    <col min="12311" max="12311" width="12.5703125" style="248" customWidth="1"/>
    <col min="12312" max="12312" width="12.85546875" style="248" customWidth="1"/>
    <col min="12313" max="12543" width="9.140625" style="248" customWidth="1"/>
    <col min="12544" max="12544" width="3.28515625" style="248"/>
    <col min="12545" max="12545" width="3.28515625" style="248" customWidth="1"/>
    <col min="12546" max="12546" width="10.85546875" style="248" customWidth="1"/>
    <col min="12547" max="12547" width="36" style="248" customWidth="1"/>
    <col min="12548" max="12548" width="3.42578125" style="248" customWidth="1"/>
    <col min="12549" max="12549" width="11.28515625" style="248" customWidth="1"/>
    <col min="12550" max="12550" width="9.85546875" style="248" customWidth="1"/>
    <col min="12551" max="12551" width="10.7109375" style="248" customWidth="1"/>
    <col min="12552" max="12552" width="11.7109375" style="248" customWidth="1"/>
    <col min="12553" max="12553" width="12.140625" style="248" customWidth="1"/>
    <col min="12554" max="12555" width="11.5703125" style="248" customWidth="1"/>
    <col min="12556" max="12556" width="11.140625" style="248" customWidth="1"/>
    <col min="12557" max="12557" width="12.140625" style="248" customWidth="1"/>
    <col min="12558" max="12558" width="11.42578125" style="248" customWidth="1"/>
    <col min="12559" max="12559" width="12.140625" style="248" customWidth="1"/>
    <col min="12560" max="12560" width="12.28515625" style="248" customWidth="1"/>
    <col min="12561" max="12561" width="11.140625" style="248" customWidth="1"/>
    <col min="12562" max="12562" width="11.28515625" style="248" customWidth="1"/>
    <col min="12563" max="12563" width="11.7109375" style="248" customWidth="1"/>
    <col min="12564" max="12564" width="11.42578125" style="248" customWidth="1"/>
    <col min="12565" max="12565" width="11.28515625" style="248" customWidth="1"/>
    <col min="12566" max="12566" width="11.140625" style="248" customWidth="1"/>
    <col min="12567" max="12567" width="12.5703125" style="248" customWidth="1"/>
    <col min="12568" max="12568" width="12.85546875" style="248" customWidth="1"/>
    <col min="12569" max="12799" width="9.140625" style="248" customWidth="1"/>
    <col min="12800" max="12800" width="3.28515625" style="248"/>
    <col min="12801" max="12801" width="3.28515625" style="248" customWidth="1"/>
    <col min="12802" max="12802" width="10.85546875" style="248" customWidth="1"/>
    <col min="12803" max="12803" width="36" style="248" customWidth="1"/>
    <col min="12804" max="12804" width="3.42578125" style="248" customWidth="1"/>
    <col min="12805" max="12805" width="11.28515625" style="248" customWidth="1"/>
    <col min="12806" max="12806" width="9.85546875" style="248" customWidth="1"/>
    <col min="12807" max="12807" width="10.7109375" style="248" customWidth="1"/>
    <col min="12808" max="12808" width="11.7109375" style="248" customWidth="1"/>
    <col min="12809" max="12809" width="12.140625" style="248" customWidth="1"/>
    <col min="12810" max="12811" width="11.5703125" style="248" customWidth="1"/>
    <col min="12812" max="12812" width="11.140625" style="248" customWidth="1"/>
    <col min="12813" max="12813" width="12.140625" style="248" customWidth="1"/>
    <col min="12814" max="12814" width="11.42578125" style="248" customWidth="1"/>
    <col min="12815" max="12815" width="12.140625" style="248" customWidth="1"/>
    <col min="12816" max="12816" width="12.28515625" style="248" customWidth="1"/>
    <col min="12817" max="12817" width="11.140625" style="248" customWidth="1"/>
    <col min="12818" max="12818" width="11.28515625" style="248" customWidth="1"/>
    <col min="12819" max="12819" width="11.7109375" style="248" customWidth="1"/>
    <col min="12820" max="12820" width="11.42578125" style="248" customWidth="1"/>
    <col min="12821" max="12821" width="11.28515625" style="248" customWidth="1"/>
    <col min="12822" max="12822" width="11.140625" style="248" customWidth="1"/>
    <col min="12823" max="12823" width="12.5703125" style="248" customWidth="1"/>
    <col min="12824" max="12824" width="12.85546875" style="248" customWidth="1"/>
    <col min="12825" max="13055" width="9.140625" style="248" customWidth="1"/>
    <col min="13056" max="13056" width="3.28515625" style="248"/>
    <col min="13057" max="13057" width="3.28515625" style="248" customWidth="1"/>
    <col min="13058" max="13058" width="10.85546875" style="248" customWidth="1"/>
    <col min="13059" max="13059" width="36" style="248" customWidth="1"/>
    <col min="13060" max="13060" width="3.42578125" style="248" customWidth="1"/>
    <col min="13061" max="13061" width="11.28515625" style="248" customWidth="1"/>
    <col min="13062" max="13062" width="9.85546875" style="248" customWidth="1"/>
    <col min="13063" max="13063" width="10.7109375" style="248" customWidth="1"/>
    <col min="13064" max="13064" width="11.7109375" style="248" customWidth="1"/>
    <col min="13065" max="13065" width="12.140625" style="248" customWidth="1"/>
    <col min="13066" max="13067" width="11.5703125" style="248" customWidth="1"/>
    <col min="13068" max="13068" width="11.140625" style="248" customWidth="1"/>
    <col min="13069" max="13069" width="12.140625" style="248" customWidth="1"/>
    <col min="13070" max="13070" width="11.42578125" style="248" customWidth="1"/>
    <col min="13071" max="13071" width="12.140625" style="248" customWidth="1"/>
    <col min="13072" max="13072" width="12.28515625" style="248" customWidth="1"/>
    <col min="13073" max="13073" width="11.140625" style="248" customWidth="1"/>
    <col min="13074" max="13074" width="11.28515625" style="248" customWidth="1"/>
    <col min="13075" max="13075" width="11.7109375" style="248" customWidth="1"/>
    <col min="13076" max="13076" width="11.42578125" style="248" customWidth="1"/>
    <col min="13077" max="13077" width="11.28515625" style="248" customWidth="1"/>
    <col min="13078" max="13078" width="11.140625" style="248" customWidth="1"/>
    <col min="13079" max="13079" width="12.5703125" style="248" customWidth="1"/>
    <col min="13080" max="13080" width="12.85546875" style="248" customWidth="1"/>
    <col min="13081" max="13311" width="9.140625" style="248" customWidth="1"/>
    <col min="13312" max="13312" width="3.28515625" style="248"/>
    <col min="13313" max="13313" width="3.28515625" style="248" customWidth="1"/>
    <col min="13314" max="13314" width="10.85546875" style="248" customWidth="1"/>
    <col min="13315" max="13315" width="36" style="248" customWidth="1"/>
    <col min="13316" max="13316" width="3.42578125" style="248" customWidth="1"/>
    <col min="13317" max="13317" width="11.28515625" style="248" customWidth="1"/>
    <col min="13318" max="13318" width="9.85546875" style="248" customWidth="1"/>
    <col min="13319" max="13319" width="10.7109375" style="248" customWidth="1"/>
    <col min="13320" max="13320" width="11.7109375" style="248" customWidth="1"/>
    <col min="13321" max="13321" width="12.140625" style="248" customWidth="1"/>
    <col min="13322" max="13323" width="11.5703125" style="248" customWidth="1"/>
    <col min="13324" max="13324" width="11.140625" style="248" customWidth="1"/>
    <col min="13325" max="13325" width="12.140625" style="248" customWidth="1"/>
    <col min="13326" max="13326" width="11.42578125" style="248" customWidth="1"/>
    <col min="13327" max="13327" width="12.140625" style="248" customWidth="1"/>
    <col min="13328" max="13328" width="12.28515625" style="248" customWidth="1"/>
    <col min="13329" max="13329" width="11.140625" style="248" customWidth="1"/>
    <col min="13330" max="13330" width="11.28515625" style="248" customWidth="1"/>
    <col min="13331" max="13331" width="11.7109375" style="248" customWidth="1"/>
    <col min="13332" max="13332" width="11.42578125" style="248" customWidth="1"/>
    <col min="13333" max="13333" width="11.28515625" style="248" customWidth="1"/>
    <col min="13334" max="13334" width="11.140625" style="248" customWidth="1"/>
    <col min="13335" max="13335" width="12.5703125" style="248" customWidth="1"/>
    <col min="13336" max="13336" width="12.85546875" style="248" customWidth="1"/>
    <col min="13337" max="13567" width="9.140625" style="248" customWidth="1"/>
    <col min="13568" max="13568" width="3.28515625" style="248"/>
    <col min="13569" max="13569" width="3.28515625" style="248" customWidth="1"/>
    <col min="13570" max="13570" width="10.85546875" style="248" customWidth="1"/>
    <col min="13571" max="13571" width="36" style="248" customWidth="1"/>
    <col min="13572" max="13572" width="3.42578125" style="248" customWidth="1"/>
    <col min="13573" max="13573" width="11.28515625" style="248" customWidth="1"/>
    <col min="13574" max="13574" width="9.85546875" style="248" customWidth="1"/>
    <col min="13575" max="13575" width="10.7109375" style="248" customWidth="1"/>
    <col min="13576" max="13576" width="11.7109375" style="248" customWidth="1"/>
    <col min="13577" max="13577" width="12.140625" style="248" customWidth="1"/>
    <col min="13578" max="13579" width="11.5703125" style="248" customWidth="1"/>
    <col min="13580" max="13580" width="11.140625" style="248" customWidth="1"/>
    <col min="13581" max="13581" width="12.140625" style="248" customWidth="1"/>
    <col min="13582" max="13582" width="11.42578125" style="248" customWidth="1"/>
    <col min="13583" max="13583" width="12.140625" style="248" customWidth="1"/>
    <col min="13584" max="13584" width="12.28515625" style="248" customWidth="1"/>
    <col min="13585" max="13585" width="11.140625" style="248" customWidth="1"/>
    <col min="13586" max="13586" width="11.28515625" style="248" customWidth="1"/>
    <col min="13587" max="13587" width="11.7109375" style="248" customWidth="1"/>
    <col min="13588" max="13588" width="11.42578125" style="248" customWidth="1"/>
    <col min="13589" max="13589" width="11.28515625" style="248" customWidth="1"/>
    <col min="13590" max="13590" width="11.140625" style="248" customWidth="1"/>
    <col min="13591" max="13591" width="12.5703125" style="248" customWidth="1"/>
    <col min="13592" max="13592" width="12.85546875" style="248" customWidth="1"/>
    <col min="13593" max="13823" width="9.140625" style="248" customWidth="1"/>
    <col min="13824" max="13824" width="3.28515625" style="248"/>
    <col min="13825" max="13825" width="3.28515625" style="248" customWidth="1"/>
    <col min="13826" max="13826" width="10.85546875" style="248" customWidth="1"/>
    <col min="13827" max="13827" width="36" style="248" customWidth="1"/>
    <col min="13828" max="13828" width="3.42578125" style="248" customWidth="1"/>
    <col min="13829" max="13829" width="11.28515625" style="248" customWidth="1"/>
    <col min="13830" max="13830" width="9.85546875" style="248" customWidth="1"/>
    <col min="13831" max="13831" width="10.7109375" style="248" customWidth="1"/>
    <col min="13832" max="13832" width="11.7109375" style="248" customWidth="1"/>
    <col min="13833" max="13833" width="12.140625" style="248" customWidth="1"/>
    <col min="13834" max="13835" width="11.5703125" style="248" customWidth="1"/>
    <col min="13836" max="13836" width="11.140625" style="248" customWidth="1"/>
    <col min="13837" max="13837" width="12.140625" style="248" customWidth="1"/>
    <col min="13838" max="13838" width="11.42578125" style="248" customWidth="1"/>
    <col min="13839" max="13839" width="12.140625" style="248" customWidth="1"/>
    <col min="13840" max="13840" width="12.28515625" style="248" customWidth="1"/>
    <col min="13841" max="13841" width="11.140625" style="248" customWidth="1"/>
    <col min="13842" max="13842" width="11.28515625" style="248" customWidth="1"/>
    <col min="13843" max="13843" width="11.7109375" style="248" customWidth="1"/>
    <col min="13844" max="13844" width="11.42578125" style="248" customWidth="1"/>
    <col min="13845" max="13845" width="11.28515625" style="248" customWidth="1"/>
    <col min="13846" max="13846" width="11.140625" style="248" customWidth="1"/>
    <col min="13847" max="13847" width="12.5703125" style="248" customWidth="1"/>
    <col min="13848" max="13848" width="12.85546875" style="248" customWidth="1"/>
    <col min="13849" max="14079" width="9.140625" style="248" customWidth="1"/>
    <col min="14080" max="14080" width="3.28515625" style="248"/>
    <col min="14081" max="14081" width="3.28515625" style="248" customWidth="1"/>
    <col min="14082" max="14082" width="10.85546875" style="248" customWidth="1"/>
    <col min="14083" max="14083" width="36" style="248" customWidth="1"/>
    <col min="14084" max="14084" width="3.42578125" style="248" customWidth="1"/>
    <col min="14085" max="14085" width="11.28515625" style="248" customWidth="1"/>
    <col min="14086" max="14086" width="9.85546875" style="248" customWidth="1"/>
    <col min="14087" max="14087" width="10.7109375" style="248" customWidth="1"/>
    <col min="14088" max="14088" width="11.7109375" style="248" customWidth="1"/>
    <col min="14089" max="14089" width="12.140625" style="248" customWidth="1"/>
    <col min="14090" max="14091" width="11.5703125" style="248" customWidth="1"/>
    <col min="14092" max="14092" width="11.140625" style="248" customWidth="1"/>
    <col min="14093" max="14093" width="12.140625" style="248" customWidth="1"/>
    <col min="14094" max="14094" width="11.42578125" style="248" customWidth="1"/>
    <col min="14095" max="14095" width="12.140625" style="248" customWidth="1"/>
    <col min="14096" max="14096" width="12.28515625" style="248" customWidth="1"/>
    <col min="14097" max="14097" width="11.140625" style="248" customWidth="1"/>
    <col min="14098" max="14098" width="11.28515625" style="248" customWidth="1"/>
    <col min="14099" max="14099" width="11.7109375" style="248" customWidth="1"/>
    <col min="14100" max="14100" width="11.42578125" style="248" customWidth="1"/>
    <col min="14101" max="14101" width="11.28515625" style="248" customWidth="1"/>
    <col min="14102" max="14102" width="11.140625" style="248" customWidth="1"/>
    <col min="14103" max="14103" width="12.5703125" style="248" customWidth="1"/>
    <col min="14104" max="14104" width="12.85546875" style="248" customWidth="1"/>
    <col min="14105" max="14335" width="9.140625" style="248" customWidth="1"/>
    <col min="14336" max="14336" width="3.28515625" style="248"/>
    <col min="14337" max="14337" width="3.28515625" style="248" customWidth="1"/>
    <col min="14338" max="14338" width="10.85546875" style="248" customWidth="1"/>
    <col min="14339" max="14339" width="36" style="248" customWidth="1"/>
    <col min="14340" max="14340" width="3.42578125" style="248" customWidth="1"/>
    <col min="14341" max="14341" width="11.28515625" style="248" customWidth="1"/>
    <col min="14342" max="14342" width="9.85546875" style="248" customWidth="1"/>
    <col min="14343" max="14343" width="10.7109375" style="248" customWidth="1"/>
    <col min="14344" max="14344" width="11.7109375" style="248" customWidth="1"/>
    <col min="14345" max="14345" width="12.140625" style="248" customWidth="1"/>
    <col min="14346" max="14347" width="11.5703125" style="248" customWidth="1"/>
    <col min="14348" max="14348" width="11.140625" style="248" customWidth="1"/>
    <col min="14349" max="14349" width="12.140625" style="248" customWidth="1"/>
    <col min="14350" max="14350" width="11.42578125" style="248" customWidth="1"/>
    <col min="14351" max="14351" width="12.140625" style="248" customWidth="1"/>
    <col min="14352" max="14352" width="12.28515625" style="248" customWidth="1"/>
    <col min="14353" max="14353" width="11.140625" style="248" customWidth="1"/>
    <col min="14354" max="14354" width="11.28515625" style="248" customWidth="1"/>
    <col min="14355" max="14355" width="11.7109375" style="248" customWidth="1"/>
    <col min="14356" max="14356" width="11.42578125" style="248" customWidth="1"/>
    <col min="14357" max="14357" width="11.28515625" style="248" customWidth="1"/>
    <col min="14358" max="14358" width="11.140625" style="248" customWidth="1"/>
    <col min="14359" max="14359" width="12.5703125" style="248" customWidth="1"/>
    <col min="14360" max="14360" width="12.85546875" style="248" customWidth="1"/>
    <col min="14361" max="14591" width="9.140625" style="248" customWidth="1"/>
    <col min="14592" max="14592" width="3.28515625" style="248"/>
    <col min="14593" max="14593" width="3.28515625" style="248" customWidth="1"/>
    <col min="14594" max="14594" width="10.85546875" style="248" customWidth="1"/>
    <col min="14595" max="14595" width="36" style="248" customWidth="1"/>
    <col min="14596" max="14596" width="3.42578125" style="248" customWidth="1"/>
    <col min="14597" max="14597" width="11.28515625" style="248" customWidth="1"/>
    <col min="14598" max="14598" width="9.85546875" style="248" customWidth="1"/>
    <col min="14599" max="14599" width="10.7109375" style="248" customWidth="1"/>
    <col min="14600" max="14600" width="11.7109375" style="248" customWidth="1"/>
    <col min="14601" max="14601" width="12.140625" style="248" customWidth="1"/>
    <col min="14602" max="14603" width="11.5703125" style="248" customWidth="1"/>
    <col min="14604" max="14604" width="11.140625" style="248" customWidth="1"/>
    <col min="14605" max="14605" width="12.140625" style="248" customWidth="1"/>
    <col min="14606" max="14606" width="11.42578125" style="248" customWidth="1"/>
    <col min="14607" max="14607" width="12.140625" style="248" customWidth="1"/>
    <col min="14608" max="14608" width="12.28515625" style="248" customWidth="1"/>
    <col min="14609" max="14609" width="11.140625" style="248" customWidth="1"/>
    <col min="14610" max="14610" width="11.28515625" style="248" customWidth="1"/>
    <col min="14611" max="14611" width="11.7109375" style="248" customWidth="1"/>
    <col min="14612" max="14612" width="11.42578125" style="248" customWidth="1"/>
    <col min="14613" max="14613" width="11.28515625" style="248" customWidth="1"/>
    <col min="14614" max="14614" width="11.140625" style="248" customWidth="1"/>
    <col min="14615" max="14615" width="12.5703125" style="248" customWidth="1"/>
    <col min="14616" max="14616" width="12.85546875" style="248" customWidth="1"/>
    <col min="14617" max="14847" width="9.140625" style="248" customWidth="1"/>
    <col min="14848" max="14848" width="3.28515625" style="248"/>
    <col min="14849" max="14849" width="3.28515625" style="248" customWidth="1"/>
    <col min="14850" max="14850" width="10.85546875" style="248" customWidth="1"/>
    <col min="14851" max="14851" width="36" style="248" customWidth="1"/>
    <col min="14852" max="14852" width="3.42578125" style="248" customWidth="1"/>
    <col min="14853" max="14853" width="11.28515625" style="248" customWidth="1"/>
    <col min="14854" max="14854" width="9.85546875" style="248" customWidth="1"/>
    <col min="14855" max="14855" width="10.7109375" style="248" customWidth="1"/>
    <col min="14856" max="14856" width="11.7109375" style="248" customWidth="1"/>
    <col min="14857" max="14857" width="12.140625" style="248" customWidth="1"/>
    <col min="14858" max="14859" width="11.5703125" style="248" customWidth="1"/>
    <col min="14860" max="14860" width="11.140625" style="248" customWidth="1"/>
    <col min="14861" max="14861" width="12.140625" style="248" customWidth="1"/>
    <col min="14862" max="14862" width="11.42578125" style="248" customWidth="1"/>
    <col min="14863" max="14863" width="12.140625" style="248" customWidth="1"/>
    <col min="14864" max="14864" width="12.28515625" style="248" customWidth="1"/>
    <col min="14865" max="14865" width="11.140625" style="248" customWidth="1"/>
    <col min="14866" max="14866" width="11.28515625" style="248" customWidth="1"/>
    <col min="14867" max="14867" width="11.7109375" style="248" customWidth="1"/>
    <col min="14868" max="14868" width="11.42578125" style="248" customWidth="1"/>
    <col min="14869" max="14869" width="11.28515625" style="248" customWidth="1"/>
    <col min="14870" max="14870" width="11.140625" style="248" customWidth="1"/>
    <col min="14871" max="14871" width="12.5703125" style="248" customWidth="1"/>
    <col min="14872" max="14872" width="12.85546875" style="248" customWidth="1"/>
    <col min="14873" max="15103" width="9.140625" style="248" customWidth="1"/>
    <col min="15104" max="15104" width="3.28515625" style="248"/>
    <col min="15105" max="15105" width="3.28515625" style="248" customWidth="1"/>
    <col min="15106" max="15106" width="10.85546875" style="248" customWidth="1"/>
    <col min="15107" max="15107" width="36" style="248" customWidth="1"/>
    <col min="15108" max="15108" width="3.42578125" style="248" customWidth="1"/>
    <col min="15109" max="15109" width="11.28515625" style="248" customWidth="1"/>
    <col min="15110" max="15110" width="9.85546875" style="248" customWidth="1"/>
    <col min="15111" max="15111" width="10.7109375" style="248" customWidth="1"/>
    <col min="15112" max="15112" width="11.7109375" style="248" customWidth="1"/>
    <col min="15113" max="15113" width="12.140625" style="248" customWidth="1"/>
    <col min="15114" max="15115" width="11.5703125" style="248" customWidth="1"/>
    <col min="15116" max="15116" width="11.140625" style="248" customWidth="1"/>
    <col min="15117" max="15117" width="12.140625" style="248" customWidth="1"/>
    <col min="15118" max="15118" width="11.42578125" style="248" customWidth="1"/>
    <col min="15119" max="15119" width="12.140625" style="248" customWidth="1"/>
    <col min="15120" max="15120" width="12.28515625" style="248" customWidth="1"/>
    <col min="15121" max="15121" width="11.140625" style="248" customWidth="1"/>
    <col min="15122" max="15122" width="11.28515625" style="248" customWidth="1"/>
    <col min="15123" max="15123" width="11.7109375" style="248" customWidth="1"/>
    <col min="15124" max="15124" width="11.42578125" style="248" customWidth="1"/>
    <col min="15125" max="15125" width="11.28515625" style="248" customWidth="1"/>
    <col min="15126" max="15126" width="11.140625" style="248" customWidth="1"/>
    <col min="15127" max="15127" width="12.5703125" style="248" customWidth="1"/>
    <col min="15128" max="15128" width="12.85546875" style="248" customWidth="1"/>
    <col min="15129" max="15359" width="9.140625" style="248" customWidth="1"/>
    <col min="15360" max="15360" width="3.28515625" style="248"/>
    <col min="15361" max="15361" width="3.28515625" style="248" customWidth="1"/>
    <col min="15362" max="15362" width="10.85546875" style="248" customWidth="1"/>
    <col min="15363" max="15363" width="36" style="248" customWidth="1"/>
    <col min="15364" max="15364" width="3.42578125" style="248" customWidth="1"/>
    <col min="15365" max="15365" width="11.28515625" style="248" customWidth="1"/>
    <col min="15366" max="15366" width="9.85546875" style="248" customWidth="1"/>
    <col min="15367" max="15367" width="10.7109375" style="248" customWidth="1"/>
    <col min="15368" max="15368" width="11.7109375" style="248" customWidth="1"/>
    <col min="15369" max="15369" width="12.140625" style="248" customWidth="1"/>
    <col min="15370" max="15371" width="11.5703125" style="248" customWidth="1"/>
    <col min="15372" max="15372" width="11.140625" style="248" customWidth="1"/>
    <col min="15373" max="15373" width="12.140625" style="248" customWidth="1"/>
    <col min="15374" max="15374" width="11.42578125" style="248" customWidth="1"/>
    <col min="15375" max="15375" width="12.140625" style="248" customWidth="1"/>
    <col min="15376" max="15376" width="12.28515625" style="248" customWidth="1"/>
    <col min="15377" max="15377" width="11.140625" style="248" customWidth="1"/>
    <col min="15378" max="15378" width="11.28515625" style="248" customWidth="1"/>
    <col min="15379" max="15379" width="11.7109375" style="248" customWidth="1"/>
    <col min="15380" max="15380" width="11.42578125" style="248" customWidth="1"/>
    <col min="15381" max="15381" width="11.28515625" style="248" customWidth="1"/>
    <col min="15382" max="15382" width="11.140625" style="248" customWidth="1"/>
    <col min="15383" max="15383" width="12.5703125" style="248" customWidth="1"/>
    <col min="15384" max="15384" width="12.85546875" style="248" customWidth="1"/>
    <col min="15385" max="15615" width="9.140625" style="248" customWidth="1"/>
    <col min="15616" max="15616" width="3.28515625" style="248"/>
    <col min="15617" max="15617" width="3.28515625" style="248" customWidth="1"/>
    <col min="15618" max="15618" width="10.85546875" style="248" customWidth="1"/>
    <col min="15619" max="15619" width="36" style="248" customWidth="1"/>
    <col min="15620" max="15620" width="3.42578125" style="248" customWidth="1"/>
    <col min="15621" max="15621" width="11.28515625" style="248" customWidth="1"/>
    <col min="15622" max="15622" width="9.85546875" style="248" customWidth="1"/>
    <col min="15623" max="15623" width="10.7109375" style="248" customWidth="1"/>
    <col min="15624" max="15624" width="11.7109375" style="248" customWidth="1"/>
    <col min="15625" max="15625" width="12.140625" style="248" customWidth="1"/>
    <col min="15626" max="15627" width="11.5703125" style="248" customWidth="1"/>
    <col min="15628" max="15628" width="11.140625" style="248" customWidth="1"/>
    <col min="15629" max="15629" width="12.140625" style="248" customWidth="1"/>
    <col min="15630" max="15630" width="11.42578125" style="248" customWidth="1"/>
    <col min="15631" max="15631" width="12.140625" style="248" customWidth="1"/>
    <col min="15632" max="15632" width="12.28515625" style="248" customWidth="1"/>
    <col min="15633" max="15633" width="11.140625" style="248" customWidth="1"/>
    <col min="15634" max="15634" width="11.28515625" style="248" customWidth="1"/>
    <col min="15635" max="15635" width="11.7109375" style="248" customWidth="1"/>
    <col min="15636" max="15636" width="11.42578125" style="248" customWidth="1"/>
    <col min="15637" max="15637" width="11.28515625" style="248" customWidth="1"/>
    <col min="15638" max="15638" width="11.140625" style="248" customWidth="1"/>
    <col min="15639" max="15639" width="12.5703125" style="248" customWidth="1"/>
    <col min="15640" max="15640" width="12.85546875" style="248" customWidth="1"/>
    <col min="15641" max="15871" width="9.140625" style="248" customWidth="1"/>
    <col min="15872" max="15872" width="3.28515625" style="248"/>
    <col min="15873" max="15873" width="3.28515625" style="248" customWidth="1"/>
    <col min="15874" max="15874" width="10.85546875" style="248" customWidth="1"/>
    <col min="15875" max="15875" width="36" style="248" customWidth="1"/>
    <col min="15876" max="15876" width="3.42578125" style="248" customWidth="1"/>
    <col min="15877" max="15877" width="11.28515625" style="248" customWidth="1"/>
    <col min="15878" max="15878" width="9.85546875" style="248" customWidth="1"/>
    <col min="15879" max="15879" width="10.7109375" style="248" customWidth="1"/>
    <col min="15880" max="15880" width="11.7109375" style="248" customWidth="1"/>
    <col min="15881" max="15881" width="12.140625" style="248" customWidth="1"/>
    <col min="15882" max="15883" width="11.5703125" style="248" customWidth="1"/>
    <col min="15884" max="15884" width="11.140625" style="248" customWidth="1"/>
    <col min="15885" max="15885" width="12.140625" style="248" customWidth="1"/>
    <col min="15886" max="15886" width="11.42578125" style="248" customWidth="1"/>
    <col min="15887" max="15887" width="12.140625" style="248" customWidth="1"/>
    <col min="15888" max="15888" width="12.28515625" style="248" customWidth="1"/>
    <col min="15889" max="15889" width="11.140625" style="248" customWidth="1"/>
    <col min="15890" max="15890" width="11.28515625" style="248" customWidth="1"/>
    <col min="15891" max="15891" width="11.7109375" style="248" customWidth="1"/>
    <col min="15892" max="15892" width="11.42578125" style="248" customWidth="1"/>
    <col min="15893" max="15893" width="11.28515625" style="248" customWidth="1"/>
    <col min="15894" max="15894" width="11.140625" style="248" customWidth="1"/>
    <col min="15895" max="15895" width="12.5703125" style="248" customWidth="1"/>
    <col min="15896" max="15896" width="12.85546875" style="248" customWidth="1"/>
    <col min="15897" max="16127" width="9.140625" style="248" customWidth="1"/>
    <col min="16128" max="16128" width="3.28515625" style="248"/>
    <col min="16129" max="16129" width="3.28515625" style="248" customWidth="1"/>
    <col min="16130" max="16130" width="10.85546875" style="248" customWidth="1"/>
    <col min="16131" max="16131" width="36" style="248" customWidth="1"/>
    <col min="16132" max="16132" width="3.42578125" style="248" customWidth="1"/>
    <col min="16133" max="16133" width="11.28515625" style="248" customWidth="1"/>
    <col min="16134" max="16134" width="9.85546875" style="248" customWidth="1"/>
    <col min="16135" max="16135" width="10.7109375" style="248" customWidth="1"/>
    <col min="16136" max="16136" width="11.7109375" style="248" customWidth="1"/>
    <col min="16137" max="16137" width="12.140625" style="248" customWidth="1"/>
    <col min="16138" max="16139" width="11.5703125" style="248" customWidth="1"/>
    <col min="16140" max="16140" width="11.140625" style="248" customWidth="1"/>
    <col min="16141" max="16141" width="12.140625" style="248" customWidth="1"/>
    <col min="16142" max="16142" width="11.42578125" style="248" customWidth="1"/>
    <col min="16143" max="16143" width="12.140625" style="248" customWidth="1"/>
    <col min="16144" max="16144" width="12.28515625" style="248" customWidth="1"/>
    <col min="16145" max="16145" width="11.140625" style="248" customWidth="1"/>
    <col min="16146" max="16146" width="11.28515625" style="248" customWidth="1"/>
    <col min="16147" max="16147" width="11.7109375" style="248" customWidth="1"/>
    <col min="16148" max="16148" width="11.42578125" style="248" customWidth="1"/>
    <col min="16149" max="16149" width="11.28515625" style="248" customWidth="1"/>
    <col min="16150" max="16150" width="11.140625" style="248" customWidth="1"/>
    <col min="16151" max="16151" width="12.5703125" style="248" customWidth="1"/>
    <col min="16152" max="16152" width="12.85546875" style="248" customWidth="1"/>
    <col min="16153" max="16383" width="9.140625" style="248" customWidth="1"/>
    <col min="16384" max="16384" width="3.28515625" style="248"/>
  </cols>
  <sheetData>
    <row r="1" spans="1:24" x14ac:dyDescent="0.2">
      <c r="B1" s="249" t="s">
        <v>164</v>
      </c>
      <c r="C1" s="250"/>
      <c r="D1" s="250"/>
      <c r="E1" s="250"/>
      <c r="F1" s="251"/>
      <c r="G1" s="251"/>
      <c r="K1" s="252"/>
      <c r="L1" s="253" t="s">
        <v>632</v>
      </c>
    </row>
    <row r="2" spans="1:24" ht="15" x14ac:dyDescent="0.25">
      <c r="B2" s="249"/>
      <c r="C2" s="250"/>
      <c r="D2" s="250"/>
      <c r="E2" s="250"/>
      <c r="F2" s="251"/>
      <c r="G2" s="251"/>
      <c r="K2" s="254"/>
      <c r="L2" s="255" t="s">
        <v>441</v>
      </c>
    </row>
    <row r="3" spans="1:24" ht="15" x14ac:dyDescent="0.25">
      <c r="B3" s="249"/>
      <c r="C3" s="250"/>
      <c r="D3" s="250"/>
      <c r="E3" s="250"/>
      <c r="F3" s="251"/>
      <c r="G3" s="251"/>
      <c r="K3" s="254"/>
      <c r="L3" s="255" t="s">
        <v>472</v>
      </c>
    </row>
    <row r="4" spans="1:24" ht="18" customHeight="1" x14ac:dyDescent="0.25">
      <c r="A4" s="646" t="s">
        <v>916</v>
      </c>
      <c r="B4" s="646"/>
      <c r="C4" s="646"/>
      <c r="D4" s="646"/>
      <c r="E4" s="646"/>
      <c r="F4" s="646"/>
      <c r="G4" s="646"/>
      <c r="H4" s="646"/>
      <c r="I4" s="64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</row>
    <row r="5" spans="1:24" s="261" customFormat="1" ht="12.75" customHeight="1" x14ac:dyDescent="0.2">
      <c r="A5" s="647" t="s">
        <v>633</v>
      </c>
      <c r="B5" s="649" t="s">
        <v>634</v>
      </c>
      <c r="C5" s="651" t="s">
        <v>635</v>
      </c>
      <c r="D5" s="257"/>
      <c r="E5" s="257" t="s">
        <v>636</v>
      </c>
      <c r="F5" s="257" t="s">
        <v>637</v>
      </c>
      <c r="G5" s="257" t="s">
        <v>638</v>
      </c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9"/>
      <c r="U5" s="259"/>
      <c r="V5" s="259"/>
      <c r="W5" s="259"/>
      <c r="X5" s="260" t="s">
        <v>639</v>
      </c>
    </row>
    <row r="6" spans="1:24" s="261" customFormat="1" x14ac:dyDescent="0.2">
      <c r="A6" s="648"/>
      <c r="B6" s="650"/>
      <c r="C6" s="652"/>
      <c r="D6" s="262"/>
      <c r="E6" s="262" t="s">
        <v>640</v>
      </c>
      <c r="F6" s="262" t="s">
        <v>641</v>
      </c>
      <c r="G6" s="262" t="s">
        <v>328</v>
      </c>
      <c r="H6" s="262">
        <v>2018</v>
      </c>
      <c r="I6" s="262">
        <f t="shared" ref="I6:U6" si="0">SUM(H6+1)</f>
        <v>2019</v>
      </c>
      <c r="J6" s="262">
        <f t="shared" si="0"/>
        <v>2020</v>
      </c>
      <c r="K6" s="262">
        <f>SUM(J6+1)</f>
        <v>2021</v>
      </c>
      <c r="L6" s="262">
        <f t="shared" si="0"/>
        <v>2022</v>
      </c>
      <c r="M6" s="262">
        <f t="shared" si="0"/>
        <v>2023</v>
      </c>
      <c r="N6" s="262">
        <f t="shared" si="0"/>
        <v>2024</v>
      </c>
      <c r="O6" s="262">
        <f t="shared" si="0"/>
        <v>2025</v>
      </c>
      <c r="P6" s="262">
        <f t="shared" si="0"/>
        <v>2026</v>
      </c>
      <c r="Q6" s="262">
        <f t="shared" si="0"/>
        <v>2027</v>
      </c>
      <c r="R6" s="262">
        <f t="shared" si="0"/>
        <v>2028</v>
      </c>
      <c r="S6" s="262">
        <f t="shared" si="0"/>
        <v>2029</v>
      </c>
      <c r="T6" s="262">
        <f t="shared" si="0"/>
        <v>2030</v>
      </c>
      <c r="U6" s="262">
        <f t="shared" si="0"/>
        <v>2031</v>
      </c>
      <c r="V6" s="263">
        <v>2032</v>
      </c>
      <c r="W6" s="263" t="s">
        <v>915</v>
      </c>
      <c r="X6" s="264" t="s">
        <v>642</v>
      </c>
    </row>
    <row r="7" spans="1:24" s="269" customFormat="1" x14ac:dyDescent="0.2">
      <c r="A7" s="608">
        <v>1</v>
      </c>
      <c r="B7" s="265" t="s">
        <v>643</v>
      </c>
      <c r="C7" s="606" t="s">
        <v>644</v>
      </c>
      <c r="D7" s="606">
        <v>501</v>
      </c>
      <c r="E7" s="653">
        <v>5443737.54</v>
      </c>
      <c r="F7" s="266" t="s">
        <v>645</v>
      </c>
      <c r="G7" s="265" t="s">
        <v>646</v>
      </c>
      <c r="H7" s="267">
        <v>403136</v>
      </c>
      <c r="I7" s="267">
        <v>403136</v>
      </c>
      <c r="J7" s="267">
        <v>403136</v>
      </c>
      <c r="K7" s="267">
        <v>403136</v>
      </c>
      <c r="L7" s="267">
        <v>403136</v>
      </c>
      <c r="M7" s="267">
        <v>403136</v>
      </c>
      <c r="N7" s="267">
        <v>403136</v>
      </c>
      <c r="O7" s="267">
        <v>403136</v>
      </c>
      <c r="P7" s="267">
        <v>403136</v>
      </c>
      <c r="Q7" s="267">
        <v>201568</v>
      </c>
      <c r="R7" s="267"/>
      <c r="S7" s="267"/>
      <c r="T7" s="267"/>
      <c r="U7" s="267"/>
      <c r="V7" s="267"/>
      <c r="W7" s="267"/>
      <c r="X7" s="268">
        <f>SUM(H7:W7)</f>
        <v>3829792</v>
      </c>
    </row>
    <row r="8" spans="1:24" s="269" customFormat="1" x14ac:dyDescent="0.2">
      <c r="A8" s="609"/>
      <c r="B8" s="270" t="s">
        <v>647</v>
      </c>
      <c r="C8" s="607"/>
      <c r="D8" s="607"/>
      <c r="E8" s="654"/>
      <c r="F8" s="271" t="s">
        <v>648</v>
      </c>
      <c r="G8" s="423">
        <v>2.5000000000000001E-3</v>
      </c>
      <c r="H8" s="273">
        <v>13780</v>
      </c>
      <c r="I8" s="273">
        <v>13650</v>
      </c>
      <c r="J8" s="272">
        <v>12045</v>
      </c>
      <c r="K8" s="272">
        <v>10380</v>
      </c>
      <c r="L8" s="272">
        <v>8745</v>
      </c>
      <c r="M8" s="272">
        <v>7110</v>
      </c>
      <c r="N8" s="272">
        <v>5490</v>
      </c>
      <c r="O8" s="272">
        <v>3840</v>
      </c>
      <c r="P8" s="272">
        <v>2205</v>
      </c>
      <c r="Q8" s="272">
        <v>580</v>
      </c>
      <c r="R8" s="273"/>
      <c r="S8" s="273"/>
      <c r="T8" s="273"/>
      <c r="U8" s="273"/>
      <c r="V8" s="273"/>
      <c r="W8" s="273"/>
      <c r="X8" s="274">
        <f>SUM(H8:W8)</f>
        <v>77825</v>
      </c>
    </row>
    <row r="9" spans="1:24" s="269" customFormat="1" ht="12.75" customHeight="1" x14ac:dyDescent="0.2">
      <c r="A9" s="608">
        <v>2</v>
      </c>
      <c r="B9" s="265" t="s">
        <v>649</v>
      </c>
      <c r="C9" s="606" t="s">
        <v>650</v>
      </c>
      <c r="D9" s="606">
        <v>519</v>
      </c>
      <c r="E9" s="604">
        <v>620226.73</v>
      </c>
      <c r="F9" s="266" t="s">
        <v>651</v>
      </c>
      <c r="G9" s="424" t="s">
        <v>646</v>
      </c>
      <c r="H9" s="267">
        <v>111868</v>
      </c>
      <c r="I9" s="267">
        <v>111868</v>
      </c>
      <c r="J9" s="267">
        <v>111868</v>
      </c>
      <c r="K9" s="267">
        <v>26558.73</v>
      </c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68">
        <f t="shared" ref="X9:X72" si="1">SUM(H9:W9)</f>
        <v>362162.73</v>
      </c>
    </row>
    <row r="10" spans="1:24" s="269" customFormat="1" x14ac:dyDescent="0.2">
      <c r="A10" s="609"/>
      <c r="B10" s="270" t="s">
        <v>652</v>
      </c>
      <c r="C10" s="607"/>
      <c r="D10" s="607"/>
      <c r="E10" s="605"/>
      <c r="F10" s="271" t="s">
        <v>653</v>
      </c>
      <c r="G10" s="423">
        <v>2.5000000000000001E-3</v>
      </c>
      <c r="H10" s="273">
        <v>1250</v>
      </c>
      <c r="I10" s="273">
        <v>950</v>
      </c>
      <c r="J10" s="276">
        <v>495</v>
      </c>
      <c r="K10" s="276">
        <v>80</v>
      </c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4">
        <f t="shared" si="1"/>
        <v>2775</v>
      </c>
    </row>
    <row r="11" spans="1:24" s="269" customFormat="1" ht="12.75" customHeight="1" x14ac:dyDescent="0.2">
      <c r="A11" s="608">
        <v>3</v>
      </c>
      <c r="B11" s="265" t="s">
        <v>649</v>
      </c>
      <c r="C11" s="606" t="s">
        <v>654</v>
      </c>
      <c r="D11" s="606">
        <v>521</v>
      </c>
      <c r="E11" s="604">
        <v>528555.29</v>
      </c>
      <c r="F11" s="277" t="s">
        <v>655</v>
      </c>
      <c r="G11" s="424" t="s">
        <v>646</v>
      </c>
      <c r="H11" s="267">
        <v>72902.28</v>
      </c>
      <c r="I11" s="267">
        <v>72902.28</v>
      </c>
      <c r="J11" s="267">
        <v>72902.28</v>
      </c>
      <c r="K11" s="267">
        <v>18239.330000000002</v>
      </c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68">
        <f t="shared" si="1"/>
        <v>236946.16999999998</v>
      </c>
    </row>
    <row r="12" spans="1:24" s="269" customFormat="1" x14ac:dyDescent="0.2">
      <c r="A12" s="609"/>
      <c r="B12" s="270" t="s">
        <v>656</v>
      </c>
      <c r="C12" s="607"/>
      <c r="D12" s="607"/>
      <c r="E12" s="605"/>
      <c r="F12" s="278">
        <v>44275</v>
      </c>
      <c r="G12" s="423">
        <v>2.5000000000000001E-3</v>
      </c>
      <c r="H12" s="273">
        <v>820</v>
      </c>
      <c r="I12" s="273">
        <v>620</v>
      </c>
      <c r="J12" s="273">
        <v>330</v>
      </c>
      <c r="K12" s="273">
        <v>55</v>
      </c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4">
        <f t="shared" si="1"/>
        <v>1825</v>
      </c>
    </row>
    <row r="13" spans="1:24" s="269" customFormat="1" x14ac:dyDescent="0.2">
      <c r="A13" s="608">
        <v>4</v>
      </c>
      <c r="B13" s="265" t="s">
        <v>649</v>
      </c>
      <c r="C13" s="606" t="s">
        <v>657</v>
      </c>
      <c r="D13" s="606">
        <v>529</v>
      </c>
      <c r="E13" s="604">
        <v>1734805.15</v>
      </c>
      <c r="F13" s="277" t="s">
        <v>658</v>
      </c>
      <c r="G13" s="424" t="s">
        <v>646</v>
      </c>
      <c r="H13" s="267">
        <v>259752</v>
      </c>
      <c r="I13" s="267">
        <v>259752</v>
      </c>
      <c r="J13" s="267">
        <v>259752</v>
      </c>
      <c r="K13" s="267">
        <v>259752</v>
      </c>
      <c r="L13" s="267">
        <v>63549.15</v>
      </c>
      <c r="M13" s="279"/>
      <c r="N13" s="279"/>
      <c r="O13" s="279"/>
      <c r="P13" s="279"/>
      <c r="Q13" s="279"/>
      <c r="R13" s="279"/>
      <c r="S13" s="279"/>
      <c r="T13" s="279"/>
      <c r="U13" s="279"/>
      <c r="V13" s="275"/>
      <c r="W13" s="275"/>
      <c r="X13" s="268">
        <f t="shared" si="1"/>
        <v>1102557.1499999999</v>
      </c>
    </row>
    <row r="14" spans="1:24" s="269" customFormat="1" x14ac:dyDescent="0.2">
      <c r="A14" s="609"/>
      <c r="B14" s="270" t="s">
        <v>659</v>
      </c>
      <c r="C14" s="607"/>
      <c r="D14" s="607"/>
      <c r="E14" s="605"/>
      <c r="F14" s="271" t="s">
        <v>660</v>
      </c>
      <c r="G14" s="423">
        <v>2.5000000000000001E-3</v>
      </c>
      <c r="H14" s="273">
        <v>3860</v>
      </c>
      <c r="I14" s="273">
        <v>3260</v>
      </c>
      <c r="J14" s="273">
        <v>2210</v>
      </c>
      <c r="K14" s="273">
        <v>1150</v>
      </c>
      <c r="L14" s="276">
        <v>180</v>
      </c>
      <c r="M14" s="280"/>
      <c r="N14" s="280"/>
      <c r="O14" s="280"/>
      <c r="P14" s="280"/>
      <c r="Q14" s="280"/>
      <c r="R14" s="280"/>
      <c r="S14" s="280"/>
      <c r="T14" s="280"/>
      <c r="U14" s="280"/>
      <c r="V14" s="276"/>
      <c r="W14" s="276"/>
      <c r="X14" s="274">
        <f t="shared" si="1"/>
        <v>10660</v>
      </c>
    </row>
    <row r="15" spans="1:24" s="269" customFormat="1" ht="12.75" customHeight="1" x14ac:dyDescent="0.2">
      <c r="A15" s="608">
        <v>5</v>
      </c>
      <c r="B15" s="265" t="s">
        <v>649</v>
      </c>
      <c r="C15" s="606" t="s">
        <v>661</v>
      </c>
      <c r="D15" s="606">
        <v>531</v>
      </c>
      <c r="E15" s="604">
        <v>1547885.33</v>
      </c>
      <c r="F15" s="277" t="s">
        <v>658</v>
      </c>
      <c r="G15" s="424" t="s">
        <v>646</v>
      </c>
      <c r="H15" s="267">
        <v>109840</v>
      </c>
      <c r="I15" s="267">
        <v>109840</v>
      </c>
      <c r="J15" s="267">
        <v>109840</v>
      </c>
      <c r="K15" s="267">
        <v>109840</v>
      </c>
      <c r="L15" s="267">
        <v>27450.14</v>
      </c>
      <c r="M15" s="279"/>
      <c r="N15" s="279"/>
      <c r="O15" s="279"/>
      <c r="P15" s="279"/>
      <c r="Q15" s="279"/>
      <c r="R15" s="279"/>
      <c r="S15" s="279"/>
      <c r="T15" s="279"/>
      <c r="U15" s="279"/>
      <c r="V15" s="275"/>
      <c r="W15" s="275"/>
      <c r="X15" s="268">
        <f t="shared" si="1"/>
        <v>466810.14</v>
      </c>
    </row>
    <row r="16" spans="1:24" s="269" customFormat="1" x14ac:dyDescent="0.2">
      <c r="A16" s="609">
        <v>7.6561771561771499</v>
      </c>
      <c r="B16" s="270" t="s">
        <v>662</v>
      </c>
      <c r="C16" s="607"/>
      <c r="D16" s="607"/>
      <c r="E16" s="605"/>
      <c r="F16" s="271" t="s">
        <v>663</v>
      </c>
      <c r="G16" s="423">
        <v>2.5000000000000001E-3</v>
      </c>
      <c r="H16" s="273">
        <v>1640</v>
      </c>
      <c r="I16" s="273">
        <v>1380</v>
      </c>
      <c r="J16" s="273">
        <v>940</v>
      </c>
      <c r="K16" s="273">
        <v>490</v>
      </c>
      <c r="L16" s="276">
        <v>80</v>
      </c>
      <c r="M16" s="280"/>
      <c r="N16" s="280"/>
      <c r="O16" s="280"/>
      <c r="P16" s="280"/>
      <c r="Q16" s="280"/>
      <c r="R16" s="280"/>
      <c r="S16" s="280"/>
      <c r="T16" s="280"/>
      <c r="U16" s="280"/>
      <c r="V16" s="276"/>
      <c r="W16" s="276"/>
      <c r="X16" s="274">
        <f t="shared" si="1"/>
        <v>4530</v>
      </c>
    </row>
    <row r="17" spans="1:24" s="269" customFormat="1" ht="12.75" customHeight="1" x14ac:dyDescent="0.2">
      <c r="A17" s="617">
        <v>6</v>
      </c>
      <c r="B17" s="285" t="s">
        <v>649</v>
      </c>
      <c r="C17" s="623" t="s">
        <v>664</v>
      </c>
      <c r="D17" s="623">
        <v>528</v>
      </c>
      <c r="E17" s="621">
        <v>3463800.72</v>
      </c>
      <c r="F17" s="284" t="s">
        <v>658</v>
      </c>
      <c r="G17" s="425" t="s">
        <v>646</v>
      </c>
      <c r="H17" s="267">
        <v>518640</v>
      </c>
      <c r="I17" s="267">
        <v>518640</v>
      </c>
      <c r="J17" s="281">
        <v>518640</v>
      </c>
      <c r="K17" s="281">
        <v>518640</v>
      </c>
      <c r="L17" s="281">
        <v>128264.72</v>
      </c>
      <c r="M17" s="282"/>
      <c r="N17" s="282"/>
      <c r="O17" s="282"/>
      <c r="P17" s="282"/>
      <c r="Q17" s="282"/>
      <c r="R17" s="282"/>
      <c r="S17" s="282"/>
      <c r="T17" s="282"/>
      <c r="U17" s="282"/>
      <c r="V17" s="283"/>
      <c r="W17" s="283"/>
      <c r="X17" s="268">
        <f t="shared" si="1"/>
        <v>2202824.7200000002</v>
      </c>
    </row>
    <row r="18" spans="1:24" s="269" customFormat="1" x14ac:dyDescent="0.2">
      <c r="A18" s="609">
        <v>8.0547785547785509</v>
      </c>
      <c r="B18" s="270" t="s">
        <v>665</v>
      </c>
      <c r="C18" s="607"/>
      <c r="D18" s="607"/>
      <c r="E18" s="605"/>
      <c r="F18" s="271" t="s">
        <v>663</v>
      </c>
      <c r="G18" s="423">
        <v>2.5000000000000001E-3</v>
      </c>
      <c r="H18" s="273">
        <v>7710</v>
      </c>
      <c r="I18" s="273">
        <v>6510</v>
      </c>
      <c r="J18" s="273">
        <v>4420</v>
      </c>
      <c r="K18" s="273">
        <v>2300</v>
      </c>
      <c r="L18" s="276">
        <v>365</v>
      </c>
      <c r="M18" s="280"/>
      <c r="N18" s="280"/>
      <c r="O18" s="280"/>
      <c r="P18" s="280"/>
      <c r="Q18" s="280"/>
      <c r="R18" s="280"/>
      <c r="S18" s="280"/>
      <c r="T18" s="280"/>
      <c r="U18" s="280"/>
      <c r="V18" s="276"/>
      <c r="W18" s="276"/>
      <c r="X18" s="274">
        <f t="shared" si="1"/>
        <v>21305</v>
      </c>
    </row>
    <row r="19" spans="1:24" s="269" customFormat="1" ht="12.75" customHeight="1" x14ac:dyDescent="0.2">
      <c r="A19" s="617">
        <v>7</v>
      </c>
      <c r="B19" s="285" t="s">
        <v>649</v>
      </c>
      <c r="C19" s="623" t="s">
        <v>666</v>
      </c>
      <c r="D19" s="623">
        <v>527</v>
      </c>
      <c r="E19" s="621">
        <v>1228934.3799999999</v>
      </c>
      <c r="F19" s="284" t="s">
        <v>658</v>
      </c>
      <c r="G19" s="425" t="s">
        <v>646</v>
      </c>
      <c r="H19" s="281">
        <v>87113.919999999998</v>
      </c>
      <c r="I19" s="281">
        <v>87113.919999999998</v>
      </c>
      <c r="J19" s="281">
        <v>87113.919999999998</v>
      </c>
      <c r="K19" s="281">
        <v>87113.919999999998</v>
      </c>
      <c r="L19" s="281">
        <f>21781.19-0.29</f>
        <v>21780.899999999998</v>
      </c>
      <c r="M19" s="286"/>
      <c r="N19" s="286"/>
      <c r="O19" s="286"/>
      <c r="P19" s="286"/>
      <c r="Q19" s="286"/>
      <c r="R19" s="286"/>
      <c r="S19" s="286"/>
      <c r="T19" s="286"/>
      <c r="U19" s="286"/>
      <c r="V19" s="281"/>
      <c r="W19" s="281"/>
      <c r="X19" s="268">
        <f t="shared" si="1"/>
        <v>370236.58</v>
      </c>
    </row>
    <row r="20" spans="1:24" s="269" customFormat="1" x14ac:dyDescent="0.2">
      <c r="A20" s="618">
        <v>8.4533799533799492</v>
      </c>
      <c r="B20" s="294" t="s">
        <v>667</v>
      </c>
      <c r="C20" s="624"/>
      <c r="D20" s="624"/>
      <c r="E20" s="622"/>
      <c r="F20" s="287" t="s">
        <v>663</v>
      </c>
      <c r="G20" s="423">
        <v>2.5000000000000001E-3</v>
      </c>
      <c r="H20" s="289">
        <v>1300</v>
      </c>
      <c r="I20" s="289">
        <v>1095</v>
      </c>
      <c r="J20" s="289">
        <v>745</v>
      </c>
      <c r="K20" s="289">
        <v>390</v>
      </c>
      <c r="L20" s="289">
        <v>65</v>
      </c>
      <c r="M20" s="290"/>
      <c r="N20" s="290"/>
      <c r="O20" s="290"/>
      <c r="P20" s="290"/>
      <c r="Q20" s="290"/>
      <c r="R20" s="290"/>
      <c r="S20" s="290"/>
      <c r="T20" s="290"/>
      <c r="U20" s="290"/>
      <c r="V20" s="288"/>
      <c r="W20" s="288"/>
      <c r="X20" s="274">
        <f t="shared" si="1"/>
        <v>3595</v>
      </c>
    </row>
    <row r="21" spans="1:24" s="269" customFormat="1" ht="12.75" customHeight="1" x14ac:dyDescent="0.2">
      <c r="A21" s="608">
        <v>8</v>
      </c>
      <c r="B21" s="265" t="s">
        <v>649</v>
      </c>
      <c r="C21" s="606" t="s">
        <v>909</v>
      </c>
      <c r="D21" s="606">
        <v>526</v>
      </c>
      <c r="E21" s="604">
        <v>754990.52</v>
      </c>
      <c r="F21" s="277" t="s">
        <v>658</v>
      </c>
      <c r="G21" s="424" t="s">
        <v>646</v>
      </c>
      <c r="H21" s="267">
        <v>91342.68</v>
      </c>
      <c r="I21" s="267">
        <v>91342.68</v>
      </c>
      <c r="J21" s="267">
        <v>91342.68</v>
      </c>
      <c r="K21" s="267">
        <v>91342.68</v>
      </c>
      <c r="L21" s="267">
        <v>22826.21</v>
      </c>
      <c r="M21" s="291"/>
      <c r="N21" s="291"/>
      <c r="O21" s="291"/>
      <c r="P21" s="291"/>
      <c r="Q21" s="291"/>
      <c r="R21" s="291"/>
      <c r="S21" s="291"/>
      <c r="T21" s="291"/>
      <c r="U21" s="291"/>
      <c r="V21" s="267"/>
      <c r="W21" s="267"/>
      <c r="X21" s="268">
        <f t="shared" si="1"/>
        <v>388196.93</v>
      </c>
    </row>
    <row r="22" spans="1:24" s="269" customFormat="1" x14ac:dyDescent="0.2">
      <c r="A22" s="609">
        <v>8.8519813519813493</v>
      </c>
      <c r="B22" s="270" t="s">
        <v>668</v>
      </c>
      <c r="C22" s="607"/>
      <c r="D22" s="607"/>
      <c r="E22" s="605"/>
      <c r="F22" s="271" t="s">
        <v>663</v>
      </c>
      <c r="G22" s="423">
        <v>2.5000000000000001E-3</v>
      </c>
      <c r="H22" s="273">
        <v>1365</v>
      </c>
      <c r="I22" s="273">
        <v>1150</v>
      </c>
      <c r="J22" s="273">
        <v>780</v>
      </c>
      <c r="K22" s="273">
        <v>410</v>
      </c>
      <c r="L22" s="273">
        <v>65</v>
      </c>
      <c r="M22" s="292"/>
      <c r="N22" s="292"/>
      <c r="O22" s="292"/>
      <c r="P22" s="292"/>
      <c r="Q22" s="292"/>
      <c r="R22" s="292"/>
      <c r="S22" s="292"/>
      <c r="T22" s="292"/>
      <c r="U22" s="292"/>
      <c r="V22" s="272"/>
      <c r="W22" s="272"/>
      <c r="X22" s="274">
        <f t="shared" si="1"/>
        <v>3770</v>
      </c>
    </row>
    <row r="23" spans="1:24" s="269" customFormat="1" ht="12.75" customHeight="1" x14ac:dyDescent="0.2">
      <c r="A23" s="617">
        <v>9</v>
      </c>
      <c r="B23" s="285" t="s">
        <v>649</v>
      </c>
      <c r="C23" s="623" t="s">
        <v>669</v>
      </c>
      <c r="D23" s="623">
        <v>535</v>
      </c>
      <c r="E23" s="621">
        <v>2963664.12</v>
      </c>
      <c r="F23" s="293" t="s">
        <v>670</v>
      </c>
      <c r="G23" s="425" t="s">
        <v>646</v>
      </c>
      <c r="H23" s="281">
        <v>223567.32</v>
      </c>
      <c r="I23" s="281">
        <v>223567.32</v>
      </c>
      <c r="J23" s="281">
        <v>223567.32</v>
      </c>
      <c r="K23" s="281">
        <v>223567.32</v>
      </c>
      <c r="L23" s="281">
        <v>223567.32</v>
      </c>
      <c r="M23" s="281">
        <v>223567.32</v>
      </c>
      <c r="N23" s="281">
        <v>223567.32</v>
      </c>
      <c r="O23" s="281">
        <v>223567.32</v>
      </c>
      <c r="P23" s="281">
        <v>223567.32</v>
      </c>
      <c r="Q23" s="281">
        <v>55866.09</v>
      </c>
      <c r="R23" s="286"/>
      <c r="S23" s="286"/>
      <c r="T23" s="286"/>
      <c r="U23" s="286"/>
      <c r="V23" s="281"/>
      <c r="W23" s="281"/>
      <c r="X23" s="268">
        <f t="shared" si="1"/>
        <v>2067971.9700000004</v>
      </c>
    </row>
    <row r="24" spans="1:24" s="269" customFormat="1" x14ac:dyDescent="0.2">
      <c r="A24" s="618"/>
      <c r="B24" s="294" t="s">
        <v>671</v>
      </c>
      <c r="C24" s="624"/>
      <c r="D24" s="624"/>
      <c r="E24" s="622"/>
      <c r="F24" s="287" t="s">
        <v>672</v>
      </c>
      <c r="G24" s="423">
        <v>2.5000000000000001E-3</v>
      </c>
      <c r="H24" s="289">
        <v>7440</v>
      </c>
      <c r="I24" s="289">
        <v>7345</v>
      </c>
      <c r="J24" s="289">
        <v>6455</v>
      </c>
      <c r="K24" s="289">
        <v>5530</v>
      </c>
      <c r="L24" s="289">
        <v>4625</v>
      </c>
      <c r="M24" s="289">
        <v>3715</v>
      </c>
      <c r="N24" s="289">
        <v>2815</v>
      </c>
      <c r="O24" s="289">
        <v>1905</v>
      </c>
      <c r="P24" s="289">
        <v>995</v>
      </c>
      <c r="Q24" s="289">
        <v>160</v>
      </c>
      <c r="R24" s="290"/>
      <c r="S24" s="290"/>
      <c r="T24" s="290"/>
      <c r="U24" s="290"/>
      <c r="V24" s="288"/>
      <c r="W24" s="288"/>
      <c r="X24" s="274">
        <f t="shared" si="1"/>
        <v>40985</v>
      </c>
    </row>
    <row r="25" spans="1:24" s="269" customFormat="1" ht="12.75" customHeight="1" x14ac:dyDescent="0.2">
      <c r="A25" s="593">
        <v>10</v>
      </c>
      <c r="B25" s="334" t="s">
        <v>649</v>
      </c>
      <c r="C25" s="599" t="s">
        <v>673</v>
      </c>
      <c r="D25" s="599">
        <v>533</v>
      </c>
      <c r="E25" s="597">
        <v>55090.75</v>
      </c>
      <c r="F25" s="443" t="s">
        <v>670</v>
      </c>
      <c r="G25" s="444" t="s">
        <v>646</v>
      </c>
      <c r="H25" s="385"/>
      <c r="I25" s="385"/>
      <c r="J25" s="385"/>
      <c r="K25" s="385"/>
      <c r="L25" s="385"/>
      <c r="M25" s="385"/>
      <c r="N25" s="445"/>
      <c r="O25" s="445"/>
      <c r="P25" s="445"/>
      <c r="Q25" s="445"/>
      <c r="R25" s="445"/>
      <c r="S25" s="445"/>
      <c r="T25" s="445"/>
      <c r="U25" s="445"/>
      <c r="V25" s="385"/>
      <c r="W25" s="385"/>
      <c r="X25" s="339">
        <f t="shared" si="1"/>
        <v>0</v>
      </c>
    </row>
    <row r="26" spans="1:24" s="269" customFormat="1" x14ac:dyDescent="0.2">
      <c r="A26" s="594"/>
      <c r="B26" s="446" t="s">
        <v>674</v>
      </c>
      <c r="C26" s="600"/>
      <c r="D26" s="600"/>
      <c r="E26" s="598"/>
      <c r="F26" s="447" t="s">
        <v>675</v>
      </c>
      <c r="G26" s="448">
        <v>2.5000000000000001E-3</v>
      </c>
      <c r="H26" s="388">
        <v>16.25</v>
      </c>
      <c r="I26" s="449"/>
      <c r="J26" s="449"/>
      <c r="K26" s="449"/>
      <c r="L26" s="449"/>
      <c r="M26" s="388"/>
      <c r="N26" s="450"/>
      <c r="O26" s="450"/>
      <c r="P26" s="450"/>
      <c r="Q26" s="450"/>
      <c r="R26" s="450"/>
      <c r="S26" s="450"/>
      <c r="T26" s="450"/>
      <c r="U26" s="450"/>
      <c r="V26" s="388"/>
      <c r="W26" s="388"/>
      <c r="X26" s="341">
        <f t="shared" si="1"/>
        <v>16.25</v>
      </c>
    </row>
    <row r="27" spans="1:24" s="269" customFormat="1" ht="12.75" customHeight="1" x14ac:dyDescent="0.2">
      <c r="A27" s="617">
        <v>11</v>
      </c>
      <c r="B27" s="285" t="s">
        <v>649</v>
      </c>
      <c r="C27" s="623" t="s">
        <v>676</v>
      </c>
      <c r="D27" s="623">
        <v>536</v>
      </c>
      <c r="E27" s="621">
        <v>4539311.0999999996</v>
      </c>
      <c r="F27" s="293" t="s">
        <v>670</v>
      </c>
      <c r="G27" s="425" t="s">
        <v>646</v>
      </c>
      <c r="H27" s="281">
        <v>379500</v>
      </c>
      <c r="I27" s="281">
        <v>379500</v>
      </c>
      <c r="J27" s="281">
        <v>379500</v>
      </c>
      <c r="K27" s="281">
        <v>379500</v>
      </c>
      <c r="L27" s="281">
        <v>379500</v>
      </c>
      <c r="M27" s="281">
        <v>379500</v>
      </c>
      <c r="N27" s="281">
        <v>379500</v>
      </c>
      <c r="O27" s="281">
        <v>379500</v>
      </c>
      <c r="P27" s="281">
        <v>379500</v>
      </c>
      <c r="Q27" s="281">
        <v>93540.23</v>
      </c>
      <c r="R27" s="286"/>
      <c r="S27" s="286"/>
      <c r="T27" s="286"/>
      <c r="U27" s="286"/>
      <c r="V27" s="281"/>
      <c r="W27" s="281"/>
      <c r="X27" s="268">
        <f t="shared" si="1"/>
        <v>3509040.23</v>
      </c>
    </row>
    <row r="28" spans="1:24" s="269" customFormat="1" x14ac:dyDescent="0.2">
      <c r="A28" s="618"/>
      <c r="B28" s="294" t="s">
        <v>677</v>
      </c>
      <c r="C28" s="624"/>
      <c r="D28" s="624"/>
      <c r="E28" s="622"/>
      <c r="F28" s="287" t="s">
        <v>672</v>
      </c>
      <c r="G28" s="423">
        <v>2.5000000000000001E-3</v>
      </c>
      <c r="H28" s="289">
        <v>12615</v>
      </c>
      <c r="I28" s="289">
        <v>12455</v>
      </c>
      <c r="J28" s="289">
        <v>10950</v>
      </c>
      <c r="K28" s="289">
        <v>9380</v>
      </c>
      <c r="L28" s="289">
        <v>7840</v>
      </c>
      <c r="M28" s="289">
        <v>6300</v>
      </c>
      <c r="N28" s="289">
        <v>4775</v>
      </c>
      <c r="O28" s="289">
        <v>3225</v>
      </c>
      <c r="P28" s="289">
        <v>1685</v>
      </c>
      <c r="Q28" s="289">
        <v>265</v>
      </c>
      <c r="R28" s="290"/>
      <c r="S28" s="290"/>
      <c r="T28" s="290"/>
      <c r="U28" s="290"/>
      <c r="V28" s="288"/>
      <c r="W28" s="288"/>
      <c r="X28" s="274">
        <f t="shared" si="1"/>
        <v>69490</v>
      </c>
    </row>
    <row r="29" spans="1:24" s="269" customFormat="1" ht="12.75" customHeight="1" x14ac:dyDescent="0.2">
      <c r="A29" s="608">
        <v>12</v>
      </c>
      <c r="B29" s="265" t="s">
        <v>649</v>
      </c>
      <c r="C29" s="606" t="s">
        <v>678</v>
      </c>
      <c r="D29" s="606">
        <v>537</v>
      </c>
      <c r="E29" s="604">
        <v>5020748.32</v>
      </c>
      <c r="F29" s="266" t="s">
        <v>670</v>
      </c>
      <c r="G29" s="424" t="s">
        <v>646</v>
      </c>
      <c r="H29" s="267">
        <v>419772</v>
      </c>
      <c r="I29" s="267">
        <v>419772</v>
      </c>
      <c r="J29" s="267">
        <v>419772</v>
      </c>
      <c r="K29" s="267">
        <v>419772</v>
      </c>
      <c r="L29" s="267">
        <v>419772</v>
      </c>
      <c r="M29" s="267">
        <v>419772</v>
      </c>
      <c r="N29" s="267">
        <v>419772</v>
      </c>
      <c r="O29" s="267">
        <v>419772</v>
      </c>
      <c r="P29" s="267">
        <v>419772</v>
      </c>
      <c r="Q29" s="267">
        <v>103509.44</v>
      </c>
      <c r="R29" s="291"/>
      <c r="S29" s="291"/>
      <c r="T29" s="291"/>
      <c r="U29" s="291"/>
      <c r="V29" s="267"/>
      <c r="W29" s="267"/>
      <c r="X29" s="268">
        <f t="shared" si="1"/>
        <v>3881457.44</v>
      </c>
    </row>
    <row r="30" spans="1:24" s="269" customFormat="1" x14ac:dyDescent="0.2">
      <c r="A30" s="609"/>
      <c r="B30" s="270" t="s">
        <v>679</v>
      </c>
      <c r="C30" s="607"/>
      <c r="D30" s="607"/>
      <c r="E30" s="605"/>
      <c r="F30" s="271" t="s">
        <v>672</v>
      </c>
      <c r="G30" s="423">
        <v>2.5000000000000001E-3</v>
      </c>
      <c r="H30" s="273">
        <v>13955</v>
      </c>
      <c r="I30" s="273">
        <v>13780</v>
      </c>
      <c r="J30" s="273">
        <v>12110</v>
      </c>
      <c r="K30" s="273">
        <v>10375</v>
      </c>
      <c r="L30" s="273">
        <v>8670</v>
      </c>
      <c r="M30" s="273">
        <v>6970</v>
      </c>
      <c r="N30" s="273">
        <v>5280</v>
      </c>
      <c r="O30" s="273">
        <v>3565</v>
      </c>
      <c r="P30" s="273">
        <v>1860</v>
      </c>
      <c r="Q30" s="273">
        <v>295</v>
      </c>
      <c r="R30" s="295"/>
      <c r="S30" s="295"/>
      <c r="T30" s="295"/>
      <c r="U30" s="295"/>
      <c r="V30" s="273"/>
      <c r="W30" s="273"/>
      <c r="X30" s="274">
        <f t="shared" si="1"/>
        <v>76860</v>
      </c>
    </row>
    <row r="31" spans="1:24" s="269" customFormat="1" ht="12.75" customHeight="1" x14ac:dyDescent="0.2">
      <c r="A31" s="617">
        <v>13</v>
      </c>
      <c r="B31" s="285" t="s">
        <v>649</v>
      </c>
      <c r="C31" s="623" t="s">
        <v>680</v>
      </c>
      <c r="D31" s="623">
        <v>538</v>
      </c>
      <c r="E31" s="621">
        <v>367297.28000000003</v>
      </c>
      <c r="F31" s="293" t="s">
        <v>670</v>
      </c>
      <c r="G31" s="425" t="s">
        <v>646</v>
      </c>
      <c r="H31" s="281">
        <v>39709.519999999997</v>
      </c>
      <c r="I31" s="281">
        <v>39709.519999999997</v>
      </c>
      <c r="J31" s="281">
        <v>39709.519999999997</v>
      </c>
      <c r="K31" s="281">
        <v>39709.519999999997</v>
      </c>
      <c r="L31" s="281">
        <v>9911.6200000000008</v>
      </c>
      <c r="M31" s="286"/>
      <c r="N31" s="286"/>
      <c r="O31" s="286"/>
      <c r="P31" s="286"/>
      <c r="Q31" s="286"/>
      <c r="R31" s="286"/>
      <c r="S31" s="286"/>
      <c r="T31" s="286"/>
      <c r="U31" s="286"/>
      <c r="V31" s="281"/>
      <c r="W31" s="281"/>
      <c r="X31" s="268">
        <f t="shared" si="1"/>
        <v>168749.69999999998</v>
      </c>
    </row>
    <row r="32" spans="1:24" s="269" customFormat="1" x14ac:dyDescent="0.2">
      <c r="A32" s="618"/>
      <c r="B32" s="294" t="s">
        <v>681</v>
      </c>
      <c r="C32" s="624"/>
      <c r="D32" s="624"/>
      <c r="E32" s="622"/>
      <c r="F32" s="287" t="s">
        <v>675</v>
      </c>
      <c r="G32" s="423">
        <v>2.5000000000000001E-3</v>
      </c>
      <c r="H32" s="289">
        <v>595</v>
      </c>
      <c r="I32" s="289">
        <v>500</v>
      </c>
      <c r="J32" s="289">
        <v>340</v>
      </c>
      <c r="K32" s="289">
        <v>180</v>
      </c>
      <c r="L32" s="289">
        <v>30</v>
      </c>
      <c r="M32" s="296"/>
      <c r="N32" s="290"/>
      <c r="O32" s="290"/>
      <c r="P32" s="290"/>
      <c r="Q32" s="290"/>
      <c r="R32" s="290"/>
      <c r="S32" s="290"/>
      <c r="T32" s="290"/>
      <c r="U32" s="290"/>
      <c r="V32" s="288"/>
      <c r="W32" s="288"/>
      <c r="X32" s="274">
        <f t="shared" si="1"/>
        <v>1645</v>
      </c>
    </row>
    <row r="33" spans="1:24" s="269" customFormat="1" ht="12.75" customHeight="1" x14ac:dyDescent="0.2">
      <c r="A33" s="608">
        <v>14</v>
      </c>
      <c r="B33" s="265" t="s">
        <v>649</v>
      </c>
      <c r="C33" s="606" t="s">
        <v>682</v>
      </c>
      <c r="D33" s="606">
        <v>539</v>
      </c>
      <c r="E33" s="604">
        <v>238543.04</v>
      </c>
      <c r="F33" s="266" t="s">
        <v>683</v>
      </c>
      <c r="G33" s="424" t="s">
        <v>646</v>
      </c>
      <c r="H33" s="267">
        <v>25110.84</v>
      </c>
      <c r="I33" s="267">
        <v>25110.84</v>
      </c>
      <c r="J33" s="267">
        <v>25110.84</v>
      </c>
      <c r="K33" s="267">
        <v>25110.84</v>
      </c>
      <c r="L33" s="267">
        <v>12545.47</v>
      </c>
      <c r="M33" s="291"/>
      <c r="N33" s="291"/>
      <c r="O33" s="291"/>
      <c r="P33" s="291"/>
      <c r="Q33" s="291"/>
      <c r="R33" s="291"/>
      <c r="S33" s="291"/>
      <c r="T33" s="291"/>
      <c r="U33" s="291"/>
      <c r="V33" s="267"/>
      <c r="W33" s="267"/>
      <c r="X33" s="268">
        <f t="shared" si="1"/>
        <v>112988.83</v>
      </c>
    </row>
    <row r="34" spans="1:24" s="269" customFormat="1" x14ac:dyDescent="0.2">
      <c r="A34" s="609"/>
      <c r="B34" s="270" t="s">
        <v>684</v>
      </c>
      <c r="C34" s="607"/>
      <c r="D34" s="607"/>
      <c r="E34" s="605"/>
      <c r="F34" s="271" t="s">
        <v>685</v>
      </c>
      <c r="G34" s="423">
        <v>2.5000000000000001E-3</v>
      </c>
      <c r="H34" s="273">
        <v>400</v>
      </c>
      <c r="I34" s="273">
        <v>345</v>
      </c>
      <c r="J34" s="273">
        <v>240</v>
      </c>
      <c r="K34" s="273">
        <v>140</v>
      </c>
      <c r="L34" s="273">
        <v>40</v>
      </c>
      <c r="M34" s="292"/>
      <c r="N34" s="292"/>
      <c r="O34" s="292"/>
      <c r="P34" s="292"/>
      <c r="Q34" s="292"/>
      <c r="R34" s="292"/>
      <c r="S34" s="292"/>
      <c r="T34" s="292"/>
      <c r="U34" s="292"/>
      <c r="V34" s="272"/>
      <c r="W34" s="272"/>
      <c r="X34" s="274">
        <f t="shared" si="1"/>
        <v>1165</v>
      </c>
    </row>
    <row r="35" spans="1:24" s="269" customFormat="1" ht="12.75" customHeight="1" x14ac:dyDescent="0.2">
      <c r="A35" s="617">
        <v>15</v>
      </c>
      <c r="B35" s="285" t="s">
        <v>649</v>
      </c>
      <c r="C35" s="623" t="s">
        <v>686</v>
      </c>
      <c r="D35" s="623">
        <v>540</v>
      </c>
      <c r="E35" s="621">
        <v>269491.92</v>
      </c>
      <c r="F35" s="293" t="s">
        <v>683</v>
      </c>
      <c r="G35" s="425" t="s">
        <v>646</v>
      </c>
      <c r="H35" s="281">
        <v>28372.080000000002</v>
      </c>
      <c r="I35" s="281">
        <v>28372.080000000002</v>
      </c>
      <c r="J35" s="281">
        <v>28372.080000000002</v>
      </c>
      <c r="K35" s="281">
        <v>28372.080000000002</v>
      </c>
      <c r="L35" s="281">
        <v>14143.22</v>
      </c>
      <c r="M35" s="286"/>
      <c r="N35" s="286"/>
      <c r="O35" s="286"/>
      <c r="P35" s="286"/>
      <c r="Q35" s="286"/>
      <c r="R35" s="286"/>
      <c r="S35" s="286"/>
      <c r="T35" s="286"/>
      <c r="U35" s="286"/>
      <c r="V35" s="281"/>
      <c r="W35" s="281"/>
      <c r="X35" s="268">
        <f t="shared" si="1"/>
        <v>127631.54000000001</v>
      </c>
    </row>
    <row r="36" spans="1:24" s="269" customFormat="1" x14ac:dyDescent="0.2">
      <c r="A36" s="618"/>
      <c r="B36" s="294" t="s">
        <v>687</v>
      </c>
      <c r="C36" s="624"/>
      <c r="D36" s="624"/>
      <c r="E36" s="622"/>
      <c r="F36" s="287" t="s">
        <v>685</v>
      </c>
      <c r="G36" s="423">
        <v>2.5000000000000001E-3</v>
      </c>
      <c r="H36" s="289">
        <v>450</v>
      </c>
      <c r="I36" s="289">
        <v>385</v>
      </c>
      <c r="J36" s="289">
        <v>275</v>
      </c>
      <c r="K36" s="289">
        <v>155</v>
      </c>
      <c r="L36" s="289">
        <v>45</v>
      </c>
      <c r="M36" s="296"/>
      <c r="N36" s="290"/>
      <c r="O36" s="290"/>
      <c r="P36" s="290"/>
      <c r="Q36" s="290"/>
      <c r="R36" s="290"/>
      <c r="S36" s="290"/>
      <c r="T36" s="290"/>
      <c r="U36" s="290"/>
      <c r="V36" s="288"/>
      <c r="W36" s="288"/>
      <c r="X36" s="274">
        <f t="shared" si="1"/>
        <v>1310</v>
      </c>
    </row>
    <row r="37" spans="1:24" s="269" customFormat="1" ht="12.75" customHeight="1" x14ac:dyDescent="0.2">
      <c r="A37" s="608">
        <v>16</v>
      </c>
      <c r="B37" s="265" t="s">
        <v>649</v>
      </c>
      <c r="C37" s="606" t="s">
        <v>688</v>
      </c>
      <c r="D37" s="606">
        <v>542</v>
      </c>
      <c r="E37" s="604">
        <v>87193.58</v>
      </c>
      <c r="F37" s="266" t="s">
        <v>689</v>
      </c>
      <c r="G37" s="424" t="s">
        <v>646</v>
      </c>
      <c r="H37" s="267">
        <v>9180.36</v>
      </c>
      <c r="I37" s="267">
        <v>9180.36</v>
      </c>
      <c r="J37" s="267">
        <v>9180.36</v>
      </c>
      <c r="K37" s="267">
        <v>9180.36</v>
      </c>
      <c r="L37" s="267">
        <v>4570.34</v>
      </c>
      <c r="M37" s="291"/>
      <c r="N37" s="291"/>
      <c r="O37" s="291"/>
      <c r="P37" s="291"/>
      <c r="Q37" s="291"/>
      <c r="R37" s="291"/>
      <c r="S37" s="291"/>
      <c r="T37" s="291"/>
      <c r="U37" s="291"/>
      <c r="V37" s="267"/>
      <c r="W37" s="267"/>
      <c r="X37" s="268">
        <f t="shared" si="1"/>
        <v>41291.78</v>
      </c>
    </row>
    <row r="38" spans="1:24" s="269" customFormat="1" x14ac:dyDescent="0.2">
      <c r="A38" s="609"/>
      <c r="B38" s="270" t="s">
        <v>690</v>
      </c>
      <c r="C38" s="607"/>
      <c r="D38" s="607"/>
      <c r="E38" s="605"/>
      <c r="F38" s="271" t="s">
        <v>685</v>
      </c>
      <c r="G38" s="423">
        <v>2.5000000000000001E-3</v>
      </c>
      <c r="H38" s="273">
        <v>150</v>
      </c>
      <c r="I38" s="273">
        <v>125</v>
      </c>
      <c r="J38" s="273">
        <v>90</v>
      </c>
      <c r="K38" s="273">
        <v>55</v>
      </c>
      <c r="L38" s="273">
        <v>15</v>
      </c>
      <c r="M38" s="273"/>
      <c r="N38" s="272"/>
      <c r="O38" s="272"/>
      <c r="P38" s="272"/>
      <c r="Q38" s="272"/>
      <c r="R38" s="292"/>
      <c r="S38" s="292"/>
      <c r="T38" s="292"/>
      <c r="U38" s="292"/>
      <c r="V38" s="272"/>
      <c r="W38" s="272"/>
      <c r="X38" s="274">
        <f t="shared" si="1"/>
        <v>435</v>
      </c>
    </row>
    <row r="39" spans="1:24" s="269" customFormat="1" ht="12.75" customHeight="1" x14ac:dyDescent="0.2">
      <c r="A39" s="617">
        <v>17</v>
      </c>
      <c r="B39" s="285" t="s">
        <v>649</v>
      </c>
      <c r="C39" s="623" t="s">
        <v>691</v>
      </c>
      <c r="D39" s="623">
        <v>541</v>
      </c>
      <c r="E39" s="621">
        <v>876419.31</v>
      </c>
      <c r="F39" s="293" t="s">
        <v>689</v>
      </c>
      <c r="G39" s="425" t="s">
        <v>646</v>
      </c>
      <c r="H39" s="267">
        <v>63636.52</v>
      </c>
      <c r="I39" s="267">
        <v>63636.52</v>
      </c>
      <c r="J39" s="281">
        <v>63636.52</v>
      </c>
      <c r="K39" s="281">
        <v>63636.52</v>
      </c>
      <c r="L39" s="281">
        <v>63636.52</v>
      </c>
      <c r="M39" s="281">
        <v>63636.52</v>
      </c>
      <c r="N39" s="281">
        <v>63636.52</v>
      </c>
      <c r="O39" s="281">
        <v>63636.52</v>
      </c>
      <c r="P39" s="281">
        <v>63636.52</v>
      </c>
      <c r="Q39" s="281">
        <v>47721.68</v>
      </c>
      <c r="R39" s="286"/>
      <c r="S39" s="286"/>
      <c r="T39" s="286"/>
      <c r="U39" s="286"/>
      <c r="V39" s="281"/>
      <c r="W39" s="281"/>
      <c r="X39" s="268">
        <f t="shared" si="1"/>
        <v>620450.3600000001</v>
      </c>
    </row>
    <row r="40" spans="1:24" s="269" customFormat="1" x14ac:dyDescent="0.2">
      <c r="A40" s="618"/>
      <c r="B40" s="294" t="s">
        <v>692</v>
      </c>
      <c r="C40" s="624"/>
      <c r="D40" s="624"/>
      <c r="E40" s="622"/>
      <c r="F40" s="287" t="s">
        <v>693</v>
      </c>
      <c r="G40" s="423">
        <v>2.5000000000000001E-3</v>
      </c>
      <c r="H40" s="273">
        <v>2235</v>
      </c>
      <c r="I40" s="273">
        <v>2220</v>
      </c>
      <c r="J40" s="289">
        <v>1970</v>
      </c>
      <c r="K40" s="289">
        <v>1705</v>
      </c>
      <c r="L40" s="289">
        <v>1445</v>
      </c>
      <c r="M40" s="289">
        <v>1190</v>
      </c>
      <c r="N40" s="289">
        <v>935</v>
      </c>
      <c r="O40" s="289">
        <v>670</v>
      </c>
      <c r="P40" s="289">
        <v>415</v>
      </c>
      <c r="Q40" s="289">
        <v>155</v>
      </c>
      <c r="R40" s="296"/>
      <c r="S40" s="296"/>
      <c r="T40" s="296"/>
      <c r="U40" s="296"/>
      <c r="V40" s="289"/>
      <c r="W40" s="289"/>
      <c r="X40" s="274">
        <f t="shared" si="1"/>
        <v>12940</v>
      </c>
    </row>
    <row r="41" spans="1:24" s="297" customFormat="1" ht="12.75" customHeight="1" x14ac:dyDescent="0.2">
      <c r="A41" s="608">
        <v>18</v>
      </c>
      <c r="B41" s="265" t="s">
        <v>649</v>
      </c>
      <c r="C41" s="606" t="s">
        <v>694</v>
      </c>
      <c r="D41" s="606">
        <v>544</v>
      </c>
      <c r="E41" s="604">
        <v>215078.46</v>
      </c>
      <c r="F41" s="266" t="s">
        <v>695</v>
      </c>
      <c r="G41" s="424" t="s">
        <v>646</v>
      </c>
      <c r="H41" s="267">
        <v>20483.68</v>
      </c>
      <c r="I41" s="267">
        <v>20483.68</v>
      </c>
      <c r="J41" s="267">
        <v>20483.68</v>
      </c>
      <c r="K41" s="267">
        <v>20483.68</v>
      </c>
      <c r="L41" s="267">
        <v>20483.68</v>
      </c>
      <c r="M41" s="267">
        <v>10241.67</v>
      </c>
      <c r="N41" s="267"/>
      <c r="O41" s="267"/>
      <c r="P41" s="267"/>
      <c r="Q41" s="267"/>
      <c r="R41" s="291"/>
      <c r="S41" s="291"/>
      <c r="T41" s="291"/>
      <c r="U41" s="291"/>
      <c r="V41" s="267"/>
      <c r="W41" s="267"/>
      <c r="X41" s="268">
        <f t="shared" si="1"/>
        <v>112660.06999999999</v>
      </c>
    </row>
    <row r="42" spans="1:24" s="269" customFormat="1" x14ac:dyDescent="0.2">
      <c r="A42" s="609"/>
      <c r="B42" s="270" t="s">
        <v>696</v>
      </c>
      <c r="C42" s="645"/>
      <c r="D42" s="607"/>
      <c r="E42" s="605"/>
      <c r="F42" s="271" t="s">
        <v>697</v>
      </c>
      <c r="G42" s="423">
        <v>2.5000000000000001E-3</v>
      </c>
      <c r="H42" s="273">
        <v>400</v>
      </c>
      <c r="I42" s="273">
        <v>365</v>
      </c>
      <c r="J42" s="273">
        <v>280</v>
      </c>
      <c r="K42" s="273">
        <v>195</v>
      </c>
      <c r="L42" s="273">
        <v>115</v>
      </c>
      <c r="M42" s="273">
        <v>30</v>
      </c>
      <c r="N42" s="295"/>
      <c r="O42" s="292"/>
      <c r="P42" s="292"/>
      <c r="Q42" s="292"/>
      <c r="R42" s="292"/>
      <c r="S42" s="292"/>
      <c r="T42" s="292"/>
      <c r="U42" s="292"/>
      <c r="V42" s="272"/>
      <c r="W42" s="272"/>
      <c r="X42" s="274">
        <f t="shared" si="1"/>
        <v>1385</v>
      </c>
    </row>
    <row r="43" spans="1:24" s="297" customFormat="1" ht="12.75" customHeight="1" x14ac:dyDescent="0.2">
      <c r="A43" s="608">
        <v>19</v>
      </c>
      <c r="B43" s="516" t="s">
        <v>649</v>
      </c>
      <c r="C43" s="606" t="s">
        <v>698</v>
      </c>
      <c r="D43" s="606">
        <v>543</v>
      </c>
      <c r="E43" s="604">
        <v>64700</v>
      </c>
      <c r="F43" s="266" t="s">
        <v>695</v>
      </c>
      <c r="G43" s="516" t="s">
        <v>646</v>
      </c>
      <c r="H43" s="267">
        <v>6420</v>
      </c>
      <c r="I43" s="267">
        <v>6420</v>
      </c>
      <c r="J43" s="267">
        <v>6420</v>
      </c>
      <c r="K43" s="267">
        <v>6420</v>
      </c>
      <c r="L43" s="267">
        <v>6420</v>
      </c>
      <c r="M43" s="267">
        <v>3200</v>
      </c>
      <c r="N43" s="291"/>
      <c r="O43" s="291"/>
      <c r="P43" s="291"/>
      <c r="Q43" s="291"/>
      <c r="R43" s="291"/>
      <c r="S43" s="291"/>
      <c r="T43" s="291"/>
      <c r="U43" s="291"/>
      <c r="V43" s="267"/>
      <c r="W43" s="267"/>
      <c r="X43" s="268">
        <f t="shared" si="1"/>
        <v>35300</v>
      </c>
    </row>
    <row r="44" spans="1:24" s="269" customFormat="1" x14ac:dyDescent="0.2">
      <c r="A44" s="609"/>
      <c r="B44" s="517" t="s">
        <v>699</v>
      </c>
      <c r="C44" s="607"/>
      <c r="D44" s="607"/>
      <c r="E44" s="605"/>
      <c r="F44" s="271" t="s">
        <v>697</v>
      </c>
      <c r="G44" s="423">
        <v>2.5000000000000001E-3</v>
      </c>
      <c r="H44" s="273">
        <v>130</v>
      </c>
      <c r="I44" s="273">
        <v>115</v>
      </c>
      <c r="J44" s="273">
        <v>90</v>
      </c>
      <c r="K44" s="273">
        <v>65</v>
      </c>
      <c r="L44" s="273">
        <v>40</v>
      </c>
      <c r="M44" s="273">
        <v>10</v>
      </c>
      <c r="N44" s="292"/>
      <c r="O44" s="292"/>
      <c r="P44" s="292"/>
      <c r="Q44" s="292"/>
      <c r="R44" s="292"/>
      <c r="S44" s="292"/>
      <c r="T44" s="292"/>
      <c r="U44" s="292"/>
      <c r="V44" s="272"/>
      <c r="W44" s="272"/>
      <c r="X44" s="274">
        <f t="shared" si="1"/>
        <v>450</v>
      </c>
    </row>
    <row r="45" spans="1:24" s="297" customFormat="1" ht="13.5" customHeight="1" x14ac:dyDescent="0.2">
      <c r="A45" s="608">
        <v>20</v>
      </c>
      <c r="B45" s="265" t="s">
        <v>649</v>
      </c>
      <c r="C45" s="606" t="s">
        <v>700</v>
      </c>
      <c r="D45" s="606">
        <v>545</v>
      </c>
      <c r="E45" s="604">
        <v>241620.71</v>
      </c>
      <c r="F45" s="266" t="s">
        <v>701</v>
      </c>
      <c r="G45" s="424" t="s">
        <v>646</v>
      </c>
      <c r="H45" s="267">
        <v>23016.36</v>
      </c>
      <c r="I45" s="267">
        <v>23016.36</v>
      </c>
      <c r="J45" s="267">
        <v>23016.36</v>
      </c>
      <c r="K45" s="267">
        <v>23016.36</v>
      </c>
      <c r="L45" s="267">
        <v>23016.36</v>
      </c>
      <c r="M45" s="267">
        <v>11457.09</v>
      </c>
      <c r="N45" s="267"/>
      <c r="O45" s="267"/>
      <c r="P45" s="267"/>
      <c r="Q45" s="267"/>
      <c r="R45" s="267"/>
      <c r="S45" s="291"/>
      <c r="T45" s="291"/>
      <c r="U45" s="291"/>
      <c r="V45" s="267"/>
      <c r="W45" s="267"/>
      <c r="X45" s="268">
        <f t="shared" si="1"/>
        <v>126538.89</v>
      </c>
    </row>
    <row r="46" spans="1:24" s="269" customFormat="1" x14ac:dyDescent="0.2">
      <c r="A46" s="609"/>
      <c r="B46" s="270" t="s">
        <v>702</v>
      </c>
      <c r="C46" s="607"/>
      <c r="D46" s="607"/>
      <c r="E46" s="605"/>
      <c r="F46" s="271" t="s">
        <v>703</v>
      </c>
      <c r="G46" s="423">
        <v>2.5000000000000001E-3</v>
      </c>
      <c r="H46" s="273">
        <v>450</v>
      </c>
      <c r="I46" s="273">
        <v>410</v>
      </c>
      <c r="J46" s="273">
        <v>315</v>
      </c>
      <c r="K46" s="273">
        <v>220</v>
      </c>
      <c r="L46" s="273">
        <v>130</v>
      </c>
      <c r="M46" s="273">
        <v>35</v>
      </c>
      <c r="N46" s="273"/>
      <c r="O46" s="272"/>
      <c r="P46" s="272"/>
      <c r="Q46" s="272"/>
      <c r="R46" s="272"/>
      <c r="S46" s="292"/>
      <c r="T46" s="292"/>
      <c r="U46" s="292"/>
      <c r="V46" s="272"/>
      <c r="W46" s="272"/>
      <c r="X46" s="274">
        <f t="shared" si="1"/>
        <v>1560</v>
      </c>
    </row>
    <row r="47" spans="1:24" s="297" customFormat="1" ht="12.75" customHeight="1" x14ac:dyDescent="0.2">
      <c r="A47" s="617">
        <v>21</v>
      </c>
      <c r="B47" s="285" t="s">
        <v>649</v>
      </c>
      <c r="C47" s="623" t="s">
        <v>704</v>
      </c>
      <c r="D47" s="623">
        <v>546</v>
      </c>
      <c r="E47" s="621">
        <v>993544.59</v>
      </c>
      <c r="F47" s="293" t="s">
        <v>705</v>
      </c>
      <c r="G47" s="425" t="s">
        <v>646</v>
      </c>
      <c r="H47" s="281">
        <v>67262</v>
      </c>
      <c r="I47" s="281">
        <v>67262</v>
      </c>
      <c r="J47" s="281">
        <v>67262</v>
      </c>
      <c r="K47" s="281">
        <v>67262</v>
      </c>
      <c r="L47" s="281">
        <v>67262</v>
      </c>
      <c r="M47" s="281">
        <v>67262</v>
      </c>
      <c r="N47" s="281">
        <v>67262</v>
      </c>
      <c r="O47" s="281">
        <v>67262</v>
      </c>
      <c r="P47" s="281">
        <v>67262</v>
      </c>
      <c r="Q47" s="281">
        <v>67262</v>
      </c>
      <c r="R47" s="281">
        <v>50453.72</v>
      </c>
      <c r="S47" s="286"/>
      <c r="T47" s="286"/>
      <c r="U47" s="286"/>
      <c r="V47" s="281"/>
      <c r="W47" s="281"/>
      <c r="X47" s="268">
        <f t="shared" si="1"/>
        <v>723073.72</v>
      </c>
    </row>
    <row r="48" spans="1:24" s="269" customFormat="1" x14ac:dyDescent="0.2">
      <c r="A48" s="618"/>
      <c r="B48" s="294" t="s">
        <v>706</v>
      </c>
      <c r="C48" s="644"/>
      <c r="D48" s="624"/>
      <c r="E48" s="622"/>
      <c r="F48" s="287" t="s">
        <v>707</v>
      </c>
      <c r="G48" s="423">
        <v>2.5000000000000001E-3</v>
      </c>
      <c r="H48" s="289">
        <v>2610</v>
      </c>
      <c r="I48" s="289">
        <v>2620</v>
      </c>
      <c r="J48" s="289">
        <v>2355</v>
      </c>
      <c r="K48" s="289">
        <v>2075</v>
      </c>
      <c r="L48" s="289">
        <v>1800</v>
      </c>
      <c r="M48" s="289">
        <v>1530</v>
      </c>
      <c r="N48" s="289">
        <v>1260</v>
      </c>
      <c r="O48" s="289">
        <v>985</v>
      </c>
      <c r="P48" s="289">
        <v>710</v>
      </c>
      <c r="Q48" s="289">
        <v>440</v>
      </c>
      <c r="R48" s="289">
        <v>165</v>
      </c>
      <c r="S48" s="296"/>
      <c r="T48" s="296"/>
      <c r="U48" s="296"/>
      <c r="V48" s="289"/>
      <c r="W48" s="289"/>
      <c r="X48" s="274">
        <f t="shared" si="1"/>
        <v>16550</v>
      </c>
    </row>
    <row r="49" spans="1:24" s="297" customFormat="1" ht="12.75" customHeight="1" x14ac:dyDescent="0.2">
      <c r="A49" s="608">
        <v>22</v>
      </c>
      <c r="B49" s="265" t="s">
        <v>649</v>
      </c>
      <c r="C49" s="606" t="s">
        <v>708</v>
      </c>
      <c r="D49" s="606">
        <v>548</v>
      </c>
      <c r="E49" s="604">
        <v>337718.84</v>
      </c>
      <c r="F49" s="266" t="s">
        <v>709</v>
      </c>
      <c r="G49" s="424" t="s">
        <v>646</v>
      </c>
      <c r="H49" s="267">
        <v>31417</v>
      </c>
      <c r="I49" s="267">
        <v>31417</v>
      </c>
      <c r="J49" s="267">
        <v>31417</v>
      </c>
      <c r="K49" s="267">
        <v>31417</v>
      </c>
      <c r="L49" s="267">
        <v>31417</v>
      </c>
      <c r="M49" s="267">
        <v>23548.83</v>
      </c>
      <c r="N49" s="267"/>
      <c r="O49" s="267"/>
      <c r="P49" s="267"/>
      <c r="Q49" s="267"/>
      <c r="R49" s="267"/>
      <c r="S49" s="291"/>
      <c r="T49" s="291"/>
      <c r="U49" s="291"/>
      <c r="V49" s="267"/>
      <c r="W49" s="267"/>
      <c r="X49" s="268">
        <f t="shared" si="1"/>
        <v>180633.83000000002</v>
      </c>
    </row>
    <row r="50" spans="1:24" s="269" customFormat="1" x14ac:dyDescent="0.2">
      <c r="A50" s="609"/>
      <c r="B50" s="270" t="s">
        <v>710</v>
      </c>
      <c r="C50" s="607"/>
      <c r="D50" s="607"/>
      <c r="E50" s="605"/>
      <c r="F50" s="271" t="s">
        <v>711</v>
      </c>
      <c r="G50" s="423">
        <v>2.5000000000000001E-3</v>
      </c>
      <c r="H50" s="273">
        <v>645</v>
      </c>
      <c r="I50" s="273">
        <v>590</v>
      </c>
      <c r="J50" s="273">
        <v>460</v>
      </c>
      <c r="K50" s="273">
        <v>335</v>
      </c>
      <c r="L50" s="273">
        <v>205</v>
      </c>
      <c r="M50" s="273">
        <v>80</v>
      </c>
      <c r="N50" s="272"/>
      <c r="O50" s="292"/>
      <c r="P50" s="292"/>
      <c r="Q50" s="292"/>
      <c r="R50" s="292"/>
      <c r="S50" s="292"/>
      <c r="T50" s="292"/>
      <c r="U50" s="292"/>
      <c r="V50" s="272"/>
      <c r="W50" s="272"/>
      <c r="X50" s="274">
        <f t="shared" si="1"/>
        <v>2315</v>
      </c>
    </row>
    <row r="51" spans="1:24" s="297" customFormat="1" ht="12.75" customHeight="1" x14ac:dyDescent="0.2">
      <c r="A51" s="617">
        <v>23</v>
      </c>
      <c r="B51" s="285" t="s">
        <v>649</v>
      </c>
      <c r="C51" s="623" t="s">
        <v>712</v>
      </c>
      <c r="D51" s="623">
        <v>547</v>
      </c>
      <c r="E51" s="621">
        <v>452006.32</v>
      </c>
      <c r="F51" s="293" t="s">
        <v>709</v>
      </c>
      <c r="G51" s="425" t="s">
        <v>646</v>
      </c>
      <c r="H51" s="281">
        <v>42048.72</v>
      </c>
      <c r="I51" s="281">
        <v>42048.72</v>
      </c>
      <c r="J51" s="281">
        <v>42048.72</v>
      </c>
      <c r="K51" s="281">
        <v>42048.72</v>
      </c>
      <c r="L51" s="281">
        <v>42048.72</v>
      </c>
      <c r="M51" s="281">
        <v>31519.13</v>
      </c>
      <c r="N51" s="281"/>
      <c r="O51" s="286"/>
      <c r="P51" s="286"/>
      <c r="Q51" s="286"/>
      <c r="R51" s="286"/>
      <c r="S51" s="286"/>
      <c r="T51" s="286"/>
      <c r="U51" s="286"/>
      <c r="V51" s="281"/>
      <c r="W51" s="281"/>
      <c r="X51" s="268">
        <f t="shared" si="1"/>
        <v>241762.73</v>
      </c>
    </row>
    <row r="52" spans="1:24" s="269" customFormat="1" x14ac:dyDescent="0.2">
      <c r="A52" s="618"/>
      <c r="B52" s="294" t="s">
        <v>713</v>
      </c>
      <c r="C52" s="624"/>
      <c r="D52" s="624"/>
      <c r="E52" s="622"/>
      <c r="F52" s="287" t="s">
        <v>697</v>
      </c>
      <c r="G52" s="423">
        <v>2.5000000000000001E-3</v>
      </c>
      <c r="H52" s="289">
        <v>860</v>
      </c>
      <c r="I52" s="289">
        <v>785</v>
      </c>
      <c r="J52" s="289">
        <v>615</v>
      </c>
      <c r="K52" s="289">
        <v>445</v>
      </c>
      <c r="L52" s="289">
        <v>275</v>
      </c>
      <c r="M52" s="289">
        <v>105</v>
      </c>
      <c r="N52" s="296"/>
      <c r="O52" s="290"/>
      <c r="P52" s="290"/>
      <c r="Q52" s="290"/>
      <c r="R52" s="290"/>
      <c r="S52" s="290"/>
      <c r="T52" s="290"/>
      <c r="U52" s="290"/>
      <c r="V52" s="288"/>
      <c r="W52" s="288"/>
      <c r="X52" s="274">
        <f t="shared" si="1"/>
        <v>3085</v>
      </c>
    </row>
    <row r="53" spans="1:24" s="297" customFormat="1" ht="12.75" customHeight="1" x14ac:dyDescent="0.2">
      <c r="A53" s="608">
        <v>24</v>
      </c>
      <c r="B53" s="265" t="s">
        <v>649</v>
      </c>
      <c r="C53" s="606" t="s">
        <v>714</v>
      </c>
      <c r="D53" s="606">
        <v>549</v>
      </c>
      <c r="E53" s="604">
        <v>403086.24</v>
      </c>
      <c r="F53" s="266" t="s">
        <v>715</v>
      </c>
      <c r="G53" s="424" t="s">
        <v>646</v>
      </c>
      <c r="H53" s="267">
        <v>38394.76</v>
      </c>
      <c r="I53" s="267">
        <v>38394.76</v>
      </c>
      <c r="J53" s="267">
        <v>38394.76</v>
      </c>
      <c r="K53" s="267">
        <v>38394.76</v>
      </c>
      <c r="L53" s="267">
        <v>38394.76</v>
      </c>
      <c r="M53" s="267">
        <v>19138.62</v>
      </c>
      <c r="N53" s="291"/>
      <c r="O53" s="291"/>
      <c r="P53" s="291"/>
      <c r="Q53" s="291"/>
      <c r="R53" s="291"/>
      <c r="S53" s="291"/>
      <c r="T53" s="291"/>
      <c r="U53" s="291"/>
      <c r="V53" s="267"/>
      <c r="W53" s="267"/>
      <c r="X53" s="268">
        <f t="shared" si="1"/>
        <v>211112.42</v>
      </c>
    </row>
    <row r="54" spans="1:24" s="269" customFormat="1" x14ac:dyDescent="0.2">
      <c r="A54" s="609"/>
      <c r="B54" s="270" t="s">
        <v>716</v>
      </c>
      <c r="C54" s="607"/>
      <c r="D54" s="607"/>
      <c r="E54" s="605"/>
      <c r="F54" s="271" t="s">
        <v>697</v>
      </c>
      <c r="G54" s="423">
        <v>2.5000000000000001E-3</v>
      </c>
      <c r="H54" s="273">
        <v>750</v>
      </c>
      <c r="I54" s="273">
        <v>680</v>
      </c>
      <c r="J54" s="273">
        <v>525</v>
      </c>
      <c r="K54" s="273">
        <v>370</v>
      </c>
      <c r="L54" s="273">
        <v>210</v>
      </c>
      <c r="M54" s="273">
        <v>55</v>
      </c>
      <c r="N54" s="292"/>
      <c r="O54" s="292"/>
      <c r="P54" s="292"/>
      <c r="Q54" s="292"/>
      <c r="R54" s="292"/>
      <c r="S54" s="292"/>
      <c r="T54" s="292"/>
      <c r="U54" s="292"/>
      <c r="V54" s="272"/>
      <c r="W54" s="272"/>
      <c r="X54" s="274">
        <f t="shared" si="1"/>
        <v>2590</v>
      </c>
    </row>
    <row r="55" spans="1:24" s="297" customFormat="1" ht="12.75" customHeight="1" x14ac:dyDescent="0.2">
      <c r="A55" s="617">
        <v>25</v>
      </c>
      <c r="B55" s="285" t="s">
        <v>649</v>
      </c>
      <c r="C55" s="623" t="s">
        <v>910</v>
      </c>
      <c r="D55" s="623">
        <v>557</v>
      </c>
      <c r="E55" s="621">
        <v>359487.14</v>
      </c>
      <c r="F55" s="293" t="s">
        <v>718</v>
      </c>
      <c r="G55" s="425" t="s">
        <v>646</v>
      </c>
      <c r="H55" s="281">
        <v>34240</v>
      </c>
      <c r="I55" s="281">
        <v>34240</v>
      </c>
      <c r="J55" s="281">
        <v>34240</v>
      </c>
      <c r="K55" s="281">
        <v>34240</v>
      </c>
      <c r="L55" s="281">
        <v>34240</v>
      </c>
      <c r="M55" s="281">
        <v>17087.150000000001</v>
      </c>
      <c r="N55" s="286"/>
      <c r="O55" s="286"/>
      <c r="P55" s="286"/>
      <c r="Q55" s="286"/>
      <c r="R55" s="286"/>
      <c r="S55" s="286"/>
      <c r="T55" s="286"/>
      <c r="U55" s="286"/>
      <c r="V55" s="281"/>
      <c r="W55" s="281"/>
      <c r="X55" s="268">
        <f t="shared" si="1"/>
        <v>188287.15</v>
      </c>
    </row>
    <row r="56" spans="1:24" s="269" customFormat="1" x14ac:dyDescent="0.2">
      <c r="A56" s="618"/>
      <c r="B56" s="294" t="s">
        <v>719</v>
      </c>
      <c r="C56" s="624"/>
      <c r="D56" s="624"/>
      <c r="E56" s="622"/>
      <c r="F56" s="287" t="s">
        <v>697</v>
      </c>
      <c r="G56" s="423">
        <v>2.5000000000000001E-3</v>
      </c>
      <c r="H56" s="289">
        <v>670</v>
      </c>
      <c r="I56" s="289">
        <v>605</v>
      </c>
      <c r="J56" s="289">
        <v>470</v>
      </c>
      <c r="K56" s="289">
        <v>330</v>
      </c>
      <c r="L56" s="289">
        <v>190</v>
      </c>
      <c r="M56" s="289">
        <v>50</v>
      </c>
      <c r="N56" s="288"/>
      <c r="O56" s="288"/>
      <c r="P56" s="290"/>
      <c r="Q56" s="290"/>
      <c r="R56" s="290"/>
      <c r="S56" s="290"/>
      <c r="T56" s="290"/>
      <c r="U56" s="290"/>
      <c r="V56" s="288"/>
      <c r="W56" s="288"/>
      <c r="X56" s="274">
        <f t="shared" si="1"/>
        <v>2315</v>
      </c>
    </row>
    <row r="57" spans="1:24" s="269" customFormat="1" ht="12.75" customHeight="1" x14ac:dyDescent="0.2">
      <c r="A57" s="608">
        <v>26</v>
      </c>
      <c r="B57" s="265" t="s">
        <v>649</v>
      </c>
      <c r="C57" s="606" t="s">
        <v>700</v>
      </c>
      <c r="D57" s="606">
        <v>551</v>
      </c>
      <c r="E57" s="604">
        <v>250209.16</v>
      </c>
      <c r="F57" s="266" t="s">
        <v>720</v>
      </c>
      <c r="G57" s="424" t="s">
        <v>646</v>
      </c>
      <c r="H57" s="267">
        <v>22242.32</v>
      </c>
      <c r="I57" s="267">
        <v>22242.32</v>
      </c>
      <c r="J57" s="267">
        <v>22242.32</v>
      </c>
      <c r="K57" s="267">
        <v>22242.32</v>
      </c>
      <c r="L57" s="267">
        <v>22242.32</v>
      </c>
      <c r="M57" s="267">
        <v>22242.32</v>
      </c>
      <c r="N57" s="267">
        <v>5543.63</v>
      </c>
      <c r="O57" s="267"/>
      <c r="P57" s="291"/>
      <c r="Q57" s="291"/>
      <c r="R57" s="291"/>
      <c r="S57" s="291"/>
      <c r="T57" s="291"/>
      <c r="U57" s="291"/>
      <c r="V57" s="267"/>
      <c r="W57" s="267"/>
      <c r="X57" s="268">
        <f t="shared" si="1"/>
        <v>138997.55000000002</v>
      </c>
    </row>
    <row r="58" spans="1:24" s="269" customFormat="1" x14ac:dyDescent="0.2">
      <c r="A58" s="609"/>
      <c r="B58" s="270" t="s">
        <v>721</v>
      </c>
      <c r="C58" s="607"/>
      <c r="D58" s="607"/>
      <c r="E58" s="605"/>
      <c r="F58" s="271" t="s">
        <v>722</v>
      </c>
      <c r="G58" s="423">
        <v>2.5000000000000001E-3</v>
      </c>
      <c r="H58" s="273">
        <v>495</v>
      </c>
      <c r="I58" s="273">
        <v>460</v>
      </c>
      <c r="J58" s="273">
        <v>375</v>
      </c>
      <c r="K58" s="273">
        <v>280</v>
      </c>
      <c r="L58" s="273">
        <v>190</v>
      </c>
      <c r="M58" s="273">
        <v>100</v>
      </c>
      <c r="N58" s="273">
        <v>20</v>
      </c>
      <c r="O58" s="292"/>
      <c r="P58" s="292"/>
      <c r="Q58" s="292"/>
      <c r="R58" s="292"/>
      <c r="S58" s="292"/>
      <c r="T58" s="292"/>
      <c r="U58" s="292"/>
      <c r="V58" s="272"/>
      <c r="W58" s="272"/>
      <c r="X58" s="274">
        <f t="shared" si="1"/>
        <v>1920</v>
      </c>
    </row>
    <row r="59" spans="1:24" s="269" customFormat="1" ht="12.75" customHeight="1" x14ac:dyDescent="0.2">
      <c r="A59" s="617">
        <v>27</v>
      </c>
      <c r="B59" s="285" t="s">
        <v>649</v>
      </c>
      <c r="C59" s="623" t="s">
        <v>694</v>
      </c>
      <c r="D59" s="623">
        <v>550</v>
      </c>
      <c r="E59" s="621">
        <v>76266.03</v>
      </c>
      <c r="F59" s="293" t="s">
        <v>720</v>
      </c>
      <c r="G59" s="425" t="s">
        <v>646</v>
      </c>
      <c r="H59" s="281">
        <v>6784.24</v>
      </c>
      <c r="I59" s="281">
        <v>6784.24</v>
      </c>
      <c r="J59" s="281">
        <v>6784.24</v>
      </c>
      <c r="K59" s="281">
        <v>6784.24</v>
      </c>
      <c r="L59" s="281">
        <v>6784.24</v>
      </c>
      <c r="M59" s="281">
        <v>6784.24</v>
      </c>
      <c r="N59" s="281">
        <v>1639.38</v>
      </c>
      <c r="O59" s="286"/>
      <c r="P59" s="286"/>
      <c r="Q59" s="286"/>
      <c r="R59" s="286"/>
      <c r="S59" s="286"/>
      <c r="T59" s="286"/>
      <c r="U59" s="286"/>
      <c r="V59" s="281"/>
      <c r="W59" s="281"/>
      <c r="X59" s="268">
        <f t="shared" si="1"/>
        <v>42344.819999999992</v>
      </c>
    </row>
    <row r="60" spans="1:24" s="269" customFormat="1" x14ac:dyDescent="0.2">
      <c r="A60" s="618"/>
      <c r="B60" s="294" t="s">
        <v>723</v>
      </c>
      <c r="C60" s="624"/>
      <c r="D60" s="624"/>
      <c r="E60" s="622"/>
      <c r="F60" s="287" t="s">
        <v>722</v>
      </c>
      <c r="G60" s="423">
        <v>2.5000000000000001E-3</v>
      </c>
      <c r="H60" s="289">
        <v>155</v>
      </c>
      <c r="I60" s="289">
        <v>140</v>
      </c>
      <c r="J60" s="289">
        <v>115</v>
      </c>
      <c r="K60" s="289">
        <v>85</v>
      </c>
      <c r="L60" s="289">
        <v>60</v>
      </c>
      <c r="M60" s="289">
        <v>30</v>
      </c>
      <c r="N60" s="289">
        <v>5</v>
      </c>
      <c r="O60" s="290"/>
      <c r="P60" s="290"/>
      <c r="Q60" s="290"/>
      <c r="R60" s="290"/>
      <c r="S60" s="290"/>
      <c r="T60" s="290"/>
      <c r="U60" s="290"/>
      <c r="V60" s="288"/>
      <c r="W60" s="288"/>
      <c r="X60" s="274">
        <f t="shared" si="1"/>
        <v>590</v>
      </c>
    </row>
    <row r="61" spans="1:24" s="269" customFormat="1" ht="12.75" customHeight="1" x14ac:dyDescent="0.2">
      <c r="A61" s="608">
        <v>28</v>
      </c>
      <c r="B61" s="265" t="s">
        <v>649</v>
      </c>
      <c r="C61" s="606" t="s">
        <v>724</v>
      </c>
      <c r="D61" s="606">
        <v>552</v>
      </c>
      <c r="E61" s="604">
        <v>158629.16</v>
      </c>
      <c r="F61" s="266" t="s">
        <v>725</v>
      </c>
      <c r="G61" s="424" t="s">
        <v>646</v>
      </c>
      <c r="H61" s="267">
        <v>14103.52</v>
      </c>
      <c r="I61" s="267">
        <v>14103.52</v>
      </c>
      <c r="J61" s="267">
        <v>14103.52</v>
      </c>
      <c r="K61" s="267">
        <v>14103.52</v>
      </c>
      <c r="L61" s="267">
        <v>14103.52</v>
      </c>
      <c r="M61" s="267">
        <v>14103.52</v>
      </c>
      <c r="N61" s="267">
        <v>3490.46</v>
      </c>
      <c r="O61" s="291"/>
      <c r="P61" s="291"/>
      <c r="Q61" s="291"/>
      <c r="R61" s="291"/>
      <c r="S61" s="291"/>
      <c r="T61" s="291"/>
      <c r="U61" s="291"/>
      <c r="V61" s="267"/>
      <c r="W61" s="267"/>
      <c r="X61" s="268">
        <f t="shared" si="1"/>
        <v>88111.580000000016</v>
      </c>
    </row>
    <row r="62" spans="1:24" s="269" customFormat="1" x14ac:dyDescent="0.2">
      <c r="A62" s="609"/>
      <c r="B62" s="270" t="s">
        <v>726</v>
      </c>
      <c r="C62" s="607"/>
      <c r="D62" s="607"/>
      <c r="E62" s="605"/>
      <c r="F62" s="271" t="s">
        <v>722</v>
      </c>
      <c r="G62" s="423">
        <v>2.5000000000000001E-3</v>
      </c>
      <c r="H62" s="273">
        <v>250</v>
      </c>
      <c r="I62" s="273">
        <v>295</v>
      </c>
      <c r="J62" s="273">
        <v>235</v>
      </c>
      <c r="K62" s="273">
        <v>180</v>
      </c>
      <c r="L62" s="273">
        <v>120</v>
      </c>
      <c r="M62" s="273">
        <v>65</v>
      </c>
      <c r="N62" s="273">
        <v>10</v>
      </c>
      <c r="O62" s="292"/>
      <c r="P62" s="292"/>
      <c r="Q62" s="292"/>
      <c r="R62" s="292"/>
      <c r="S62" s="292"/>
      <c r="T62" s="292"/>
      <c r="U62" s="292"/>
      <c r="V62" s="272"/>
      <c r="W62" s="272"/>
      <c r="X62" s="274">
        <f t="shared" si="1"/>
        <v>1155</v>
      </c>
    </row>
    <row r="63" spans="1:24" s="269" customFormat="1" ht="12.75" customHeight="1" x14ac:dyDescent="0.2">
      <c r="A63" s="617">
        <v>29</v>
      </c>
      <c r="B63" s="285" t="s">
        <v>649</v>
      </c>
      <c r="C63" s="623" t="s">
        <v>727</v>
      </c>
      <c r="D63" s="623">
        <v>553</v>
      </c>
      <c r="E63" s="621">
        <v>107926.42</v>
      </c>
      <c r="F63" s="293" t="s">
        <v>728</v>
      </c>
      <c r="G63" s="425" t="s">
        <v>646</v>
      </c>
      <c r="H63" s="281">
        <v>9595.84</v>
      </c>
      <c r="I63" s="281">
        <v>9595.84</v>
      </c>
      <c r="J63" s="281">
        <v>9595.84</v>
      </c>
      <c r="K63" s="281">
        <v>9595.84</v>
      </c>
      <c r="L63" s="281">
        <v>9595.84</v>
      </c>
      <c r="M63" s="281">
        <v>9595.84</v>
      </c>
      <c r="N63" s="281">
        <v>2372.17</v>
      </c>
      <c r="O63" s="281"/>
      <c r="P63" s="286"/>
      <c r="Q63" s="286"/>
      <c r="R63" s="286"/>
      <c r="S63" s="286"/>
      <c r="T63" s="286"/>
      <c r="U63" s="286"/>
      <c r="V63" s="281"/>
      <c r="W63" s="281"/>
      <c r="X63" s="268">
        <f t="shared" si="1"/>
        <v>59947.209999999992</v>
      </c>
    </row>
    <row r="64" spans="1:24" s="269" customFormat="1" x14ac:dyDescent="0.2">
      <c r="A64" s="618"/>
      <c r="B64" s="294" t="s">
        <v>729</v>
      </c>
      <c r="C64" s="624"/>
      <c r="D64" s="624"/>
      <c r="E64" s="622"/>
      <c r="F64" s="287" t="s">
        <v>722</v>
      </c>
      <c r="G64" s="423">
        <v>2.5000000000000001E-3</v>
      </c>
      <c r="H64" s="289">
        <v>170</v>
      </c>
      <c r="I64" s="289">
        <v>200</v>
      </c>
      <c r="J64" s="289">
        <v>160</v>
      </c>
      <c r="K64" s="289">
        <v>125</v>
      </c>
      <c r="L64" s="289">
        <v>85</v>
      </c>
      <c r="M64" s="289">
        <v>45</v>
      </c>
      <c r="N64" s="289">
        <v>10</v>
      </c>
      <c r="O64" s="288"/>
      <c r="P64" s="290"/>
      <c r="Q64" s="290"/>
      <c r="R64" s="290"/>
      <c r="S64" s="290"/>
      <c r="T64" s="290"/>
      <c r="U64" s="290"/>
      <c r="V64" s="288"/>
      <c r="W64" s="288"/>
      <c r="X64" s="274">
        <f t="shared" si="1"/>
        <v>795</v>
      </c>
    </row>
    <row r="65" spans="1:24" s="269" customFormat="1" ht="12.75" customHeight="1" x14ac:dyDescent="0.2">
      <c r="A65" s="608">
        <v>30</v>
      </c>
      <c r="B65" s="265" t="s">
        <v>649</v>
      </c>
      <c r="C65" s="606" t="s">
        <v>730</v>
      </c>
      <c r="D65" s="606">
        <v>558</v>
      </c>
      <c r="E65" s="604">
        <v>296887.89</v>
      </c>
      <c r="F65" s="277" t="s">
        <v>731</v>
      </c>
      <c r="G65" s="424" t="s">
        <v>646</v>
      </c>
      <c r="H65" s="267">
        <v>26391.439999999999</v>
      </c>
      <c r="I65" s="267">
        <v>26391.439999999999</v>
      </c>
      <c r="J65" s="267">
        <v>26391.439999999999</v>
      </c>
      <c r="K65" s="267">
        <v>26391.439999999999</v>
      </c>
      <c r="L65" s="267">
        <v>26391.439999999999</v>
      </c>
      <c r="M65" s="267">
        <v>26391.439999999999</v>
      </c>
      <c r="N65" s="267">
        <v>6582.07</v>
      </c>
      <c r="O65" s="291"/>
      <c r="P65" s="291"/>
      <c r="Q65" s="291"/>
      <c r="R65" s="291"/>
      <c r="S65" s="291"/>
      <c r="T65" s="291"/>
      <c r="U65" s="291"/>
      <c r="V65" s="267"/>
      <c r="W65" s="267"/>
      <c r="X65" s="268">
        <f t="shared" si="1"/>
        <v>164930.71</v>
      </c>
    </row>
    <row r="66" spans="1:24" s="269" customFormat="1" x14ac:dyDescent="0.2">
      <c r="A66" s="609"/>
      <c r="B66" s="270" t="s">
        <v>732</v>
      </c>
      <c r="C66" s="607"/>
      <c r="D66" s="607"/>
      <c r="E66" s="605"/>
      <c r="F66" s="278">
        <v>45371</v>
      </c>
      <c r="G66" s="423">
        <v>2.5000000000000001E-3</v>
      </c>
      <c r="H66" s="273">
        <v>470</v>
      </c>
      <c r="I66" s="273">
        <v>550</v>
      </c>
      <c r="J66" s="273">
        <v>440</v>
      </c>
      <c r="K66" s="273">
        <v>335</v>
      </c>
      <c r="L66" s="273">
        <v>225</v>
      </c>
      <c r="M66" s="273">
        <v>120</v>
      </c>
      <c r="N66" s="273">
        <v>20</v>
      </c>
      <c r="O66" s="292"/>
      <c r="P66" s="292"/>
      <c r="Q66" s="292"/>
      <c r="R66" s="292"/>
      <c r="S66" s="292"/>
      <c r="T66" s="292"/>
      <c r="U66" s="292"/>
      <c r="V66" s="272"/>
      <c r="W66" s="272"/>
      <c r="X66" s="274">
        <f t="shared" si="1"/>
        <v>2160</v>
      </c>
    </row>
    <row r="67" spans="1:24" s="269" customFormat="1" ht="12.75" customHeight="1" x14ac:dyDescent="0.2">
      <c r="A67" s="617">
        <v>31</v>
      </c>
      <c r="B67" s="285" t="s">
        <v>649</v>
      </c>
      <c r="C67" s="623" t="s">
        <v>714</v>
      </c>
      <c r="D67" s="623">
        <v>554</v>
      </c>
      <c r="E67" s="621">
        <v>369101.98</v>
      </c>
      <c r="F67" s="284" t="s">
        <v>733</v>
      </c>
      <c r="G67" s="425" t="s">
        <v>646</v>
      </c>
      <c r="H67" s="281">
        <v>32811.440000000002</v>
      </c>
      <c r="I67" s="281">
        <v>32811.440000000002</v>
      </c>
      <c r="J67" s="281">
        <v>32811.440000000002</v>
      </c>
      <c r="K67" s="281">
        <v>32811.440000000002</v>
      </c>
      <c r="L67" s="281">
        <v>32811.440000000002</v>
      </c>
      <c r="M67" s="281">
        <v>32811.440000000002</v>
      </c>
      <c r="N67" s="281">
        <v>8176.16</v>
      </c>
      <c r="O67" s="286"/>
      <c r="P67" s="286"/>
      <c r="Q67" s="286"/>
      <c r="R67" s="286"/>
      <c r="S67" s="286"/>
      <c r="T67" s="286"/>
      <c r="U67" s="286"/>
      <c r="V67" s="281"/>
      <c r="W67" s="281"/>
      <c r="X67" s="268">
        <f t="shared" si="1"/>
        <v>205044.80000000002</v>
      </c>
    </row>
    <row r="68" spans="1:24" s="269" customFormat="1" x14ac:dyDescent="0.2">
      <c r="A68" s="618"/>
      <c r="B68" s="294" t="s">
        <v>734</v>
      </c>
      <c r="C68" s="624"/>
      <c r="D68" s="624"/>
      <c r="E68" s="622"/>
      <c r="F68" s="298">
        <v>45371</v>
      </c>
      <c r="G68" s="423">
        <v>2.5000000000000001E-3</v>
      </c>
      <c r="H68" s="289">
        <v>580</v>
      </c>
      <c r="I68" s="289">
        <v>680</v>
      </c>
      <c r="J68" s="289">
        <v>550</v>
      </c>
      <c r="K68" s="289">
        <v>415</v>
      </c>
      <c r="L68" s="289">
        <v>280</v>
      </c>
      <c r="M68" s="289">
        <v>150</v>
      </c>
      <c r="N68" s="289">
        <v>25</v>
      </c>
      <c r="O68" s="290"/>
      <c r="P68" s="290"/>
      <c r="Q68" s="290"/>
      <c r="R68" s="290"/>
      <c r="S68" s="290"/>
      <c r="T68" s="290"/>
      <c r="U68" s="290"/>
      <c r="V68" s="288"/>
      <c r="W68" s="288"/>
      <c r="X68" s="274">
        <f t="shared" si="1"/>
        <v>2680</v>
      </c>
    </row>
    <row r="69" spans="1:24" s="269" customFormat="1" ht="12.75" customHeight="1" x14ac:dyDescent="0.2">
      <c r="A69" s="608">
        <v>32</v>
      </c>
      <c r="B69" s="265" t="s">
        <v>649</v>
      </c>
      <c r="C69" s="606" t="s">
        <v>735</v>
      </c>
      <c r="D69" s="606">
        <v>555</v>
      </c>
      <c r="E69" s="604">
        <v>560799.54</v>
      </c>
      <c r="F69" s="277" t="s">
        <v>733</v>
      </c>
      <c r="G69" s="424" t="s">
        <v>646</v>
      </c>
      <c r="H69" s="267">
        <v>49851.72</v>
      </c>
      <c r="I69" s="267">
        <v>49851.72</v>
      </c>
      <c r="J69" s="267">
        <v>49851.72</v>
      </c>
      <c r="K69" s="267">
        <v>49851.72</v>
      </c>
      <c r="L69" s="267">
        <v>49851.72</v>
      </c>
      <c r="M69" s="267">
        <v>49851.72</v>
      </c>
      <c r="N69" s="267">
        <v>12430.6</v>
      </c>
      <c r="O69" s="291"/>
      <c r="P69" s="291"/>
      <c r="Q69" s="291"/>
      <c r="R69" s="291"/>
      <c r="S69" s="291"/>
      <c r="T69" s="291"/>
      <c r="U69" s="291"/>
      <c r="V69" s="267"/>
      <c r="W69" s="267"/>
      <c r="X69" s="268">
        <f t="shared" si="1"/>
        <v>311540.92</v>
      </c>
    </row>
    <row r="70" spans="1:24" s="269" customFormat="1" x14ac:dyDescent="0.2">
      <c r="A70" s="609"/>
      <c r="B70" s="270" t="s">
        <v>736</v>
      </c>
      <c r="C70" s="607"/>
      <c r="D70" s="607"/>
      <c r="E70" s="605"/>
      <c r="F70" s="278">
        <v>45371</v>
      </c>
      <c r="G70" s="423">
        <v>2.5000000000000001E-3</v>
      </c>
      <c r="H70" s="273">
        <v>880</v>
      </c>
      <c r="I70" s="273">
        <v>1035</v>
      </c>
      <c r="J70" s="273">
        <v>835</v>
      </c>
      <c r="K70" s="273">
        <v>630</v>
      </c>
      <c r="L70" s="273">
        <v>425</v>
      </c>
      <c r="M70" s="273">
        <v>225</v>
      </c>
      <c r="N70" s="273">
        <v>35</v>
      </c>
      <c r="O70" s="292"/>
      <c r="P70" s="292"/>
      <c r="Q70" s="292"/>
      <c r="R70" s="292"/>
      <c r="S70" s="292"/>
      <c r="T70" s="292"/>
      <c r="U70" s="292"/>
      <c r="V70" s="272"/>
      <c r="W70" s="272"/>
      <c r="X70" s="274">
        <f t="shared" si="1"/>
        <v>4065</v>
      </c>
    </row>
    <row r="71" spans="1:24" s="269" customFormat="1" ht="12.75" customHeight="1" x14ac:dyDescent="0.2">
      <c r="A71" s="634">
        <v>33</v>
      </c>
      <c r="B71" s="451" t="s">
        <v>649</v>
      </c>
      <c r="C71" s="636" t="s">
        <v>737</v>
      </c>
      <c r="D71" s="636">
        <v>568</v>
      </c>
      <c r="E71" s="638">
        <v>33093.08</v>
      </c>
      <c r="F71" s="452" t="s">
        <v>738</v>
      </c>
      <c r="G71" s="453" t="s">
        <v>646</v>
      </c>
      <c r="H71" s="454"/>
      <c r="I71" s="454"/>
      <c r="J71" s="454"/>
      <c r="K71" s="454"/>
      <c r="L71" s="454"/>
      <c r="M71" s="454"/>
      <c r="N71" s="454"/>
      <c r="O71" s="455"/>
      <c r="P71" s="456"/>
      <c r="Q71" s="456"/>
      <c r="R71" s="456"/>
      <c r="S71" s="456"/>
      <c r="T71" s="456"/>
      <c r="U71" s="456"/>
      <c r="V71" s="454"/>
      <c r="W71" s="454"/>
      <c r="X71" s="339">
        <f t="shared" si="1"/>
        <v>0</v>
      </c>
    </row>
    <row r="72" spans="1:24" s="269" customFormat="1" x14ac:dyDescent="0.2">
      <c r="A72" s="635"/>
      <c r="B72" s="457" t="s">
        <v>739</v>
      </c>
      <c r="C72" s="637"/>
      <c r="D72" s="637"/>
      <c r="E72" s="639"/>
      <c r="F72" s="458" t="s">
        <v>740</v>
      </c>
      <c r="G72" s="448">
        <v>2.5000000000000001E-3</v>
      </c>
      <c r="H72" s="459">
        <v>12.98</v>
      </c>
      <c r="I72" s="460"/>
      <c r="J72" s="460"/>
      <c r="K72" s="460"/>
      <c r="L72" s="460"/>
      <c r="M72" s="460"/>
      <c r="N72" s="460"/>
      <c r="O72" s="461"/>
      <c r="P72" s="462"/>
      <c r="Q72" s="462"/>
      <c r="R72" s="462"/>
      <c r="S72" s="462"/>
      <c r="T72" s="462"/>
      <c r="U72" s="462"/>
      <c r="V72" s="459"/>
      <c r="W72" s="459"/>
      <c r="X72" s="341">
        <f t="shared" si="1"/>
        <v>12.98</v>
      </c>
    </row>
    <row r="73" spans="1:24" s="269" customFormat="1" ht="12.75" customHeight="1" x14ac:dyDescent="0.2">
      <c r="A73" s="608">
        <v>34</v>
      </c>
      <c r="B73" s="265" t="s">
        <v>649</v>
      </c>
      <c r="C73" s="606" t="s">
        <v>741</v>
      </c>
      <c r="D73" s="606">
        <v>567</v>
      </c>
      <c r="E73" s="604">
        <v>313031.8</v>
      </c>
      <c r="F73" s="266" t="s">
        <v>738</v>
      </c>
      <c r="G73" s="300" t="s">
        <v>646</v>
      </c>
      <c r="H73" s="267">
        <v>27825.68</v>
      </c>
      <c r="I73" s="267">
        <v>27825.68</v>
      </c>
      <c r="J73" s="267">
        <v>27825.68</v>
      </c>
      <c r="K73" s="267">
        <v>27825.68</v>
      </c>
      <c r="L73" s="267">
        <v>27825.68</v>
      </c>
      <c r="M73" s="267">
        <v>27825.68</v>
      </c>
      <c r="N73" s="267">
        <v>20862.16</v>
      </c>
      <c r="O73" s="291"/>
      <c r="P73" s="291"/>
      <c r="Q73" s="291"/>
      <c r="R73" s="291"/>
      <c r="S73" s="291"/>
      <c r="T73" s="291"/>
      <c r="U73" s="291"/>
      <c r="V73" s="267"/>
      <c r="W73" s="267"/>
      <c r="X73" s="268">
        <f t="shared" ref="X73:X136" si="2">SUM(H73:W73)</f>
        <v>187816.24</v>
      </c>
    </row>
    <row r="74" spans="1:24" s="269" customFormat="1" x14ac:dyDescent="0.2">
      <c r="A74" s="609"/>
      <c r="B74" s="270" t="s">
        <v>742</v>
      </c>
      <c r="C74" s="607"/>
      <c r="D74" s="607"/>
      <c r="E74" s="605"/>
      <c r="F74" s="271" t="s">
        <v>743</v>
      </c>
      <c r="G74" s="423">
        <v>2.5000000000000001E-3</v>
      </c>
      <c r="H74" s="273">
        <v>670</v>
      </c>
      <c r="I74" s="273">
        <v>635</v>
      </c>
      <c r="J74" s="273">
        <v>525</v>
      </c>
      <c r="K74" s="273">
        <v>410</v>
      </c>
      <c r="L74" s="273">
        <v>295</v>
      </c>
      <c r="M74" s="273">
        <v>185</v>
      </c>
      <c r="N74" s="273">
        <v>70</v>
      </c>
      <c r="O74" s="292"/>
      <c r="P74" s="292"/>
      <c r="Q74" s="292"/>
      <c r="R74" s="292"/>
      <c r="S74" s="292"/>
      <c r="T74" s="292"/>
      <c r="U74" s="292"/>
      <c r="V74" s="272"/>
      <c r="W74" s="272"/>
      <c r="X74" s="274">
        <f t="shared" si="2"/>
        <v>2790</v>
      </c>
    </row>
    <row r="75" spans="1:24" s="269" customFormat="1" ht="12.75" customHeight="1" x14ac:dyDescent="0.2">
      <c r="A75" s="617">
        <v>35</v>
      </c>
      <c r="B75" s="285" t="s">
        <v>649</v>
      </c>
      <c r="C75" s="623" t="s">
        <v>735</v>
      </c>
      <c r="D75" s="623" t="s">
        <v>744</v>
      </c>
      <c r="E75" s="621">
        <v>3304011.86</v>
      </c>
      <c r="F75" s="293" t="s">
        <v>745</v>
      </c>
      <c r="G75" s="301" t="s">
        <v>646</v>
      </c>
      <c r="H75" s="281">
        <v>209685.76000000001</v>
      </c>
      <c r="I75" s="281">
        <v>209685.76000000001</v>
      </c>
      <c r="J75" s="281">
        <v>209685.76000000001</v>
      </c>
      <c r="K75" s="281">
        <v>209685.76000000001</v>
      </c>
      <c r="L75" s="281">
        <v>209685.76000000001</v>
      </c>
      <c r="M75" s="281">
        <v>209685.76000000001</v>
      </c>
      <c r="N75" s="281">
        <v>209685.76000000001</v>
      </c>
      <c r="O75" s="281">
        <v>209685.76000000001</v>
      </c>
      <c r="P75" s="281">
        <v>209685.76000000001</v>
      </c>
      <c r="Q75" s="281">
        <v>209685.76000000001</v>
      </c>
      <c r="R75" s="281">
        <v>209685.76000000001</v>
      </c>
      <c r="S75" s="281">
        <v>157302.59</v>
      </c>
      <c r="T75" s="281"/>
      <c r="U75" s="281"/>
      <c r="V75" s="281"/>
      <c r="W75" s="281"/>
      <c r="X75" s="268">
        <f t="shared" si="2"/>
        <v>2463845.9500000002</v>
      </c>
    </row>
    <row r="76" spans="1:24" s="269" customFormat="1" x14ac:dyDescent="0.2">
      <c r="A76" s="618"/>
      <c r="B76" s="294" t="s">
        <v>746</v>
      </c>
      <c r="C76" s="624"/>
      <c r="D76" s="624"/>
      <c r="E76" s="622"/>
      <c r="F76" s="287" t="s">
        <v>747</v>
      </c>
      <c r="G76" s="423">
        <v>2.5000000000000001E-3</v>
      </c>
      <c r="H76" s="289">
        <v>8900</v>
      </c>
      <c r="I76" s="289">
        <v>9015</v>
      </c>
      <c r="J76" s="289">
        <v>8185</v>
      </c>
      <c r="K76" s="289">
        <v>7315</v>
      </c>
      <c r="L76" s="289">
        <v>6460</v>
      </c>
      <c r="M76" s="289">
        <v>5610</v>
      </c>
      <c r="N76" s="289">
        <v>4775</v>
      </c>
      <c r="O76" s="289">
        <v>3910</v>
      </c>
      <c r="P76" s="289">
        <v>3060</v>
      </c>
      <c r="Q76" s="289">
        <v>2210</v>
      </c>
      <c r="R76" s="289">
        <v>1365</v>
      </c>
      <c r="S76" s="289">
        <v>510</v>
      </c>
      <c r="T76" s="289"/>
      <c r="U76" s="289"/>
      <c r="V76" s="289"/>
      <c r="W76" s="289"/>
      <c r="X76" s="274">
        <f t="shared" si="2"/>
        <v>61315</v>
      </c>
    </row>
    <row r="77" spans="1:24" s="269" customFormat="1" ht="12.75" customHeight="1" x14ac:dyDescent="0.2">
      <c r="A77" s="608">
        <v>36</v>
      </c>
      <c r="B77" s="265" t="s">
        <v>649</v>
      </c>
      <c r="C77" s="606" t="s">
        <v>698</v>
      </c>
      <c r="D77" s="606">
        <v>556</v>
      </c>
      <c r="E77" s="604">
        <v>115461.78</v>
      </c>
      <c r="F77" s="610" t="s">
        <v>748</v>
      </c>
      <c r="G77" s="300" t="s">
        <v>646</v>
      </c>
      <c r="H77" s="267">
        <v>10267.44</v>
      </c>
      <c r="I77" s="267">
        <v>10267.44</v>
      </c>
      <c r="J77" s="267">
        <v>10267.44</v>
      </c>
      <c r="K77" s="267">
        <v>10267.44</v>
      </c>
      <c r="L77" s="267">
        <v>10267.44</v>
      </c>
      <c r="M77" s="267">
        <v>10267.44</v>
      </c>
      <c r="N77" s="267">
        <v>2519.94</v>
      </c>
      <c r="O77" s="291"/>
      <c r="P77" s="291"/>
      <c r="Q77" s="291"/>
      <c r="R77" s="291"/>
      <c r="S77" s="291"/>
      <c r="T77" s="291"/>
      <c r="U77" s="291"/>
      <c r="V77" s="267"/>
      <c r="W77" s="267"/>
      <c r="X77" s="268">
        <f t="shared" si="2"/>
        <v>64124.580000000009</v>
      </c>
    </row>
    <row r="78" spans="1:24" s="269" customFormat="1" x14ac:dyDescent="0.2">
      <c r="A78" s="609"/>
      <c r="B78" s="270" t="s">
        <v>749</v>
      </c>
      <c r="C78" s="607"/>
      <c r="D78" s="607"/>
      <c r="E78" s="605"/>
      <c r="F78" s="611"/>
      <c r="G78" s="423">
        <v>2.5000000000000001E-3</v>
      </c>
      <c r="H78" s="273">
        <v>185</v>
      </c>
      <c r="I78" s="273">
        <v>215</v>
      </c>
      <c r="J78" s="273">
        <v>175</v>
      </c>
      <c r="K78" s="273">
        <v>130</v>
      </c>
      <c r="L78" s="273">
        <v>90</v>
      </c>
      <c r="M78" s="273">
        <v>50</v>
      </c>
      <c r="N78" s="273">
        <v>10</v>
      </c>
      <c r="O78" s="292"/>
      <c r="P78" s="292"/>
      <c r="Q78" s="292"/>
      <c r="R78" s="292"/>
      <c r="S78" s="292"/>
      <c r="T78" s="292"/>
      <c r="U78" s="292"/>
      <c r="V78" s="272"/>
      <c r="W78" s="272"/>
      <c r="X78" s="274">
        <f t="shared" si="2"/>
        <v>855</v>
      </c>
    </row>
    <row r="79" spans="1:24" s="269" customFormat="1" ht="12.75" customHeight="1" x14ac:dyDescent="0.2">
      <c r="A79" s="617">
        <v>37</v>
      </c>
      <c r="B79" s="285" t="s">
        <v>649</v>
      </c>
      <c r="C79" s="623" t="s">
        <v>717</v>
      </c>
      <c r="D79" s="623">
        <v>560</v>
      </c>
      <c r="E79" s="621">
        <v>779949.97</v>
      </c>
      <c r="F79" s="625" t="s">
        <v>750</v>
      </c>
      <c r="G79" s="301" t="s">
        <v>646</v>
      </c>
      <c r="H79" s="267">
        <v>51052.639999999999</v>
      </c>
      <c r="I79" s="267">
        <v>51052.639999999999</v>
      </c>
      <c r="J79" s="281">
        <v>51052.639999999999</v>
      </c>
      <c r="K79" s="281">
        <v>51052.639999999999</v>
      </c>
      <c r="L79" s="281">
        <v>51052.639999999999</v>
      </c>
      <c r="M79" s="281">
        <v>51052.639999999999</v>
      </c>
      <c r="N79" s="281">
        <v>51052.639999999999</v>
      </c>
      <c r="O79" s="281">
        <v>51052.639999999999</v>
      </c>
      <c r="P79" s="281">
        <v>51052.639999999999</v>
      </c>
      <c r="Q79" s="281">
        <v>51052.639999999999</v>
      </c>
      <c r="R79" s="281">
        <v>51052.639999999999</v>
      </c>
      <c r="S79" s="281">
        <v>12737.5</v>
      </c>
      <c r="T79" s="299"/>
      <c r="U79" s="299"/>
      <c r="V79" s="281"/>
      <c r="W79" s="281"/>
      <c r="X79" s="268">
        <f t="shared" si="2"/>
        <v>574316.54</v>
      </c>
    </row>
    <row r="80" spans="1:24" s="269" customFormat="1" x14ac:dyDescent="0.2">
      <c r="A80" s="618"/>
      <c r="B80" s="294" t="s">
        <v>751</v>
      </c>
      <c r="C80" s="624"/>
      <c r="D80" s="624"/>
      <c r="E80" s="622"/>
      <c r="F80" s="626"/>
      <c r="G80" s="423">
        <v>2.5000000000000001E-3</v>
      </c>
      <c r="H80" s="273">
        <v>1650</v>
      </c>
      <c r="I80" s="273">
        <v>2095</v>
      </c>
      <c r="J80" s="289">
        <v>1890</v>
      </c>
      <c r="K80" s="289">
        <v>1680</v>
      </c>
      <c r="L80" s="289">
        <v>1470</v>
      </c>
      <c r="M80" s="289">
        <v>1265</v>
      </c>
      <c r="N80" s="289">
        <v>1060</v>
      </c>
      <c r="O80" s="289">
        <v>850</v>
      </c>
      <c r="P80" s="289">
        <v>645</v>
      </c>
      <c r="Q80" s="289">
        <v>435</v>
      </c>
      <c r="R80" s="289">
        <v>230</v>
      </c>
      <c r="S80" s="289">
        <v>40</v>
      </c>
      <c r="T80" s="302"/>
      <c r="U80" s="302"/>
      <c r="V80" s="289"/>
      <c r="W80" s="289"/>
      <c r="X80" s="274">
        <f t="shared" si="2"/>
        <v>13310</v>
      </c>
    </row>
    <row r="81" spans="1:24" s="269" customFormat="1" ht="12.75" customHeight="1" x14ac:dyDescent="0.2">
      <c r="A81" s="608">
        <v>38</v>
      </c>
      <c r="B81" s="265" t="s">
        <v>649</v>
      </c>
      <c r="C81" s="606" t="s">
        <v>752</v>
      </c>
      <c r="D81" s="606">
        <v>561</v>
      </c>
      <c r="E81" s="604">
        <v>238645.9</v>
      </c>
      <c r="F81" s="610" t="s">
        <v>753</v>
      </c>
      <c r="G81" s="300" t="s">
        <v>646</v>
      </c>
      <c r="H81" s="267">
        <v>21212.16</v>
      </c>
      <c r="I81" s="267">
        <v>21212.16</v>
      </c>
      <c r="J81" s="267">
        <v>21212.16</v>
      </c>
      <c r="K81" s="267">
        <v>21212.16</v>
      </c>
      <c r="L81" s="267">
        <v>21212.16</v>
      </c>
      <c r="M81" s="267">
        <v>21212.16</v>
      </c>
      <c r="N81" s="267">
        <v>5312.12</v>
      </c>
      <c r="O81" s="303"/>
      <c r="P81" s="303"/>
      <c r="Q81" s="291"/>
      <c r="R81" s="291"/>
      <c r="S81" s="291"/>
      <c r="T81" s="291"/>
      <c r="U81" s="291"/>
      <c r="V81" s="267"/>
      <c r="W81" s="267"/>
      <c r="X81" s="268">
        <f t="shared" si="2"/>
        <v>132585.08000000002</v>
      </c>
    </row>
    <row r="82" spans="1:24" s="269" customFormat="1" x14ac:dyDescent="0.2">
      <c r="A82" s="609"/>
      <c r="B82" s="270" t="s">
        <v>754</v>
      </c>
      <c r="C82" s="607"/>
      <c r="D82" s="607"/>
      <c r="E82" s="605"/>
      <c r="F82" s="611"/>
      <c r="G82" s="423">
        <v>2.5000000000000001E-3</v>
      </c>
      <c r="H82" s="273">
        <v>375</v>
      </c>
      <c r="I82" s="273">
        <v>440</v>
      </c>
      <c r="J82" s="273">
        <v>355</v>
      </c>
      <c r="K82" s="273">
        <v>270</v>
      </c>
      <c r="L82" s="273">
        <v>185</v>
      </c>
      <c r="M82" s="273">
        <v>95</v>
      </c>
      <c r="N82" s="273">
        <v>15</v>
      </c>
      <c r="O82" s="304"/>
      <c r="P82" s="304"/>
      <c r="Q82" s="292"/>
      <c r="R82" s="292"/>
      <c r="S82" s="292"/>
      <c r="T82" s="292"/>
      <c r="U82" s="292"/>
      <c r="V82" s="272"/>
      <c r="W82" s="272"/>
      <c r="X82" s="274">
        <f t="shared" si="2"/>
        <v>1735</v>
      </c>
    </row>
    <row r="83" spans="1:24" s="269" customFormat="1" ht="12.75" customHeight="1" x14ac:dyDescent="0.2">
      <c r="A83" s="617">
        <v>39</v>
      </c>
      <c r="B83" s="285" t="s">
        <v>649</v>
      </c>
      <c r="C83" s="623" t="s">
        <v>708</v>
      </c>
      <c r="D83" s="623">
        <v>559</v>
      </c>
      <c r="E83" s="621">
        <v>600458.34</v>
      </c>
      <c r="F83" s="625" t="s">
        <v>755</v>
      </c>
      <c r="G83" s="301" t="s">
        <v>646</v>
      </c>
      <c r="H83" s="281">
        <v>39282.639999999999</v>
      </c>
      <c r="I83" s="281">
        <v>39282.639999999999</v>
      </c>
      <c r="J83" s="281">
        <v>39282.639999999999</v>
      </c>
      <c r="K83" s="281">
        <v>39282.639999999999</v>
      </c>
      <c r="L83" s="281">
        <v>39282.639999999999</v>
      </c>
      <c r="M83" s="281">
        <v>39282.639999999999</v>
      </c>
      <c r="N83" s="281">
        <v>39282.639999999999</v>
      </c>
      <c r="O83" s="281">
        <v>39282.639999999999</v>
      </c>
      <c r="P83" s="281">
        <v>39282.639999999999</v>
      </c>
      <c r="Q83" s="281">
        <v>39282.639999999999</v>
      </c>
      <c r="R83" s="281">
        <v>39282.400000000001</v>
      </c>
      <c r="S83" s="281">
        <v>9795.8799999999992</v>
      </c>
      <c r="T83" s="281"/>
      <c r="U83" s="281"/>
      <c r="V83" s="281"/>
      <c r="W83" s="281"/>
      <c r="X83" s="268">
        <f t="shared" si="2"/>
        <v>441904.68000000011</v>
      </c>
    </row>
    <row r="84" spans="1:24" s="269" customFormat="1" x14ac:dyDescent="0.2">
      <c r="A84" s="618"/>
      <c r="B84" s="294" t="s">
        <v>756</v>
      </c>
      <c r="C84" s="624"/>
      <c r="D84" s="624"/>
      <c r="E84" s="622"/>
      <c r="F84" s="626"/>
      <c r="G84" s="423">
        <v>2.5000000000000001E-3</v>
      </c>
      <c r="H84" s="289">
        <v>1270</v>
      </c>
      <c r="I84" s="289">
        <v>1610</v>
      </c>
      <c r="J84" s="289">
        <v>1455</v>
      </c>
      <c r="K84" s="289">
        <v>1290</v>
      </c>
      <c r="L84" s="289">
        <v>1135</v>
      </c>
      <c r="M84" s="289">
        <v>975</v>
      </c>
      <c r="N84" s="289">
        <v>815</v>
      </c>
      <c r="O84" s="289">
        <v>655</v>
      </c>
      <c r="P84" s="289">
        <v>495</v>
      </c>
      <c r="Q84" s="289">
        <v>335</v>
      </c>
      <c r="R84" s="289">
        <v>180</v>
      </c>
      <c r="S84" s="289">
        <v>30</v>
      </c>
      <c r="T84" s="289"/>
      <c r="U84" s="289"/>
      <c r="V84" s="289"/>
      <c r="W84" s="289"/>
      <c r="X84" s="274">
        <f t="shared" si="2"/>
        <v>10245</v>
      </c>
    </row>
    <row r="85" spans="1:24" s="269" customFormat="1" ht="12.75" customHeight="1" x14ac:dyDescent="0.2">
      <c r="A85" s="608">
        <v>40</v>
      </c>
      <c r="B85" s="516" t="s">
        <v>649</v>
      </c>
      <c r="C85" s="606" t="s">
        <v>757</v>
      </c>
      <c r="D85" s="606">
        <v>562</v>
      </c>
      <c r="E85" s="604">
        <v>183148.91</v>
      </c>
      <c r="F85" s="610" t="s">
        <v>758</v>
      </c>
      <c r="G85" s="300" t="s">
        <v>646</v>
      </c>
      <c r="H85" s="267">
        <v>16283.36</v>
      </c>
      <c r="I85" s="267">
        <v>16283.36</v>
      </c>
      <c r="J85" s="267">
        <v>16283.36</v>
      </c>
      <c r="K85" s="267">
        <v>16283.36</v>
      </c>
      <c r="L85" s="267">
        <v>16283.36</v>
      </c>
      <c r="M85" s="267">
        <v>16283.36</v>
      </c>
      <c r="N85" s="267">
        <v>4031.97</v>
      </c>
      <c r="O85" s="303"/>
      <c r="P85" s="303"/>
      <c r="Q85" s="291"/>
      <c r="R85" s="291"/>
      <c r="S85" s="291"/>
      <c r="T85" s="291"/>
      <c r="U85" s="291"/>
      <c r="V85" s="267"/>
      <c r="W85" s="267"/>
      <c r="X85" s="268">
        <f t="shared" si="2"/>
        <v>101732.13</v>
      </c>
    </row>
    <row r="86" spans="1:24" s="269" customFormat="1" x14ac:dyDescent="0.2">
      <c r="A86" s="609"/>
      <c r="B86" s="517" t="s">
        <v>759</v>
      </c>
      <c r="C86" s="607"/>
      <c r="D86" s="607"/>
      <c r="E86" s="605"/>
      <c r="F86" s="611"/>
      <c r="G86" s="423">
        <v>2.5000000000000001E-3</v>
      </c>
      <c r="H86" s="273">
        <v>290</v>
      </c>
      <c r="I86" s="273">
        <v>340</v>
      </c>
      <c r="J86" s="273">
        <v>275</v>
      </c>
      <c r="K86" s="273">
        <v>205</v>
      </c>
      <c r="L86" s="273">
        <v>140</v>
      </c>
      <c r="M86" s="273">
        <v>75</v>
      </c>
      <c r="N86" s="273">
        <v>15</v>
      </c>
      <c r="O86" s="304"/>
      <c r="P86" s="304"/>
      <c r="Q86" s="292"/>
      <c r="R86" s="292"/>
      <c r="S86" s="292"/>
      <c r="T86" s="292"/>
      <c r="U86" s="292"/>
      <c r="V86" s="272"/>
      <c r="W86" s="272"/>
      <c r="X86" s="274">
        <f t="shared" si="2"/>
        <v>1340</v>
      </c>
    </row>
    <row r="87" spans="1:24" s="269" customFormat="1" ht="12.75" customHeight="1" x14ac:dyDescent="0.2">
      <c r="A87" s="608">
        <v>41</v>
      </c>
      <c r="B87" s="265" t="s">
        <v>649</v>
      </c>
      <c r="C87" s="606" t="s">
        <v>760</v>
      </c>
      <c r="D87" s="606">
        <v>565</v>
      </c>
      <c r="E87" s="604">
        <v>506634.23999999999</v>
      </c>
      <c r="F87" s="610" t="s">
        <v>761</v>
      </c>
      <c r="G87" s="300" t="s">
        <v>646</v>
      </c>
      <c r="H87" s="281">
        <v>45036.72</v>
      </c>
      <c r="I87" s="281">
        <v>45036.72</v>
      </c>
      <c r="J87" s="267">
        <v>45036.72</v>
      </c>
      <c r="K87" s="267">
        <v>45036.72</v>
      </c>
      <c r="L87" s="267">
        <v>45036.72</v>
      </c>
      <c r="M87" s="267">
        <v>45036.72</v>
      </c>
      <c r="N87" s="267">
        <v>11230.3</v>
      </c>
      <c r="O87" s="267"/>
      <c r="P87" s="267"/>
      <c r="Q87" s="267"/>
      <c r="R87" s="267"/>
      <c r="S87" s="267"/>
      <c r="T87" s="291"/>
      <c r="U87" s="291"/>
      <c r="V87" s="267"/>
      <c r="W87" s="267"/>
      <c r="X87" s="268">
        <f t="shared" si="2"/>
        <v>281450.62</v>
      </c>
    </row>
    <row r="88" spans="1:24" s="269" customFormat="1" x14ac:dyDescent="0.2">
      <c r="A88" s="609"/>
      <c r="B88" s="270" t="s">
        <v>762</v>
      </c>
      <c r="C88" s="607"/>
      <c r="D88" s="607"/>
      <c r="E88" s="605"/>
      <c r="F88" s="611"/>
      <c r="G88" s="423">
        <v>2.5000000000000001E-3</v>
      </c>
      <c r="H88" s="289">
        <v>700</v>
      </c>
      <c r="I88" s="289">
        <v>935</v>
      </c>
      <c r="J88" s="273">
        <v>755</v>
      </c>
      <c r="K88" s="273">
        <v>570</v>
      </c>
      <c r="L88" s="273">
        <v>385</v>
      </c>
      <c r="M88" s="273">
        <v>205</v>
      </c>
      <c r="N88" s="273">
        <v>35</v>
      </c>
      <c r="O88" s="272"/>
      <c r="P88" s="272"/>
      <c r="Q88" s="272"/>
      <c r="R88" s="272"/>
      <c r="S88" s="272"/>
      <c r="T88" s="292"/>
      <c r="U88" s="292"/>
      <c r="V88" s="272"/>
      <c r="W88" s="272"/>
      <c r="X88" s="274">
        <f t="shared" si="2"/>
        <v>3585</v>
      </c>
    </row>
    <row r="89" spans="1:24" s="269" customFormat="1" ht="12.75" customHeight="1" x14ac:dyDescent="0.2">
      <c r="A89" s="608">
        <v>42</v>
      </c>
      <c r="B89" s="265" t="s">
        <v>649</v>
      </c>
      <c r="C89" s="606" t="s">
        <v>763</v>
      </c>
      <c r="D89" s="606">
        <v>564</v>
      </c>
      <c r="E89" s="604">
        <v>562230.54</v>
      </c>
      <c r="F89" s="610" t="s">
        <v>764</v>
      </c>
      <c r="G89" s="300" t="s">
        <v>646</v>
      </c>
      <c r="H89" s="267">
        <v>36448.28</v>
      </c>
      <c r="I89" s="267">
        <v>36448.28</v>
      </c>
      <c r="J89" s="267">
        <v>36448.28</v>
      </c>
      <c r="K89" s="267">
        <v>36448.28</v>
      </c>
      <c r="L89" s="267">
        <v>36448.28</v>
      </c>
      <c r="M89" s="267">
        <v>36448.28</v>
      </c>
      <c r="N89" s="267">
        <v>36448.28</v>
      </c>
      <c r="O89" s="267">
        <v>36448.28</v>
      </c>
      <c r="P89" s="267">
        <v>36448.28</v>
      </c>
      <c r="Q89" s="267">
        <v>36448.28</v>
      </c>
      <c r="R89" s="267">
        <v>36448.28</v>
      </c>
      <c r="S89" s="267">
        <v>9092.02</v>
      </c>
      <c r="T89" s="303"/>
      <c r="U89" s="303"/>
      <c r="V89" s="267"/>
      <c r="W89" s="267"/>
      <c r="X89" s="268">
        <f t="shared" si="2"/>
        <v>410023.10000000009</v>
      </c>
    </row>
    <row r="90" spans="1:24" s="269" customFormat="1" x14ac:dyDescent="0.2">
      <c r="A90" s="609"/>
      <c r="B90" s="270" t="s">
        <v>765</v>
      </c>
      <c r="C90" s="607"/>
      <c r="D90" s="607"/>
      <c r="E90" s="605"/>
      <c r="F90" s="611"/>
      <c r="G90" s="423">
        <v>2.5000000000000001E-3</v>
      </c>
      <c r="H90" s="273">
        <v>1030</v>
      </c>
      <c r="I90" s="273">
        <v>1495</v>
      </c>
      <c r="J90" s="273">
        <v>1350</v>
      </c>
      <c r="K90" s="273">
        <v>1200</v>
      </c>
      <c r="L90" s="273">
        <v>1050</v>
      </c>
      <c r="M90" s="273">
        <v>905</v>
      </c>
      <c r="N90" s="273">
        <v>760</v>
      </c>
      <c r="O90" s="273">
        <v>610</v>
      </c>
      <c r="P90" s="273">
        <v>460</v>
      </c>
      <c r="Q90" s="273">
        <v>310</v>
      </c>
      <c r="R90" s="273">
        <v>165</v>
      </c>
      <c r="S90" s="273">
        <v>30</v>
      </c>
      <c r="T90" s="305"/>
      <c r="U90" s="305"/>
      <c r="V90" s="273"/>
      <c r="W90" s="273"/>
      <c r="X90" s="274">
        <f t="shared" si="2"/>
        <v>9365</v>
      </c>
    </row>
    <row r="91" spans="1:24" s="269" customFormat="1" ht="12.75" customHeight="1" x14ac:dyDescent="0.2">
      <c r="A91" s="617">
        <v>43</v>
      </c>
      <c r="B91" s="285" t="s">
        <v>649</v>
      </c>
      <c r="C91" s="623" t="s">
        <v>766</v>
      </c>
      <c r="D91" s="623">
        <v>563</v>
      </c>
      <c r="E91" s="621">
        <v>140213.39000000001</v>
      </c>
      <c r="F91" s="625" t="s">
        <v>761</v>
      </c>
      <c r="G91" s="301" t="s">
        <v>646</v>
      </c>
      <c r="H91" s="281">
        <v>12464.36</v>
      </c>
      <c r="I91" s="281">
        <v>12464.36</v>
      </c>
      <c r="J91" s="281">
        <v>12464.36</v>
      </c>
      <c r="K91" s="281">
        <v>12464.36</v>
      </c>
      <c r="L91" s="281">
        <v>12464.36</v>
      </c>
      <c r="M91" s="281">
        <v>12464.36</v>
      </c>
      <c r="N91" s="281">
        <v>3105.43</v>
      </c>
      <c r="O91" s="281"/>
      <c r="P91" s="281"/>
      <c r="Q91" s="281"/>
      <c r="R91" s="281"/>
      <c r="S91" s="281"/>
      <c r="T91" s="286"/>
      <c r="U91" s="286"/>
      <c r="V91" s="281"/>
      <c r="W91" s="281"/>
      <c r="X91" s="268">
        <f t="shared" si="2"/>
        <v>77891.59</v>
      </c>
    </row>
    <row r="92" spans="1:24" s="269" customFormat="1" x14ac:dyDescent="0.2">
      <c r="A92" s="618"/>
      <c r="B92" s="294" t="s">
        <v>767</v>
      </c>
      <c r="C92" s="624"/>
      <c r="D92" s="624"/>
      <c r="E92" s="622"/>
      <c r="F92" s="626"/>
      <c r="G92" s="423">
        <v>2.5000000000000001E-3</v>
      </c>
      <c r="H92" s="289">
        <v>195</v>
      </c>
      <c r="I92" s="289">
        <v>260</v>
      </c>
      <c r="J92" s="289">
        <v>210</v>
      </c>
      <c r="K92" s="289">
        <v>160</v>
      </c>
      <c r="L92" s="289">
        <v>110</v>
      </c>
      <c r="M92" s="289">
        <v>60</v>
      </c>
      <c r="N92" s="289">
        <v>10</v>
      </c>
      <c r="O92" s="288"/>
      <c r="P92" s="290"/>
      <c r="Q92" s="290"/>
      <c r="R92" s="290"/>
      <c r="S92" s="290"/>
      <c r="T92" s="290"/>
      <c r="U92" s="290"/>
      <c r="V92" s="288"/>
      <c r="W92" s="288"/>
      <c r="X92" s="274">
        <f t="shared" si="2"/>
        <v>1005</v>
      </c>
    </row>
    <row r="93" spans="1:24" s="269" customFormat="1" ht="12.75" customHeight="1" x14ac:dyDescent="0.2">
      <c r="A93" s="608">
        <v>44</v>
      </c>
      <c r="B93" s="265" t="s">
        <v>649</v>
      </c>
      <c r="C93" s="606" t="s">
        <v>768</v>
      </c>
      <c r="D93" s="606">
        <v>593</v>
      </c>
      <c r="E93" s="604">
        <v>178581.82</v>
      </c>
      <c r="F93" s="610" t="s">
        <v>769</v>
      </c>
      <c r="G93" s="300" t="s">
        <v>646</v>
      </c>
      <c r="H93" s="267"/>
      <c r="I93" s="267"/>
      <c r="J93" s="267"/>
      <c r="K93" s="267">
        <v>15737.42</v>
      </c>
      <c r="L93" s="267">
        <v>15873.56</v>
      </c>
      <c r="M93" s="267">
        <v>15873.56</v>
      </c>
      <c r="N93" s="267">
        <v>15873.56</v>
      </c>
      <c r="O93" s="267">
        <v>3972.68</v>
      </c>
      <c r="P93" s="267"/>
      <c r="Q93" s="291"/>
      <c r="R93" s="291"/>
      <c r="S93" s="291"/>
      <c r="T93" s="291"/>
      <c r="U93" s="291"/>
      <c r="V93" s="267"/>
      <c r="W93" s="267"/>
      <c r="X93" s="268">
        <f t="shared" si="2"/>
        <v>67330.78</v>
      </c>
    </row>
    <row r="94" spans="1:24" s="269" customFormat="1" x14ac:dyDescent="0.2">
      <c r="A94" s="609"/>
      <c r="B94" s="270" t="s">
        <v>770</v>
      </c>
      <c r="C94" s="607"/>
      <c r="D94" s="607"/>
      <c r="E94" s="605"/>
      <c r="F94" s="611"/>
      <c r="G94" s="423">
        <v>2.5000000000000001E-3</v>
      </c>
      <c r="H94" s="273">
        <v>225</v>
      </c>
      <c r="I94" s="273">
        <v>275</v>
      </c>
      <c r="J94" s="273">
        <v>275</v>
      </c>
      <c r="K94" s="273">
        <v>260</v>
      </c>
      <c r="L94" s="273">
        <v>200</v>
      </c>
      <c r="M94" s="273">
        <v>135</v>
      </c>
      <c r="N94" s="273">
        <v>75</v>
      </c>
      <c r="O94" s="273">
        <v>15</v>
      </c>
      <c r="P94" s="272"/>
      <c r="Q94" s="292"/>
      <c r="R94" s="292"/>
      <c r="S94" s="292"/>
      <c r="T94" s="292"/>
      <c r="U94" s="292"/>
      <c r="V94" s="272"/>
      <c r="W94" s="272"/>
      <c r="X94" s="274">
        <f t="shared" si="2"/>
        <v>1460</v>
      </c>
    </row>
    <row r="95" spans="1:24" s="269" customFormat="1" ht="12.75" customHeight="1" x14ac:dyDescent="0.2">
      <c r="A95" s="617">
        <v>45</v>
      </c>
      <c r="B95" s="285" t="s">
        <v>649</v>
      </c>
      <c r="C95" s="623" t="s">
        <v>771</v>
      </c>
      <c r="D95" s="623">
        <v>594</v>
      </c>
      <c r="E95" s="621">
        <v>75804.92</v>
      </c>
      <c r="F95" s="625" t="s">
        <v>772</v>
      </c>
      <c r="G95" s="301" t="s">
        <v>646</v>
      </c>
      <c r="H95" s="281">
        <v>6738.72</v>
      </c>
      <c r="I95" s="281">
        <v>6738.72</v>
      </c>
      <c r="J95" s="281">
        <v>6738.72</v>
      </c>
      <c r="K95" s="281">
        <v>6738.72</v>
      </c>
      <c r="L95" s="281">
        <v>6738.72</v>
      </c>
      <c r="M95" s="281">
        <v>6738.72</v>
      </c>
      <c r="N95" s="281">
        <v>6738.72</v>
      </c>
      <c r="O95" s="281">
        <v>3369.37</v>
      </c>
      <c r="P95" s="281"/>
      <c r="Q95" s="286"/>
      <c r="R95" s="286"/>
      <c r="S95" s="286"/>
      <c r="T95" s="286"/>
      <c r="U95" s="286"/>
      <c r="V95" s="281"/>
      <c r="W95" s="281"/>
      <c r="X95" s="268">
        <f t="shared" si="2"/>
        <v>50540.41</v>
      </c>
    </row>
    <row r="96" spans="1:24" s="269" customFormat="1" x14ac:dyDescent="0.2">
      <c r="A96" s="618"/>
      <c r="B96" s="294" t="s">
        <v>773</v>
      </c>
      <c r="C96" s="624"/>
      <c r="D96" s="624"/>
      <c r="E96" s="622"/>
      <c r="F96" s="626"/>
      <c r="G96" s="423">
        <v>2.5000000000000001E-3</v>
      </c>
      <c r="H96" s="289">
        <v>165</v>
      </c>
      <c r="I96" s="289">
        <v>175</v>
      </c>
      <c r="J96" s="289">
        <v>150</v>
      </c>
      <c r="K96" s="289">
        <v>120</v>
      </c>
      <c r="L96" s="289">
        <v>95</v>
      </c>
      <c r="M96" s="289">
        <v>65</v>
      </c>
      <c r="N96" s="289">
        <v>40</v>
      </c>
      <c r="O96" s="289">
        <v>10</v>
      </c>
      <c r="P96" s="290"/>
      <c r="Q96" s="290"/>
      <c r="R96" s="290"/>
      <c r="S96" s="290"/>
      <c r="T96" s="290"/>
      <c r="U96" s="290"/>
      <c r="V96" s="288"/>
      <c r="W96" s="288"/>
      <c r="X96" s="274">
        <f t="shared" si="2"/>
        <v>820</v>
      </c>
    </row>
    <row r="97" spans="1:24" s="269" customFormat="1" ht="12.75" customHeight="1" x14ac:dyDescent="0.2">
      <c r="A97" s="608">
        <v>46</v>
      </c>
      <c r="B97" s="265" t="s">
        <v>649</v>
      </c>
      <c r="C97" s="606" t="s">
        <v>774</v>
      </c>
      <c r="D97" s="606">
        <v>597</v>
      </c>
      <c r="E97" s="604">
        <v>912733.07</v>
      </c>
      <c r="F97" s="610" t="s">
        <v>775</v>
      </c>
      <c r="G97" s="300" t="s">
        <v>646</v>
      </c>
      <c r="H97" s="267">
        <v>81132.160000000003</v>
      </c>
      <c r="I97" s="267">
        <v>81132.160000000003</v>
      </c>
      <c r="J97" s="267">
        <v>81132.160000000003</v>
      </c>
      <c r="K97" s="267">
        <v>81132.160000000003</v>
      </c>
      <c r="L97" s="267">
        <v>81132.160000000003</v>
      </c>
      <c r="M97" s="267">
        <v>81132.160000000003</v>
      </c>
      <c r="N97" s="267">
        <v>81132.160000000003</v>
      </c>
      <c r="O97" s="267">
        <v>40562.36</v>
      </c>
      <c r="P97" s="291"/>
      <c r="Q97" s="291"/>
      <c r="R97" s="291"/>
      <c r="S97" s="291"/>
      <c r="T97" s="291"/>
      <c r="U97" s="291"/>
      <c r="V97" s="267"/>
      <c r="W97" s="267"/>
      <c r="X97" s="268">
        <f t="shared" si="2"/>
        <v>608487.4800000001</v>
      </c>
    </row>
    <row r="98" spans="1:24" s="269" customFormat="1" x14ac:dyDescent="0.2">
      <c r="A98" s="609"/>
      <c r="B98" s="270" t="s">
        <v>776</v>
      </c>
      <c r="C98" s="607"/>
      <c r="D98" s="607"/>
      <c r="E98" s="605"/>
      <c r="F98" s="611"/>
      <c r="G98" s="423">
        <v>2.5000000000000001E-3</v>
      </c>
      <c r="H98" s="273">
        <v>1950</v>
      </c>
      <c r="I98" s="273">
        <v>2090</v>
      </c>
      <c r="J98" s="273">
        <v>1765</v>
      </c>
      <c r="K98" s="273">
        <v>1430</v>
      </c>
      <c r="L98" s="273">
        <v>1105</v>
      </c>
      <c r="M98" s="273">
        <v>775</v>
      </c>
      <c r="N98" s="273">
        <v>445</v>
      </c>
      <c r="O98" s="273">
        <v>120</v>
      </c>
      <c r="P98" s="292"/>
      <c r="Q98" s="292"/>
      <c r="R98" s="292"/>
      <c r="S98" s="292"/>
      <c r="T98" s="292"/>
      <c r="U98" s="292"/>
      <c r="V98" s="272"/>
      <c r="W98" s="272"/>
      <c r="X98" s="274">
        <f t="shared" si="2"/>
        <v>9680</v>
      </c>
    </row>
    <row r="99" spans="1:24" s="269" customFormat="1" ht="12.75" customHeight="1" x14ac:dyDescent="0.2">
      <c r="A99" s="617">
        <v>47</v>
      </c>
      <c r="B99" s="285" t="s">
        <v>649</v>
      </c>
      <c r="C99" s="623" t="s">
        <v>777</v>
      </c>
      <c r="D99" s="623">
        <v>598</v>
      </c>
      <c r="E99" s="621">
        <v>156218.53</v>
      </c>
      <c r="F99" s="625" t="s">
        <v>778</v>
      </c>
      <c r="G99" s="301" t="s">
        <v>646</v>
      </c>
      <c r="H99" s="281">
        <v>13887.24</v>
      </c>
      <c r="I99" s="281">
        <v>13887.24</v>
      </c>
      <c r="J99" s="281">
        <v>13887.24</v>
      </c>
      <c r="K99" s="281">
        <v>13887.24</v>
      </c>
      <c r="L99" s="281">
        <v>13887.24</v>
      </c>
      <c r="M99" s="281">
        <v>13887.24</v>
      </c>
      <c r="N99" s="281">
        <v>13887.24</v>
      </c>
      <c r="O99" s="281">
        <v>6930.8</v>
      </c>
      <c r="P99" s="286"/>
      <c r="Q99" s="286"/>
      <c r="R99" s="286"/>
      <c r="S99" s="286"/>
      <c r="T99" s="286"/>
      <c r="U99" s="286"/>
      <c r="V99" s="281"/>
      <c r="W99" s="281"/>
      <c r="X99" s="268">
        <f t="shared" si="2"/>
        <v>104141.48000000001</v>
      </c>
    </row>
    <row r="100" spans="1:24" s="269" customFormat="1" x14ac:dyDescent="0.2">
      <c r="A100" s="618"/>
      <c r="B100" s="294" t="s">
        <v>779</v>
      </c>
      <c r="C100" s="624"/>
      <c r="D100" s="624"/>
      <c r="E100" s="622"/>
      <c r="F100" s="626"/>
      <c r="G100" s="423">
        <v>2.5000000000000001E-3</v>
      </c>
      <c r="H100" s="289">
        <v>300</v>
      </c>
      <c r="I100" s="289">
        <v>360</v>
      </c>
      <c r="J100" s="289">
        <v>305</v>
      </c>
      <c r="K100" s="289">
        <v>245</v>
      </c>
      <c r="L100" s="289">
        <v>190</v>
      </c>
      <c r="M100" s="289">
        <v>135</v>
      </c>
      <c r="N100" s="289">
        <v>80</v>
      </c>
      <c r="O100" s="289">
        <v>20</v>
      </c>
      <c r="P100" s="290"/>
      <c r="Q100" s="290"/>
      <c r="R100" s="290"/>
      <c r="S100" s="290"/>
      <c r="T100" s="290"/>
      <c r="U100" s="290"/>
      <c r="V100" s="288"/>
      <c r="W100" s="288"/>
      <c r="X100" s="274">
        <f t="shared" si="2"/>
        <v>1635</v>
      </c>
    </row>
    <row r="101" spans="1:24" s="269" customFormat="1" ht="12.75" customHeight="1" x14ac:dyDescent="0.2">
      <c r="A101" s="608">
        <v>48</v>
      </c>
      <c r="B101" s="265" t="s">
        <v>649</v>
      </c>
      <c r="C101" s="606" t="s">
        <v>780</v>
      </c>
      <c r="D101" s="606">
        <v>599</v>
      </c>
      <c r="E101" s="604">
        <v>142226.65</v>
      </c>
      <c r="F101" s="610" t="s">
        <v>781</v>
      </c>
      <c r="G101" s="300" t="s">
        <v>646</v>
      </c>
      <c r="H101" s="267">
        <v>12931.04</v>
      </c>
      <c r="I101" s="267">
        <v>12931.04</v>
      </c>
      <c r="J101" s="267">
        <v>12931.04</v>
      </c>
      <c r="K101" s="267">
        <v>12931.04</v>
      </c>
      <c r="L101" s="267">
        <v>12931.04</v>
      </c>
      <c r="M101" s="267">
        <v>12931.04</v>
      </c>
      <c r="N101" s="267">
        <v>12931.04</v>
      </c>
      <c r="O101" s="267">
        <v>6465.71</v>
      </c>
      <c r="P101" s="291"/>
      <c r="Q101" s="291"/>
      <c r="R101" s="291"/>
      <c r="S101" s="291"/>
      <c r="T101" s="291"/>
      <c r="U101" s="291"/>
      <c r="V101" s="267"/>
      <c r="W101" s="267"/>
      <c r="X101" s="268">
        <f t="shared" si="2"/>
        <v>96982.99</v>
      </c>
    </row>
    <row r="102" spans="1:24" s="269" customFormat="1" x14ac:dyDescent="0.2">
      <c r="A102" s="609"/>
      <c r="B102" s="270" t="s">
        <v>782</v>
      </c>
      <c r="C102" s="607"/>
      <c r="D102" s="607"/>
      <c r="E102" s="605"/>
      <c r="F102" s="611"/>
      <c r="G102" s="423">
        <v>2.5000000000000001E-3</v>
      </c>
      <c r="H102" s="273">
        <v>245</v>
      </c>
      <c r="I102" s="273">
        <v>335</v>
      </c>
      <c r="J102" s="273">
        <v>285</v>
      </c>
      <c r="K102" s="273">
        <v>230</v>
      </c>
      <c r="L102" s="273">
        <v>180</v>
      </c>
      <c r="M102" s="273">
        <v>125</v>
      </c>
      <c r="N102" s="273">
        <v>75</v>
      </c>
      <c r="O102" s="273">
        <v>20</v>
      </c>
      <c r="P102" s="292"/>
      <c r="Q102" s="292"/>
      <c r="R102" s="292"/>
      <c r="S102" s="292"/>
      <c r="T102" s="292"/>
      <c r="U102" s="292"/>
      <c r="V102" s="272"/>
      <c r="W102" s="272"/>
      <c r="X102" s="274">
        <f t="shared" si="2"/>
        <v>1495</v>
      </c>
    </row>
    <row r="103" spans="1:24" s="269" customFormat="1" ht="12.75" customHeight="1" x14ac:dyDescent="0.2">
      <c r="A103" s="593">
        <v>49</v>
      </c>
      <c r="B103" s="334" t="s">
        <v>649</v>
      </c>
      <c r="C103" s="599" t="s">
        <v>698</v>
      </c>
      <c r="D103" s="599">
        <v>600</v>
      </c>
      <c r="E103" s="597">
        <v>29053.99</v>
      </c>
      <c r="F103" s="642" t="s">
        <v>781</v>
      </c>
      <c r="G103" s="463" t="s">
        <v>646</v>
      </c>
      <c r="H103" s="385"/>
      <c r="I103" s="385"/>
      <c r="J103" s="385"/>
      <c r="K103" s="385"/>
      <c r="L103" s="385"/>
      <c r="M103" s="385"/>
      <c r="N103" s="385"/>
      <c r="O103" s="385"/>
      <c r="P103" s="445"/>
      <c r="Q103" s="445"/>
      <c r="R103" s="445"/>
      <c r="S103" s="445"/>
      <c r="T103" s="445"/>
      <c r="U103" s="445"/>
      <c r="V103" s="385"/>
      <c r="W103" s="385"/>
      <c r="X103" s="339">
        <f t="shared" si="2"/>
        <v>0</v>
      </c>
    </row>
    <row r="104" spans="1:24" s="269" customFormat="1" x14ac:dyDescent="0.2">
      <c r="A104" s="594"/>
      <c r="B104" s="446" t="s">
        <v>783</v>
      </c>
      <c r="C104" s="600"/>
      <c r="D104" s="600"/>
      <c r="E104" s="598"/>
      <c r="F104" s="643"/>
      <c r="G104" s="448">
        <v>2.5000000000000001E-3</v>
      </c>
      <c r="H104" s="388">
        <v>12.25</v>
      </c>
      <c r="I104" s="449"/>
      <c r="J104" s="449"/>
      <c r="K104" s="449"/>
      <c r="L104" s="449"/>
      <c r="M104" s="449"/>
      <c r="N104" s="449"/>
      <c r="O104" s="449"/>
      <c r="P104" s="450"/>
      <c r="Q104" s="450"/>
      <c r="R104" s="450"/>
      <c r="S104" s="450"/>
      <c r="T104" s="450"/>
      <c r="U104" s="450"/>
      <c r="V104" s="388"/>
      <c r="W104" s="388"/>
      <c r="X104" s="341">
        <f t="shared" si="2"/>
        <v>12.25</v>
      </c>
    </row>
    <row r="105" spans="1:24" s="269" customFormat="1" ht="12.75" customHeight="1" x14ac:dyDescent="0.2">
      <c r="A105" s="634">
        <v>50</v>
      </c>
      <c r="B105" s="451" t="s">
        <v>649</v>
      </c>
      <c r="C105" s="636" t="s">
        <v>784</v>
      </c>
      <c r="D105" s="636">
        <v>602</v>
      </c>
      <c r="E105" s="638">
        <v>28919.87</v>
      </c>
      <c r="F105" s="640" t="s">
        <v>785</v>
      </c>
      <c r="G105" s="464" t="s">
        <v>646</v>
      </c>
      <c r="H105" s="454"/>
      <c r="I105" s="454"/>
      <c r="J105" s="454"/>
      <c r="K105" s="454"/>
      <c r="L105" s="454"/>
      <c r="M105" s="454"/>
      <c r="N105" s="454"/>
      <c r="O105" s="454"/>
      <c r="P105" s="454"/>
      <c r="Q105" s="456"/>
      <c r="R105" s="456"/>
      <c r="S105" s="456"/>
      <c r="T105" s="456"/>
      <c r="U105" s="456"/>
      <c r="V105" s="454"/>
      <c r="W105" s="454"/>
      <c r="X105" s="339">
        <f t="shared" si="2"/>
        <v>0</v>
      </c>
    </row>
    <row r="106" spans="1:24" s="269" customFormat="1" x14ac:dyDescent="0.2">
      <c r="A106" s="635"/>
      <c r="B106" s="457" t="s">
        <v>786</v>
      </c>
      <c r="C106" s="637"/>
      <c r="D106" s="637"/>
      <c r="E106" s="639"/>
      <c r="F106" s="641"/>
      <c r="G106" s="448">
        <v>2.5000000000000001E-3</v>
      </c>
      <c r="H106" s="459">
        <v>13.37</v>
      </c>
      <c r="I106" s="460"/>
      <c r="J106" s="460"/>
      <c r="K106" s="460"/>
      <c r="L106" s="460"/>
      <c r="M106" s="460"/>
      <c r="N106" s="460"/>
      <c r="O106" s="460"/>
      <c r="P106" s="460"/>
      <c r="Q106" s="462"/>
      <c r="R106" s="462"/>
      <c r="S106" s="462"/>
      <c r="T106" s="462"/>
      <c r="U106" s="462"/>
      <c r="V106" s="459"/>
      <c r="W106" s="459"/>
      <c r="X106" s="341">
        <f t="shared" si="2"/>
        <v>13.37</v>
      </c>
    </row>
    <row r="107" spans="1:24" s="269" customFormat="1" ht="12.75" customHeight="1" x14ac:dyDescent="0.2">
      <c r="A107" s="608">
        <v>51</v>
      </c>
      <c r="B107" s="265" t="s">
        <v>649</v>
      </c>
      <c r="C107" s="606" t="s">
        <v>787</v>
      </c>
      <c r="D107" s="606">
        <v>608</v>
      </c>
      <c r="E107" s="604">
        <v>8466400.9299999997</v>
      </c>
      <c r="F107" s="610" t="s">
        <v>788</v>
      </c>
      <c r="G107" s="300" t="s">
        <v>646</v>
      </c>
      <c r="H107" s="306">
        <v>376286</v>
      </c>
      <c r="I107" s="306">
        <v>752572</v>
      </c>
      <c r="J107" s="306">
        <v>752572</v>
      </c>
      <c r="K107" s="306">
        <v>752572</v>
      </c>
      <c r="L107" s="306">
        <v>752572</v>
      </c>
      <c r="M107" s="306">
        <v>752572</v>
      </c>
      <c r="N107" s="306">
        <v>752572</v>
      </c>
      <c r="O107" s="306">
        <v>752572</v>
      </c>
      <c r="P107" s="306">
        <v>498911.08</v>
      </c>
      <c r="Q107" s="291"/>
      <c r="R107" s="291"/>
      <c r="S107" s="291"/>
      <c r="T107" s="291"/>
      <c r="U107" s="291"/>
      <c r="V107" s="267"/>
      <c r="W107" s="267"/>
      <c r="X107" s="268">
        <f t="shared" si="2"/>
        <v>6143201.0800000001</v>
      </c>
    </row>
    <row r="108" spans="1:24" s="269" customFormat="1" x14ac:dyDescent="0.2">
      <c r="A108" s="609"/>
      <c r="B108" s="270" t="s">
        <v>789</v>
      </c>
      <c r="C108" s="607"/>
      <c r="D108" s="607"/>
      <c r="E108" s="605"/>
      <c r="F108" s="611"/>
      <c r="G108" s="423">
        <v>2.5000000000000001E-3</v>
      </c>
      <c r="H108" s="307">
        <v>17910</v>
      </c>
      <c r="I108" s="307">
        <v>22920</v>
      </c>
      <c r="J108" s="307">
        <v>19925</v>
      </c>
      <c r="K108" s="307">
        <v>16815</v>
      </c>
      <c r="L108" s="307">
        <v>13765</v>
      </c>
      <c r="M108" s="307">
        <v>10710</v>
      </c>
      <c r="N108" s="307">
        <v>7680</v>
      </c>
      <c r="O108" s="307">
        <v>4610</v>
      </c>
      <c r="P108" s="307">
        <v>1565</v>
      </c>
      <c r="Q108" s="292"/>
      <c r="R108" s="292"/>
      <c r="S108" s="292"/>
      <c r="T108" s="292"/>
      <c r="U108" s="292"/>
      <c r="V108" s="272"/>
      <c r="W108" s="272"/>
      <c r="X108" s="274">
        <f t="shared" si="2"/>
        <v>115900</v>
      </c>
    </row>
    <row r="109" spans="1:24" s="269" customFormat="1" ht="12.75" customHeight="1" x14ac:dyDescent="0.2">
      <c r="A109" s="617">
        <v>52</v>
      </c>
      <c r="B109" s="285" t="s">
        <v>649</v>
      </c>
      <c r="C109" s="623" t="s">
        <v>790</v>
      </c>
      <c r="D109" s="623">
        <v>609</v>
      </c>
      <c r="E109" s="621">
        <v>351453.61</v>
      </c>
      <c r="F109" s="625" t="s">
        <v>791</v>
      </c>
      <c r="G109" s="301" t="s">
        <v>646</v>
      </c>
      <c r="H109" s="281"/>
      <c r="I109" s="281"/>
      <c r="J109" s="281">
        <v>16815.830000000002</v>
      </c>
      <c r="K109" s="281">
        <v>31303.16</v>
      </c>
      <c r="L109" s="281">
        <v>31303.16</v>
      </c>
      <c r="M109" s="281">
        <v>31303.16</v>
      </c>
      <c r="N109" s="281">
        <v>31303.16</v>
      </c>
      <c r="O109" s="281">
        <v>31303.16</v>
      </c>
      <c r="P109" s="281">
        <v>30596.12</v>
      </c>
      <c r="Q109" s="281">
        <v>0</v>
      </c>
      <c r="R109" s="286"/>
      <c r="S109" s="286"/>
      <c r="T109" s="286"/>
      <c r="U109" s="286"/>
      <c r="V109" s="281"/>
      <c r="W109" s="281"/>
      <c r="X109" s="268">
        <f t="shared" si="2"/>
        <v>203927.75</v>
      </c>
    </row>
    <row r="110" spans="1:24" s="269" customFormat="1" x14ac:dyDescent="0.2">
      <c r="A110" s="618"/>
      <c r="B110" s="294" t="s">
        <v>792</v>
      </c>
      <c r="C110" s="624"/>
      <c r="D110" s="624"/>
      <c r="E110" s="622"/>
      <c r="F110" s="626"/>
      <c r="G110" s="423">
        <v>2.5000000000000001E-3</v>
      </c>
      <c r="H110" s="289">
        <v>520</v>
      </c>
      <c r="I110" s="289">
        <v>830</v>
      </c>
      <c r="J110" s="289">
        <v>830</v>
      </c>
      <c r="K110" s="289">
        <v>740</v>
      </c>
      <c r="L110" s="289">
        <v>615</v>
      </c>
      <c r="M110" s="289">
        <v>490</v>
      </c>
      <c r="N110" s="289">
        <v>360</v>
      </c>
      <c r="O110" s="289">
        <v>235</v>
      </c>
      <c r="P110" s="289">
        <v>105</v>
      </c>
      <c r="Q110" s="289">
        <v>10</v>
      </c>
      <c r="R110" s="290"/>
      <c r="S110" s="290"/>
      <c r="T110" s="290"/>
      <c r="U110" s="290"/>
      <c r="V110" s="288"/>
      <c r="W110" s="288"/>
      <c r="X110" s="274">
        <f t="shared" si="2"/>
        <v>4735</v>
      </c>
    </row>
    <row r="111" spans="1:24" s="269" customFormat="1" ht="12.75" customHeight="1" x14ac:dyDescent="0.2">
      <c r="A111" s="608">
        <v>53</v>
      </c>
      <c r="B111" s="265" t="s">
        <v>649</v>
      </c>
      <c r="C111" s="606" t="s">
        <v>793</v>
      </c>
      <c r="D111" s="606">
        <v>607</v>
      </c>
      <c r="E111" s="604">
        <v>278882.87</v>
      </c>
      <c r="F111" s="610" t="s">
        <v>794</v>
      </c>
      <c r="G111" s="300" t="s">
        <v>646</v>
      </c>
      <c r="H111" s="267">
        <v>24792.12</v>
      </c>
      <c r="I111" s="267">
        <v>24792.12</v>
      </c>
      <c r="J111" s="267">
        <v>24792.12</v>
      </c>
      <c r="K111" s="267">
        <v>24792.12</v>
      </c>
      <c r="L111" s="267">
        <v>24792.12</v>
      </c>
      <c r="M111" s="267">
        <v>24792.12</v>
      </c>
      <c r="N111" s="267">
        <v>24792.12</v>
      </c>
      <c r="O111" s="267">
        <v>24792.12</v>
      </c>
      <c r="P111" s="267">
        <v>18565.62</v>
      </c>
      <c r="Q111" s="291"/>
      <c r="R111" s="291"/>
      <c r="S111" s="291"/>
      <c r="T111" s="291"/>
      <c r="U111" s="291"/>
      <c r="V111" s="267"/>
      <c r="W111" s="267"/>
      <c r="X111" s="268">
        <f t="shared" si="2"/>
        <v>216902.58</v>
      </c>
    </row>
    <row r="112" spans="1:24" s="269" customFormat="1" x14ac:dyDescent="0.2">
      <c r="A112" s="609"/>
      <c r="B112" s="270" t="s">
        <v>795</v>
      </c>
      <c r="C112" s="607"/>
      <c r="D112" s="607"/>
      <c r="E112" s="605"/>
      <c r="F112" s="611"/>
      <c r="G112" s="423">
        <v>2.5000000000000001E-3</v>
      </c>
      <c r="H112" s="273">
        <v>620</v>
      </c>
      <c r="I112" s="273">
        <v>765</v>
      </c>
      <c r="J112" s="273">
        <v>665</v>
      </c>
      <c r="K112" s="273">
        <v>565</v>
      </c>
      <c r="L112" s="273">
        <v>465</v>
      </c>
      <c r="M112" s="273">
        <v>365</v>
      </c>
      <c r="N112" s="273">
        <v>265</v>
      </c>
      <c r="O112" s="273">
        <v>165</v>
      </c>
      <c r="P112" s="273">
        <v>60</v>
      </c>
      <c r="Q112" s="292"/>
      <c r="R112" s="292"/>
      <c r="S112" s="292"/>
      <c r="T112" s="292"/>
      <c r="U112" s="292"/>
      <c r="V112" s="272"/>
      <c r="W112" s="272"/>
      <c r="X112" s="274">
        <f t="shared" si="2"/>
        <v>3935</v>
      </c>
    </row>
    <row r="113" spans="1:24" s="269" customFormat="1" ht="12.75" customHeight="1" x14ac:dyDescent="0.2">
      <c r="A113" s="617">
        <v>54</v>
      </c>
      <c r="B113" s="285" t="s">
        <v>649</v>
      </c>
      <c r="C113" s="632" t="s">
        <v>796</v>
      </c>
      <c r="D113" s="623">
        <v>606</v>
      </c>
      <c r="E113" s="621">
        <v>3464498.58</v>
      </c>
      <c r="F113" s="625" t="s">
        <v>797</v>
      </c>
      <c r="G113" s="301" t="s">
        <v>646</v>
      </c>
      <c r="H113" s="281"/>
      <c r="I113" s="281">
        <v>103995.57</v>
      </c>
      <c r="J113" s="281">
        <v>287772</v>
      </c>
      <c r="K113" s="281">
        <v>287772</v>
      </c>
      <c r="L113" s="281">
        <v>287772</v>
      </c>
      <c r="M113" s="281">
        <v>287772</v>
      </c>
      <c r="N113" s="281">
        <v>287772</v>
      </c>
      <c r="O113" s="281">
        <v>287772</v>
      </c>
      <c r="P113" s="281">
        <v>215809.66</v>
      </c>
      <c r="Q113" s="286"/>
      <c r="R113" s="286"/>
      <c r="S113" s="286"/>
      <c r="T113" s="286"/>
      <c r="U113" s="286"/>
      <c r="V113" s="281"/>
      <c r="W113" s="281"/>
      <c r="X113" s="268">
        <f t="shared" si="2"/>
        <v>2046437.23</v>
      </c>
    </row>
    <row r="114" spans="1:24" s="269" customFormat="1" x14ac:dyDescent="0.2">
      <c r="A114" s="618"/>
      <c r="B114" s="294" t="s">
        <v>798</v>
      </c>
      <c r="C114" s="633"/>
      <c r="D114" s="624"/>
      <c r="E114" s="622"/>
      <c r="F114" s="626"/>
      <c r="G114" s="423">
        <v>2.5000000000000001E-3</v>
      </c>
      <c r="H114" s="289">
        <v>5975</v>
      </c>
      <c r="I114" s="289">
        <v>8300</v>
      </c>
      <c r="J114" s="289">
        <v>7720</v>
      </c>
      <c r="K114" s="289">
        <v>6535</v>
      </c>
      <c r="L114" s="289">
        <v>5365</v>
      </c>
      <c r="M114" s="289">
        <v>4200</v>
      </c>
      <c r="N114" s="289">
        <v>3040</v>
      </c>
      <c r="O114" s="289">
        <v>1865</v>
      </c>
      <c r="P114" s="289">
        <v>700</v>
      </c>
      <c r="Q114" s="290"/>
      <c r="R114" s="290"/>
      <c r="S114" s="290"/>
      <c r="T114" s="290"/>
      <c r="U114" s="290"/>
      <c r="V114" s="288"/>
      <c r="W114" s="288"/>
      <c r="X114" s="274">
        <f t="shared" si="2"/>
        <v>43700</v>
      </c>
    </row>
    <row r="115" spans="1:24" s="269" customFormat="1" ht="12.75" customHeight="1" x14ac:dyDescent="0.2">
      <c r="A115" s="608">
        <v>55</v>
      </c>
      <c r="B115" s="265" t="s">
        <v>649</v>
      </c>
      <c r="C115" s="632" t="s">
        <v>799</v>
      </c>
      <c r="D115" s="606">
        <v>610</v>
      </c>
      <c r="E115" s="604">
        <v>115821.77</v>
      </c>
      <c r="F115" s="610" t="s">
        <v>800</v>
      </c>
      <c r="G115" s="300" t="s">
        <v>646</v>
      </c>
      <c r="H115" s="267">
        <v>5941.92</v>
      </c>
      <c r="I115" s="267">
        <v>5941.92</v>
      </c>
      <c r="J115" s="267">
        <v>5941.92</v>
      </c>
      <c r="K115" s="267">
        <v>5941.92</v>
      </c>
      <c r="L115" s="267">
        <v>5941.92</v>
      </c>
      <c r="M115" s="267">
        <v>5941.92</v>
      </c>
      <c r="N115" s="267">
        <v>5941.92</v>
      </c>
      <c r="O115" s="267">
        <v>5941.92</v>
      </c>
      <c r="P115" s="267">
        <v>5941.92</v>
      </c>
      <c r="Q115" s="267">
        <v>5941.92</v>
      </c>
      <c r="R115" s="267">
        <v>5941.92</v>
      </c>
      <c r="S115" s="267">
        <v>5941.92</v>
      </c>
      <c r="T115" s="267">
        <v>5941.92</v>
      </c>
      <c r="U115" s="267">
        <v>5941.92</v>
      </c>
      <c r="V115" s="267">
        <v>5941.92</v>
      </c>
      <c r="W115" s="267">
        <v>2970.82</v>
      </c>
      <c r="X115" s="268">
        <f t="shared" si="2"/>
        <v>92099.62</v>
      </c>
    </row>
    <row r="116" spans="1:24" s="269" customFormat="1" x14ac:dyDescent="0.2">
      <c r="A116" s="609"/>
      <c r="B116" s="270" t="s">
        <v>801</v>
      </c>
      <c r="C116" s="633"/>
      <c r="D116" s="607"/>
      <c r="E116" s="605"/>
      <c r="F116" s="611"/>
      <c r="G116" s="423">
        <v>2.5000000000000001E-3</v>
      </c>
      <c r="H116" s="273">
        <v>300</v>
      </c>
      <c r="I116" s="273">
        <v>350</v>
      </c>
      <c r="J116" s="273">
        <v>325</v>
      </c>
      <c r="K116" s="273">
        <v>300</v>
      </c>
      <c r="L116" s="273">
        <v>275</v>
      </c>
      <c r="M116" s="273">
        <v>250</v>
      </c>
      <c r="N116" s="273">
        <v>230</v>
      </c>
      <c r="O116" s="273">
        <v>205</v>
      </c>
      <c r="P116" s="273">
        <v>180</v>
      </c>
      <c r="Q116" s="273">
        <v>155</v>
      </c>
      <c r="R116" s="273">
        <v>130</v>
      </c>
      <c r="S116" s="273">
        <v>105</v>
      </c>
      <c r="T116" s="273">
        <v>85</v>
      </c>
      <c r="U116" s="273">
        <v>60</v>
      </c>
      <c r="V116" s="273">
        <v>35</v>
      </c>
      <c r="W116" s="273">
        <v>10</v>
      </c>
      <c r="X116" s="274">
        <f t="shared" si="2"/>
        <v>2995</v>
      </c>
    </row>
    <row r="117" spans="1:24" s="269" customFormat="1" ht="12.75" customHeight="1" x14ac:dyDescent="0.2">
      <c r="A117" s="617">
        <v>56</v>
      </c>
      <c r="B117" s="285" t="s">
        <v>649</v>
      </c>
      <c r="C117" s="632" t="s">
        <v>802</v>
      </c>
      <c r="D117" s="623">
        <v>611</v>
      </c>
      <c r="E117" s="621">
        <v>202299.65</v>
      </c>
      <c r="F117" s="625" t="s">
        <v>803</v>
      </c>
      <c r="G117" s="301" t="s">
        <v>646</v>
      </c>
      <c r="H117" s="281"/>
      <c r="I117" s="281"/>
      <c r="J117" s="281"/>
      <c r="K117" s="281"/>
      <c r="L117" s="281"/>
      <c r="M117" s="281"/>
      <c r="N117" s="281">
        <v>2615.2800000000002</v>
      </c>
      <c r="O117" s="281">
        <v>11400.04</v>
      </c>
      <c r="P117" s="281">
        <v>11400.04</v>
      </c>
      <c r="Q117" s="281">
        <v>11400.04</v>
      </c>
      <c r="R117" s="281">
        <v>11400.04</v>
      </c>
      <c r="S117" s="281">
        <v>11400.04</v>
      </c>
      <c r="T117" s="281">
        <v>11400.04</v>
      </c>
      <c r="U117" s="281">
        <v>11400.04</v>
      </c>
      <c r="V117" s="281">
        <v>11400.04</v>
      </c>
      <c r="W117" s="490">
        <v>8550.14</v>
      </c>
      <c r="X117" s="268">
        <f t="shared" si="2"/>
        <v>102365.74</v>
      </c>
    </row>
    <row r="118" spans="1:24" s="269" customFormat="1" x14ac:dyDescent="0.2">
      <c r="A118" s="618"/>
      <c r="B118" s="294" t="s">
        <v>804</v>
      </c>
      <c r="C118" s="633"/>
      <c r="D118" s="624"/>
      <c r="E118" s="622"/>
      <c r="F118" s="626"/>
      <c r="G118" s="423">
        <v>2.5000000000000001E-3</v>
      </c>
      <c r="H118" s="289">
        <v>300</v>
      </c>
      <c r="I118" s="289">
        <v>420</v>
      </c>
      <c r="J118" s="289">
        <v>420</v>
      </c>
      <c r="K118" s="289">
        <v>420</v>
      </c>
      <c r="L118" s="289">
        <v>420</v>
      </c>
      <c r="M118" s="289">
        <v>420</v>
      </c>
      <c r="N118" s="289">
        <v>420</v>
      </c>
      <c r="O118" s="289">
        <v>400</v>
      </c>
      <c r="P118" s="289">
        <v>355</v>
      </c>
      <c r="Q118" s="289">
        <v>305</v>
      </c>
      <c r="R118" s="289">
        <v>260</v>
      </c>
      <c r="S118" s="289">
        <v>215</v>
      </c>
      <c r="T118" s="289">
        <v>170</v>
      </c>
      <c r="U118" s="289">
        <v>125</v>
      </c>
      <c r="V118" s="289">
        <v>75</v>
      </c>
      <c r="W118" s="491">
        <v>30</v>
      </c>
      <c r="X118" s="274">
        <f t="shared" si="2"/>
        <v>4755</v>
      </c>
    </row>
    <row r="119" spans="1:24" s="269" customFormat="1" ht="12.75" customHeight="1" x14ac:dyDescent="0.2">
      <c r="A119" s="608">
        <v>57</v>
      </c>
      <c r="B119" s="265" t="s">
        <v>649</v>
      </c>
      <c r="C119" s="606" t="s">
        <v>805</v>
      </c>
      <c r="D119" s="606">
        <v>612</v>
      </c>
      <c r="E119" s="604">
        <v>836018.63</v>
      </c>
      <c r="F119" s="610" t="s">
        <v>806</v>
      </c>
      <c r="G119" s="300" t="s">
        <v>646</v>
      </c>
      <c r="H119" s="267">
        <v>26008</v>
      </c>
      <c r="I119" s="267">
        <v>26008</v>
      </c>
      <c r="J119" s="267">
        <v>26008</v>
      </c>
      <c r="K119" s="267">
        <v>26008</v>
      </c>
      <c r="L119" s="267">
        <v>26008</v>
      </c>
      <c r="M119" s="267">
        <v>26008</v>
      </c>
      <c r="N119" s="267">
        <v>26008</v>
      </c>
      <c r="O119" s="267">
        <v>26008</v>
      </c>
      <c r="P119" s="267">
        <v>26008</v>
      </c>
      <c r="Q119" s="267">
        <v>26008</v>
      </c>
      <c r="R119" s="267">
        <v>26008</v>
      </c>
      <c r="S119" s="267">
        <v>26008</v>
      </c>
      <c r="T119" s="267">
        <v>26008</v>
      </c>
      <c r="U119" s="267">
        <v>26008</v>
      </c>
      <c r="V119" s="267">
        <v>26008</v>
      </c>
      <c r="W119" s="492">
        <v>19506</v>
      </c>
      <c r="X119" s="268">
        <f t="shared" si="2"/>
        <v>409626</v>
      </c>
    </row>
    <row r="120" spans="1:24" s="269" customFormat="1" x14ac:dyDescent="0.2">
      <c r="A120" s="609"/>
      <c r="B120" s="270" t="s">
        <v>807</v>
      </c>
      <c r="C120" s="607"/>
      <c r="D120" s="607"/>
      <c r="E120" s="605"/>
      <c r="F120" s="611"/>
      <c r="G120" s="423">
        <v>2.5000000000000001E-3</v>
      </c>
      <c r="H120" s="273">
        <v>1180</v>
      </c>
      <c r="I120" s="273">
        <v>1540</v>
      </c>
      <c r="J120" s="273">
        <v>1440</v>
      </c>
      <c r="K120" s="273">
        <v>1330</v>
      </c>
      <c r="L120" s="273">
        <v>1225</v>
      </c>
      <c r="M120" s="273">
        <v>1120</v>
      </c>
      <c r="N120" s="273">
        <v>1015</v>
      </c>
      <c r="O120" s="273">
        <v>910</v>
      </c>
      <c r="P120" s="273">
        <v>805</v>
      </c>
      <c r="Q120" s="273">
        <v>700</v>
      </c>
      <c r="R120" s="273">
        <v>595</v>
      </c>
      <c r="S120" s="273">
        <v>485</v>
      </c>
      <c r="T120" s="273">
        <v>380</v>
      </c>
      <c r="U120" s="273">
        <v>275</v>
      </c>
      <c r="V120" s="273">
        <v>170</v>
      </c>
      <c r="W120" s="493">
        <v>65</v>
      </c>
      <c r="X120" s="274">
        <f t="shared" si="2"/>
        <v>13235</v>
      </c>
    </row>
    <row r="121" spans="1:24" s="269" customFormat="1" ht="12.75" customHeight="1" x14ac:dyDescent="0.2">
      <c r="A121" s="617">
        <v>58</v>
      </c>
      <c r="B121" s="285" t="s">
        <v>649</v>
      </c>
      <c r="C121" s="623" t="s">
        <v>808</v>
      </c>
      <c r="D121" s="623">
        <v>613</v>
      </c>
      <c r="E121" s="621">
        <v>375727.8</v>
      </c>
      <c r="F121" s="625" t="s">
        <v>809</v>
      </c>
      <c r="G121" s="301" t="s">
        <v>646</v>
      </c>
      <c r="H121" s="281"/>
      <c r="I121" s="281"/>
      <c r="J121" s="281"/>
      <c r="K121" s="281">
        <v>8153.54</v>
      </c>
      <c r="L121" s="281">
        <v>21781.32</v>
      </c>
      <c r="M121" s="281">
        <v>21781.32</v>
      </c>
      <c r="N121" s="281">
        <v>21781.32</v>
      </c>
      <c r="O121" s="281">
        <v>21781.32</v>
      </c>
      <c r="P121" s="281">
        <v>21781.32</v>
      </c>
      <c r="Q121" s="281">
        <v>21781.32</v>
      </c>
      <c r="R121" s="281">
        <v>21781.32</v>
      </c>
      <c r="S121" s="281">
        <v>21781.32</v>
      </c>
      <c r="T121" s="281">
        <v>21781.32</v>
      </c>
      <c r="U121" s="281">
        <v>21781.32</v>
      </c>
      <c r="V121" s="281">
        <v>21781.32</v>
      </c>
      <c r="W121" s="490">
        <v>16336.01</v>
      </c>
      <c r="X121" s="268">
        <f t="shared" si="2"/>
        <v>264084.07000000007</v>
      </c>
    </row>
    <row r="122" spans="1:24" s="269" customFormat="1" x14ac:dyDescent="0.2">
      <c r="A122" s="618"/>
      <c r="B122" s="294" t="s">
        <v>810</v>
      </c>
      <c r="C122" s="624"/>
      <c r="D122" s="624"/>
      <c r="E122" s="622"/>
      <c r="F122" s="626"/>
      <c r="G122" s="423">
        <v>2.5000000000000001E-3</v>
      </c>
      <c r="H122" s="289">
        <v>775</v>
      </c>
      <c r="I122" s="289">
        <v>1075</v>
      </c>
      <c r="J122" s="289">
        <v>1075</v>
      </c>
      <c r="K122" s="289">
        <v>1075</v>
      </c>
      <c r="L122" s="289">
        <v>1025</v>
      </c>
      <c r="M122" s="289">
        <v>940</v>
      </c>
      <c r="N122" s="289">
        <v>855</v>
      </c>
      <c r="O122" s="289">
        <v>760</v>
      </c>
      <c r="P122" s="289">
        <v>675</v>
      </c>
      <c r="Q122" s="289">
        <v>585</v>
      </c>
      <c r="R122" s="289">
        <v>500</v>
      </c>
      <c r="S122" s="289">
        <v>410</v>
      </c>
      <c r="T122" s="289">
        <v>320</v>
      </c>
      <c r="U122" s="289">
        <v>230</v>
      </c>
      <c r="V122" s="289">
        <v>145</v>
      </c>
      <c r="W122" s="491">
        <v>50</v>
      </c>
      <c r="X122" s="274">
        <f t="shared" si="2"/>
        <v>10495</v>
      </c>
    </row>
    <row r="123" spans="1:24" s="269" customFormat="1" ht="12.75" customHeight="1" x14ac:dyDescent="0.2">
      <c r="A123" s="608">
        <v>59</v>
      </c>
      <c r="B123" s="265" t="s">
        <v>649</v>
      </c>
      <c r="C123" s="606" t="s">
        <v>811</v>
      </c>
      <c r="D123" s="606">
        <v>614</v>
      </c>
      <c r="E123" s="604">
        <v>284574.36</v>
      </c>
      <c r="F123" s="610" t="s">
        <v>812</v>
      </c>
      <c r="G123" s="300" t="s">
        <v>646</v>
      </c>
      <c r="H123" s="267">
        <v>16499.64</v>
      </c>
      <c r="I123" s="267">
        <v>16499.64</v>
      </c>
      <c r="J123" s="267">
        <v>16499.64</v>
      </c>
      <c r="K123" s="267">
        <v>16499.64</v>
      </c>
      <c r="L123" s="267">
        <v>16499.64</v>
      </c>
      <c r="M123" s="267">
        <v>16499.64</v>
      </c>
      <c r="N123" s="267">
        <v>16499.64</v>
      </c>
      <c r="O123" s="267">
        <v>16499.64</v>
      </c>
      <c r="P123" s="267">
        <v>16499.64</v>
      </c>
      <c r="Q123" s="267">
        <v>16499.64</v>
      </c>
      <c r="R123" s="267">
        <v>16499.64</v>
      </c>
      <c r="S123" s="267">
        <v>16499.64</v>
      </c>
      <c r="T123" s="267">
        <v>16499.64</v>
      </c>
      <c r="U123" s="267">
        <v>16499.64</v>
      </c>
      <c r="V123" s="267">
        <v>16499.64</v>
      </c>
      <c r="W123" s="492">
        <v>12374.41</v>
      </c>
      <c r="X123" s="268">
        <f t="shared" si="2"/>
        <v>259869.0100000001</v>
      </c>
    </row>
    <row r="124" spans="1:24" s="269" customFormat="1" x14ac:dyDescent="0.2">
      <c r="A124" s="609"/>
      <c r="B124" s="270" t="s">
        <v>813</v>
      </c>
      <c r="C124" s="607"/>
      <c r="D124" s="607"/>
      <c r="E124" s="605"/>
      <c r="F124" s="611"/>
      <c r="G124" s="423">
        <v>2.5000000000000001E-3</v>
      </c>
      <c r="H124" s="273">
        <v>750</v>
      </c>
      <c r="I124" s="273">
        <v>980</v>
      </c>
      <c r="J124" s="273">
        <v>915</v>
      </c>
      <c r="K124" s="273">
        <v>845</v>
      </c>
      <c r="L124" s="273">
        <v>780</v>
      </c>
      <c r="M124" s="273">
        <v>710</v>
      </c>
      <c r="N124" s="273">
        <v>645</v>
      </c>
      <c r="O124" s="273">
        <v>580</v>
      </c>
      <c r="P124" s="273">
        <v>510</v>
      </c>
      <c r="Q124" s="273">
        <v>445</v>
      </c>
      <c r="R124" s="273">
        <v>380</v>
      </c>
      <c r="S124" s="273">
        <v>310</v>
      </c>
      <c r="T124" s="273">
        <v>245</v>
      </c>
      <c r="U124" s="273">
        <v>175</v>
      </c>
      <c r="V124" s="273">
        <v>110</v>
      </c>
      <c r="W124" s="493">
        <v>40</v>
      </c>
      <c r="X124" s="274">
        <f t="shared" si="2"/>
        <v>8420</v>
      </c>
    </row>
    <row r="125" spans="1:24" s="269" customFormat="1" ht="12.75" customHeight="1" x14ac:dyDescent="0.2">
      <c r="A125" s="617">
        <v>60</v>
      </c>
      <c r="B125" s="285" t="s">
        <v>649</v>
      </c>
      <c r="C125" s="623" t="s">
        <v>814</v>
      </c>
      <c r="D125" s="623">
        <v>615</v>
      </c>
      <c r="E125" s="621">
        <v>2902426.28</v>
      </c>
      <c r="F125" s="625" t="s">
        <v>815</v>
      </c>
      <c r="G125" s="301" t="s">
        <v>646</v>
      </c>
      <c r="H125" s="308">
        <v>20000</v>
      </c>
      <c r="I125" s="308">
        <v>20000</v>
      </c>
      <c r="J125" s="308">
        <v>100000</v>
      </c>
      <c r="K125" s="308">
        <v>20000</v>
      </c>
      <c r="L125" s="308">
        <v>117840</v>
      </c>
      <c r="M125" s="308">
        <v>117840</v>
      </c>
      <c r="N125" s="308">
        <v>117840</v>
      </c>
      <c r="O125" s="308">
        <v>117840</v>
      </c>
      <c r="P125" s="308">
        <v>117840</v>
      </c>
      <c r="Q125" s="308">
        <v>117840</v>
      </c>
      <c r="R125" s="308">
        <v>117840</v>
      </c>
      <c r="S125" s="308">
        <v>117840</v>
      </c>
      <c r="T125" s="308">
        <v>117840</v>
      </c>
      <c r="U125" s="308">
        <v>117840</v>
      </c>
      <c r="V125" s="308">
        <v>117840</v>
      </c>
      <c r="W125" s="492">
        <v>117680.82</v>
      </c>
      <c r="X125" s="268">
        <f t="shared" si="2"/>
        <v>1573920.82</v>
      </c>
    </row>
    <row r="126" spans="1:24" s="269" customFormat="1" x14ac:dyDescent="0.2">
      <c r="A126" s="618"/>
      <c r="B126" s="294" t="s">
        <v>816</v>
      </c>
      <c r="C126" s="624"/>
      <c r="D126" s="624"/>
      <c r="E126" s="622"/>
      <c r="F126" s="626"/>
      <c r="G126" s="423">
        <v>2.5000000000000001E-3</v>
      </c>
      <c r="H126" s="273">
        <v>3990</v>
      </c>
      <c r="I126" s="273">
        <v>6290</v>
      </c>
      <c r="J126" s="273">
        <v>6160</v>
      </c>
      <c r="K126" s="273">
        <v>5825</v>
      </c>
      <c r="L126" s="273">
        <v>5640</v>
      </c>
      <c r="M126" s="273">
        <v>5185</v>
      </c>
      <c r="N126" s="273">
        <v>4720</v>
      </c>
      <c r="O126" s="273">
        <v>4230</v>
      </c>
      <c r="P126" s="273">
        <v>3750</v>
      </c>
      <c r="Q126" s="273">
        <v>3275</v>
      </c>
      <c r="R126" s="273">
        <v>2805</v>
      </c>
      <c r="S126" s="273">
        <v>2320</v>
      </c>
      <c r="T126" s="273">
        <v>1840</v>
      </c>
      <c r="U126" s="273">
        <v>1360</v>
      </c>
      <c r="V126" s="273">
        <v>885</v>
      </c>
      <c r="W126" s="493">
        <v>430</v>
      </c>
      <c r="X126" s="274">
        <f t="shared" si="2"/>
        <v>58705</v>
      </c>
    </row>
    <row r="127" spans="1:24" s="269" customFormat="1" ht="12.75" customHeight="1" x14ac:dyDescent="0.2">
      <c r="A127" s="608">
        <v>61</v>
      </c>
      <c r="B127" s="265" t="s">
        <v>649</v>
      </c>
      <c r="C127" s="606" t="s">
        <v>817</v>
      </c>
      <c r="D127" s="606">
        <v>616</v>
      </c>
      <c r="E127" s="604">
        <v>1166021.49</v>
      </c>
      <c r="F127" s="610" t="s">
        <v>818</v>
      </c>
      <c r="G127" s="300" t="s">
        <v>646</v>
      </c>
      <c r="H127" s="267">
        <v>65692</v>
      </c>
      <c r="I127" s="267">
        <v>65692</v>
      </c>
      <c r="J127" s="267">
        <v>65692</v>
      </c>
      <c r="K127" s="267">
        <v>65692</v>
      </c>
      <c r="L127" s="267">
        <v>65692</v>
      </c>
      <c r="M127" s="267">
        <v>65692</v>
      </c>
      <c r="N127" s="267">
        <v>65692</v>
      </c>
      <c r="O127" s="267">
        <v>65692</v>
      </c>
      <c r="P127" s="267">
        <v>65692</v>
      </c>
      <c r="Q127" s="267">
        <v>65692</v>
      </c>
      <c r="R127" s="267">
        <v>65692</v>
      </c>
      <c r="S127" s="267">
        <v>65692</v>
      </c>
      <c r="T127" s="267">
        <v>65692</v>
      </c>
      <c r="U127" s="267">
        <v>65692</v>
      </c>
      <c r="V127" s="267">
        <v>65692</v>
      </c>
      <c r="W127" s="492">
        <v>82115</v>
      </c>
      <c r="X127" s="268">
        <f t="shared" si="2"/>
        <v>1067495</v>
      </c>
    </row>
    <row r="128" spans="1:24" s="269" customFormat="1" x14ac:dyDescent="0.2">
      <c r="A128" s="609"/>
      <c r="B128" s="270" t="s">
        <v>819</v>
      </c>
      <c r="C128" s="607"/>
      <c r="D128" s="607"/>
      <c r="E128" s="605"/>
      <c r="F128" s="611"/>
      <c r="G128" s="423">
        <v>2.5000000000000001E-3</v>
      </c>
      <c r="H128" s="273">
        <v>3875</v>
      </c>
      <c r="I128" s="273">
        <v>4025</v>
      </c>
      <c r="J128" s="273">
        <v>3770</v>
      </c>
      <c r="K128" s="273">
        <v>3490</v>
      </c>
      <c r="L128" s="273">
        <v>3225</v>
      </c>
      <c r="M128" s="273">
        <v>2960</v>
      </c>
      <c r="N128" s="273">
        <v>2700</v>
      </c>
      <c r="O128" s="273">
        <v>2425</v>
      </c>
      <c r="P128" s="273">
        <v>2160</v>
      </c>
      <c r="Q128" s="273">
        <v>1895</v>
      </c>
      <c r="R128" s="273">
        <v>1630</v>
      </c>
      <c r="S128" s="273">
        <v>1360</v>
      </c>
      <c r="T128" s="273">
        <v>1095</v>
      </c>
      <c r="U128" s="273">
        <v>825</v>
      </c>
      <c r="V128" s="273">
        <v>555</v>
      </c>
      <c r="W128" s="493">
        <v>345</v>
      </c>
      <c r="X128" s="274">
        <f t="shared" si="2"/>
        <v>36335</v>
      </c>
    </row>
    <row r="129" spans="1:24" s="310" customFormat="1" ht="12.75" customHeight="1" x14ac:dyDescent="0.2">
      <c r="A129" s="608">
        <v>62</v>
      </c>
      <c r="B129" s="426" t="s">
        <v>649</v>
      </c>
      <c r="C129" s="612" t="s">
        <v>820</v>
      </c>
      <c r="D129" s="606">
        <v>617</v>
      </c>
      <c r="E129" s="604">
        <v>828989.55</v>
      </c>
      <c r="F129" s="630" t="s">
        <v>821</v>
      </c>
      <c r="G129" s="300" t="s">
        <v>646</v>
      </c>
      <c r="H129" s="281">
        <v>10204</v>
      </c>
      <c r="I129" s="281">
        <v>10204</v>
      </c>
      <c r="J129" s="267">
        <v>10204</v>
      </c>
      <c r="K129" s="267">
        <v>10204</v>
      </c>
      <c r="L129" s="267">
        <v>10204</v>
      </c>
      <c r="M129" s="267">
        <v>10204</v>
      </c>
      <c r="N129" s="267">
        <v>10204</v>
      </c>
      <c r="O129" s="267">
        <v>10204</v>
      </c>
      <c r="P129" s="267">
        <v>10204</v>
      </c>
      <c r="Q129" s="267">
        <v>10204</v>
      </c>
      <c r="R129" s="267">
        <v>10204</v>
      </c>
      <c r="S129" s="267">
        <v>10204</v>
      </c>
      <c r="T129" s="267">
        <v>10204</v>
      </c>
      <c r="U129" s="267">
        <v>10204</v>
      </c>
      <c r="V129" s="267">
        <v>10204</v>
      </c>
      <c r="W129" s="492">
        <v>12755</v>
      </c>
      <c r="X129" s="268">
        <f t="shared" si="2"/>
        <v>165815</v>
      </c>
    </row>
    <row r="130" spans="1:24" s="310" customFormat="1" x14ac:dyDescent="0.2">
      <c r="A130" s="609"/>
      <c r="B130" s="427" t="s">
        <v>822</v>
      </c>
      <c r="C130" s="613"/>
      <c r="D130" s="607"/>
      <c r="E130" s="605"/>
      <c r="F130" s="631"/>
      <c r="G130" s="423">
        <v>2.5000000000000001E-3</v>
      </c>
      <c r="H130" s="289">
        <v>605</v>
      </c>
      <c r="I130" s="289">
        <v>625</v>
      </c>
      <c r="J130" s="273">
        <v>585</v>
      </c>
      <c r="K130" s="273">
        <v>545</v>
      </c>
      <c r="L130" s="273">
        <v>505</v>
      </c>
      <c r="M130" s="273">
        <v>460</v>
      </c>
      <c r="N130" s="273">
        <v>420</v>
      </c>
      <c r="O130" s="273">
        <v>380</v>
      </c>
      <c r="P130" s="273">
        <v>340</v>
      </c>
      <c r="Q130" s="273">
        <v>295</v>
      </c>
      <c r="R130" s="273">
        <v>255</v>
      </c>
      <c r="S130" s="273">
        <v>215</v>
      </c>
      <c r="T130" s="273">
        <v>170</v>
      </c>
      <c r="U130" s="273">
        <v>130</v>
      </c>
      <c r="V130" s="273">
        <v>90</v>
      </c>
      <c r="W130" s="493">
        <v>50</v>
      </c>
      <c r="X130" s="274">
        <f t="shared" si="2"/>
        <v>5670</v>
      </c>
    </row>
    <row r="131" spans="1:24" s="310" customFormat="1" ht="12.75" customHeight="1" x14ac:dyDescent="0.2">
      <c r="A131" s="608">
        <v>63</v>
      </c>
      <c r="B131" s="265" t="s">
        <v>649</v>
      </c>
      <c r="C131" s="612" t="s">
        <v>823</v>
      </c>
      <c r="D131" s="606">
        <v>618</v>
      </c>
      <c r="E131" s="604">
        <v>1579220.53</v>
      </c>
      <c r="F131" s="630" t="s">
        <v>824</v>
      </c>
      <c r="G131" s="300" t="s">
        <v>646</v>
      </c>
      <c r="H131" s="312"/>
      <c r="I131" s="312"/>
      <c r="J131" s="428"/>
      <c r="K131" s="428"/>
      <c r="L131" s="428"/>
      <c r="M131" s="428"/>
      <c r="N131" s="428">
        <v>31184.06</v>
      </c>
      <c r="O131" s="428">
        <v>62848</v>
      </c>
      <c r="P131" s="428">
        <v>62848</v>
      </c>
      <c r="Q131" s="428">
        <v>62848</v>
      </c>
      <c r="R131" s="428">
        <v>62848</v>
      </c>
      <c r="S131" s="428">
        <v>62848</v>
      </c>
      <c r="T131" s="428">
        <v>62848</v>
      </c>
      <c r="U131" s="428">
        <v>62848</v>
      </c>
      <c r="V131" s="428">
        <v>62848</v>
      </c>
      <c r="W131" s="494">
        <v>78560</v>
      </c>
      <c r="X131" s="268">
        <f t="shared" si="2"/>
        <v>612528.06000000006</v>
      </c>
    </row>
    <row r="132" spans="1:24" s="310" customFormat="1" x14ac:dyDescent="0.2">
      <c r="A132" s="609"/>
      <c r="B132" s="270" t="s">
        <v>825</v>
      </c>
      <c r="C132" s="613"/>
      <c r="D132" s="607"/>
      <c r="E132" s="605"/>
      <c r="F132" s="631"/>
      <c r="G132" s="423">
        <v>2.5000000000000001E-3</v>
      </c>
      <c r="H132" s="313">
        <v>2250</v>
      </c>
      <c r="I132" s="313">
        <v>2485</v>
      </c>
      <c r="J132" s="429">
        <v>2495</v>
      </c>
      <c r="K132" s="429">
        <v>2485</v>
      </c>
      <c r="L132" s="429">
        <v>2485</v>
      </c>
      <c r="M132" s="429">
        <v>2485</v>
      </c>
      <c r="N132" s="429">
        <v>2490</v>
      </c>
      <c r="O132" s="429">
        <v>2320</v>
      </c>
      <c r="P132" s="429">
        <v>2065</v>
      </c>
      <c r="Q132" s="429">
        <v>1810</v>
      </c>
      <c r="R132" s="429">
        <v>1560</v>
      </c>
      <c r="S132" s="429">
        <v>1300</v>
      </c>
      <c r="T132" s="429">
        <v>1045</v>
      </c>
      <c r="U132" s="429">
        <v>790</v>
      </c>
      <c r="V132" s="429">
        <v>540</v>
      </c>
      <c r="W132" s="501">
        <v>320</v>
      </c>
      <c r="X132" s="274">
        <f t="shared" si="2"/>
        <v>28925</v>
      </c>
    </row>
    <row r="133" spans="1:24" s="310" customFormat="1" ht="12.75" customHeight="1" x14ac:dyDescent="0.2">
      <c r="A133" s="617">
        <v>64</v>
      </c>
      <c r="B133" s="285" t="s">
        <v>649</v>
      </c>
      <c r="C133" s="619" t="s">
        <v>826</v>
      </c>
      <c r="D133" s="623">
        <v>619</v>
      </c>
      <c r="E133" s="621">
        <v>459602.93</v>
      </c>
      <c r="F133" s="628" t="s">
        <v>827</v>
      </c>
      <c r="G133" s="301" t="s">
        <v>646</v>
      </c>
      <c r="H133" s="314"/>
      <c r="I133" s="314"/>
      <c r="J133" s="430"/>
      <c r="K133" s="430"/>
      <c r="L133" s="430"/>
      <c r="M133" s="430"/>
      <c r="N133" s="430"/>
      <c r="O133" s="430">
        <v>22331.439999999999</v>
      </c>
      <c r="P133" s="430">
        <v>26264</v>
      </c>
      <c r="Q133" s="430">
        <v>26264</v>
      </c>
      <c r="R133" s="430">
        <v>26264</v>
      </c>
      <c r="S133" s="430">
        <v>26264</v>
      </c>
      <c r="T133" s="430">
        <v>26264</v>
      </c>
      <c r="U133" s="430">
        <v>26264</v>
      </c>
      <c r="V133" s="430">
        <v>26264</v>
      </c>
      <c r="W133" s="495">
        <v>39396</v>
      </c>
      <c r="X133" s="268">
        <f t="shared" si="2"/>
        <v>245575.44</v>
      </c>
    </row>
    <row r="134" spans="1:24" s="310" customFormat="1" x14ac:dyDescent="0.2">
      <c r="A134" s="618"/>
      <c r="B134" s="294" t="s">
        <v>828</v>
      </c>
      <c r="C134" s="620"/>
      <c r="D134" s="624"/>
      <c r="E134" s="622"/>
      <c r="F134" s="629"/>
      <c r="G134" s="423">
        <v>2.5000000000000001E-3</v>
      </c>
      <c r="H134" s="315">
        <v>810</v>
      </c>
      <c r="I134" s="315">
        <v>1000</v>
      </c>
      <c r="J134" s="431">
        <v>1000</v>
      </c>
      <c r="K134" s="431">
        <v>1000</v>
      </c>
      <c r="L134" s="431">
        <v>1000</v>
      </c>
      <c r="M134" s="431">
        <v>1000</v>
      </c>
      <c r="N134" s="431">
        <v>1000</v>
      </c>
      <c r="O134" s="431">
        <v>985</v>
      </c>
      <c r="P134" s="431">
        <v>890</v>
      </c>
      <c r="Q134" s="431">
        <v>785</v>
      </c>
      <c r="R134" s="431">
        <v>680</v>
      </c>
      <c r="S134" s="431">
        <v>570</v>
      </c>
      <c r="T134" s="431">
        <v>465</v>
      </c>
      <c r="U134" s="431">
        <v>360</v>
      </c>
      <c r="V134" s="431">
        <v>255</v>
      </c>
      <c r="W134" s="496">
        <v>180</v>
      </c>
      <c r="X134" s="274">
        <f t="shared" si="2"/>
        <v>11980</v>
      </c>
    </row>
    <row r="135" spans="1:24" s="310" customFormat="1" ht="12.75" customHeight="1" x14ac:dyDescent="0.2">
      <c r="A135" s="608">
        <v>65</v>
      </c>
      <c r="B135" s="265" t="s">
        <v>649</v>
      </c>
      <c r="C135" s="612" t="s">
        <v>829</v>
      </c>
      <c r="D135" s="606">
        <v>621</v>
      </c>
      <c r="E135" s="604">
        <v>6577048</v>
      </c>
      <c r="F135" s="630" t="s">
        <v>830</v>
      </c>
      <c r="G135" s="300" t="s">
        <v>646</v>
      </c>
      <c r="H135" s="316">
        <v>100000</v>
      </c>
      <c r="I135" s="316">
        <v>100000</v>
      </c>
      <c r="J135" s="316">
        <v>200000</v>
      </c>
      <c r="K135" s="316">
        <v>200000</v>
      </c>
      <c r="L135" s="316">
        <v>252660</v>
      </c>
      <c r="M135" s="316">
        <v>252660</v>
      </c>
      <c r="N135" s="316">
        <v>252660</v>
      </c>
      <c r="O135" s="316">
        <v>252660</v>
      </c>
      <c r="P135" s="316">
        <v>252660</v>
      </c>
      <c r="Q135" s="316">
        <v>252660</v>
      </c>
      <c r="R135" s="316">
        <v>252660</v>
      </c>
      <c r="S135" s="316">
        <v>252660</v>
      </c>
      <c r="T135" s="316">
        <v>252660</v>
      </c>
      <c r="U135" s="316">
        <v>252660</v>
      </c>
      <c r="V135" s="316">
        <v>252660</v>
      </c>
      <c r="W135" s="497">
        <v>378920</v>
      </c>
      <c r="X135" s="268">
        <f t="shared" si="2"/>
        <v>3758180</v>
      </c>
    </row>
    <row r="136" spans="1:24" s="310" customFormat="1" x14ac:dyDescent="0.2">
      <c r="A136" s="609"/>
      <c r="B136" s="270" t="s">
        <v>831</v>
      </c>
      <c r="C136" s="613"/>
      <c r="D136" s="607"/>
      <c r="E136" s="605"/>
      <c r="F136" s="631"/>
      <c r="G136" s="423">
        <v>2.5000000000000001E-3</v>
      </c>
      <c r="H136" s="317">
        <v>12335</v>
      </c>
      <c r="I136" s="317">
        <v>14775</v>
      </c>
      <c r="J136" s="317">
        <v>14325</v>
      </c>
      <c r="K136" s="317">
        <v>13495</v>
      </c>
      <c r="L136" s="317">
        <v>12640</v>
      </c>
      <c r="M136" s="317">
        <v>11630</v>
      </c>
      <c r="N136" s="317">
        <v>10635</v>
      </c>
      <c r="O136" s="317">
        <v>9580</v>
      </c>
      <c r="P136" s="317">
        <v>8555</v>
      </c>
      <c r="Q136" s="317">
        <v>7530</v>
      </c>
      <c r="R136" s="317">
        <v>6525</v>
      </c>
      <c r="S136" s="317">
        <v>5480</v>
      </c>
      <c r="T136" s="317">
        <v>4455</v>
      </c>
      <c r="U136" s="317">
        <v>3430</v>
      </c>
      <c r="V136" s="317">
        <v>2415</v>
      </c>
      <c r="W136" s="510">
        <v>1740</v>
      </c>
      <c r="X136" s="274">
        <f t="shared" si="2"/>
        <v>139545</v>
      </c>
    </row>
    <row r="137" spans="1:24" s="310" customFormat="1" ht="12.75" customHeight="1" x14ac:dyDescent="0.2">
      <c r="A137" s="617">
        <v>66</v>
      </c>
      <c r="B137" s="285" t="s">
        <v>649</v>
      </c>
      <c r="C137" s="619" t="s">
        <v>832</v>
      </c>
      <c r="D137" s="623">
        <v>622</v>
      </c>
      <c r="E137" s="621">
        <v>561890</v>
      </c>
      <c r="F137" s="628" t="s">
        <v>833</v>
      </c>
      <c r="G137" s="301" t="s">
        <v>646</v>
      </c>
      <c r="H137" s="318">
        <v>32108</v>
      </c>
      <c r="I137" s="318">
        <v>32108</v>
      </c>
      <c r="J137" s="432">
        <v>32108</v>
      </c>
      <c r="K137" s="432">
        <v>32108</v>
      </c>
      <c r="L137" s="432">
        <v>32108</v>
      </c>
      <c r="M137" s="432">
        <v>32108</v>
      </c>
      <c r="N137" s="432">
        <v>32108</v>
      </c>
      <c r="O137" s="432">
        <v>32108</v>
      </c>
      <c r="P137" s="432">
        <v>32108</v>
      </c>
      <c r="Q137" s="432">
        <v>32108</v>
      </c>
      <c r="R137" s="432">
        <v>32108</v>
      </c>
      <c r="S137" s="432">
        <v>32108</v>
      </c>
      <c r="T137" s="432">
        <v>32108</v>
      </c>
      <c r="U137" s="432">
        <v>32108</v>
      </c>
      <c r="V137" s="432">
        <v>32108</v>
      </c>
      <c r="W137" s="498">
        <v>48162</v>
      </c>
      <c r="X137" s="268">
        <f t="shared" ref="X137:X176" si="3">SUM(H137:W137)</f>
        <v>529782</v>
      </c>
    </row>
    <row r="138" spans="1:24" s="310" customFormat="1" x14ac:dyDescent="0.2">
      <c r="A138" s="618"/>
      <c r="B138" s="294" t="s">
        <v>834</v>
      </c>
      <c r="C138" s="620"/>
      <c r="D138" s="624"/>
      <c r="E138" s="622"/>
      <c r="F138" s="629"/>
      <c r="G138" s="423">
        <v>2.5000000000000001E-3</v>
      </c>
      <c r="H138" s="319">
        <v>1530</v>
      </c>
      <c r="I138" s="319">
        <v>2000</v>
      </c>
      <c r="J138" s="433">
        <v>1875</v>
      </c>
      <c r="K138" s="433">
        <v>1740</v>
      </c>
      <c r="L138" s="433">
        <v>1610</v>
      </c>
      <c r="M138" s="433">
        <v>1480</v>
      </c>
      <c r="N138" s="433">
        <v>1355</v>
      </c>
      <c r="O138" s="433">
        <v>1220</v>
      </c>
      <c r="P138" s="433">
        <v>1090</v>
      </c>
      <c r="Q138" s="433">
        <v>960</v>
      </c>
      <c r="R138" s="433">
        <v>830</v>
      </c>
      <c r="S138" s="433">
        <v>700</v>
      </c>
      <c r="T138" s="433">
        <v>570</v>
      </c>
      <c r="U138" s="433">
        <v>440</v>
      </c>
      <c r="V138" s="433">
        <v>310</v>
      </c>
      <c r="W138" s="499">
        <v>220</v>
      </c>
      <c r="X138" s="274">
        <f t="shared" si="3"/>
        <v>17930</v>
      </c>
    </row>
    <row r="139" spans="1:24" s="269" customFormat="1" ht="12.75" customHeight="1" x14ac:dyDescent="0.2">
      <c r="A139" s="608">
        <v>67</v>
      </c>
      <c r="B139" s="265" t="s">
        <v>649</v>
      </c>
      <c r="C139" s="606" t="s">
        <v>835</v>
      </c>
      <c r="D139" s="606">
        <v>623</v>
      </c>
      <c r="E139" s="604">
        <v>483802.31</v>
      </c>
      <c r="F139" s="610" t="s">
        <v>836</v>
      </c>
      <c r="G139" s="300" t="s">
        <v>646</v>
      </c>
      <c r="H139" s="267">
        <v>27260</v>
      </c>
      <c r="I139" s="267">
        <v>27260</v>
      </c>
      <c r="J139" s="267">
        <v>27260</v>
      </c>
      <c r="K139" s="267">
        <v>27260</v>
      </c>
      <c r="L139" s="267">
        <v>27260</v>
      </c>
      <c r="M139" s="267">
        <v>27260</v>
      </c>
      <c r="N139" s="267">
        <v>27260</v>
      </c>
      <c r="O139" s="267">
        <v>27260</v>
      </c>
      <c r="P139" s="267">
        <v>27260</v>
      </c>
      <c r="Q139" s="267">
        <v>27260</v>
      </c>
      <c r="R139" s="267">
        <v>27260</v>
      </c>
      <c r="S139" s="267">
        <v>27260</v>
      </c>
      <c r="T139" s="267">
        <v>27260</v>
      </c>
      <c r="U139" s="267">
        <v>27260</v>
      </c>
      <c r="V139" s="267">
        <v>27260</v>
      </c>
      <c r="W139" s="492">
        <v>47705</v>
      </c>
      <c r="X139" s="268">
        <f t="shared" si="3"/>
        <v>456605</v>
      </c>
    </row>
    <row r="140" spans="1:24" s="269" customFormat="1" x14ac:dyDescent="0.2">
      <c r="A140" s="609"/>
      <c r="B140" s="270" t="s">
        <v>837</v>
      </c>
      <c r="C140" s="607"/>
      <c r="D140" s="607"/>
      <c r="E140" s="605"/>
      <c r="F140" s="611"/>
      <c r="G140" s="423">
        <v>2.5000000000000001E-3</v>
      </c>
      <c r="H140" s="273">
        <v>1320</v>
      </c>
      <c r="I140" s="273">
        <v>1725</v>
      </c>
      <c r="J140" s="273">
        <v>1620</v>
      </c>
      <c r="K140" s="273">
        <v>1505</v>
      </c>
      <c r="L140" s="273">
        <v>1395</v>
      </c>
      <c r="M140" s="273">
        <v>1285</v>
      </c>
      <c r="N140" s="273">
        <v>1175</v>
      </c>
      <c r="O140" s="273">
        <v>1065</v>
      </c>
      <c r="P140" s="273">
        <v>955</v>
      </c>
      <c r="Q140" s="273">
        <v>840</v>
      </c>
      <c r="R140" s="273">
        <v>735</v>
      </c>
      <c r="S140" s="273">
        <v>620</v>
      </c>
      <c r="T140" s="273">
        <v>510</v>
      </c>
      <c r="U140" s="273">
        <v>400</v>
      </c>
      <c r="V140" s="273">
        <v>290</v>
      </c>
      <c r="W140" s="493">
        <v>245</v>
      </c>
      <c r="X140" s="274">
        <f t="shared" si="3"/>
        <v>15685</v>
      </c>
    </row>
    <row r="141" spans="1:24" s="269" customFormat="1" ht="12.75" customHeight="1" x14ac:dyDescent="0.2">
      <c r="A141" s="608">
        <v>68</v>
      </c>
      <c r="B141" s="265" t="s">
        <v>649</v>
      </c>
      <c r="C141" s="606" t="s">
        <v>838</v>
      </c>
      <c r="D141" s="606" t="s">
        <v>839</v>
      </c>
      <c r="E141" s="604">
        <v>177632.15</v>
      </c>
      <c r="F141" s="610" t="s">
        <v>840</v>
      </c>
      <c r="G141" s="300" t="s">
        <v>646</v>
      </c>
      <c r="H141" s="267">
        <v>10008</v>
      </c>
      <c r="I141" s="267">
        <v>10008</v>
      </c>
      <c r="J141" s="267">
        <v>10008</v>
      </c>
      <c r="K141" s="267">
        <v>10008</v>
      </c>
      <c r="L141" s="267">
        <v>10008</v>
      </c>
      <c r="M141" s="267">
        <v>10008</v>
      </c>
      <c r="N141" s="267">
        <v>10008</v>
      </c>
      <c r="O141" s="267">
        <v>10008</v>
      </c>
      <c r="P141" s="267">
        <v>10008</v>
      </c>
      <c r="Q141" s="267">
        <v>10008</v>
      </c>
      <c r="R141" s="267">
        <v>10008</v>
      </c>
      <c r="S141" s="267">
        <v>10008</v>
      </c>
      <c r="T141" s="267">
        <v>10008</v>
      </c>
      <c r="U141" s="267">
        <v>10008</v>
      </c>
      <c r="V141" s="267">
        <v>10008</v>
      </c>
      <c r="W141" s="492">
        <v>17514</v>
      </c>
      <c r="X141" s="268">
        <f t="shared" si="3"/>
        <v>167634</v>
      </c>
    </row>
    <row r="142" spans="1:24" s="269" customFormat="1" x14ac:dyDescent="0.2">
      <c r="A142" s="609"/>
      <c r="B142" s="270" t="s">
        <v>841</v>
      </c>
      <c r="C142" s="607"/>
      <c r="D142" s="607"/>
      <c r="E142" s="605"/>
      <c r="F142" s="611"/>
      <c r="G142" s="423">
        <v>2.5000000000000001E-3</v>
      </c>
      <c r="H142" s="273">
        <v>485</v>
      </c>
      <c r="I142" s="273">
        <v>635</v>
      </c>
      <c r="J142" s="273">
        <v>595</v>
      </c>
      <c r="K142" s="273">
        <v>555</v>
      </c>
      <c r="L142" s="273">
        <v>515</v>
      </c>
      <c r="M142" s="273">
        <v>475</v>
      </c>
      <c r="N142" s="273">
        <v>435</v>
      </c>
      <c r="O142" s="273">
        <v>390</v>
      </c>
      <c r="P142" s="273">
        <v>350</v>
      </c>
      <c r="Q142" s="273">
        <v>310</v>
      </c>
      <c r="R142" s="273">
        <v>270</v>
      </c>
      <c r="S142" s="273">
        <v>230</v>
      </c>
      <c r="T142" s="273">
        <v>190</v>
      </c>
      <c r="U142" s="273">
        <v>150</v>
      </c>
      <c r="V142" s="273">
        <v>105</v>
      </c>
      <c r="W142" s="493">
        <v>90</v>
      </c>
      <c r="X142" s="274">
        <f t="shared" si="3"/>
        <v>5780</v>
      </c>
    </row>
    <row r="143" spans="1:24" s="269" customFormat="1" ht="15" customHeight="1" x14ac:dyDescent="0.2">
      <c r="A143" s="617">
        <v>69</v>
      </c>
      <c r="B143" s="285" t="s">
        <v>649</v>
      </c>
      <c r="C143" s="623" t="s">
        <v>842</v>
      </c>
      <c r="D143" s="623">
        <v>626</v>
      </c>
      <c r="E143" s="621">
        <v>658464</v>
      </c>
      <c r="F143" s="625" t="s">
        <v>843</v>
      </c>
      <c r="G143" s="301" t="s">
        <v>646</v>
      </c>
      <c r="H143" s="320">
        <v>38172</v>
      </c>
      <c r="I143" s="320">
        <v>38172</v>
      </c>
      <c r="J143" s="320">
        <v>38172</v>
      </c>
      <c r="K143" s="320">
        <v>38172</v>
      </c>
      <c r="L143" s="320">
        <v>38172</v>
      </c>
      <c r="M143" s="320">
        <v>38172</v>
      </c>
      <c r="N143" s="320">
        <v>38172</v>
      </c>
      <c r="O143" s="320">
        <v>38172</v>
      </c>
      <c r="P143" s="320">
        <v>38172</v>
      </c>
      <c r="Q143" s="320">
        <v>38172</v>
      </c>
      <c r="R143" s="320">
        <v>38172</v>
      </c>
      <c r="S143" s="320">
        <v>38172</v>
      </c>
      <c r="T143" s="320">
        <v>38172</v>
      </c>
      <c r="U143" s="320">
        <v>38172</v>
      </c>
      <c r="V143" s="320">
        <v>38172</v>
      </c>
      <c r="W143" s="500">
        <v>66801</v>
      </c>
      <c r="X143" s="268">
        <f t="shared" si="3"/>
        <v>639381</v>
      </c>
    </row>
    <row r="144" spans="1:24" s="269" customFormat="1" x14ac:dyDescent="0.2">
      <c r="A144" s="618"/>
      <c r="B144" s="294" t="s">
        <v>844</v>
      </c>
      <c r="C144" s="624"/>
      <c r="D144" s="624"/>
      <c r="E144" s="622"/>
      <c r="F144" s="626"/>
      <c r="G144" s="423">
        <v>2.5000000000000001E-3</v>
      </c>
      <c r="H144" s="289">
        <v>1845</v>
      </c>
      <c r="I144" s="289">
        <v>2415</v>
      </c>
      <c r="J144" s="289">
        <v>2270</v>
      </c>
      <c r="K144" s="289">
        <v>2105</v>
      </c>
      <c r="L144" s="289">
        <v>1950</v>
      </c>
      <c r="M144" s="289">
        <v>1800</v>
      </c>
      <c r="N144" s="289">
        <v>1645</v>
      </c>
      <c r="O144" s="289">
        <v>1490</v>
      </c>
      <c r="P144" s="289">
        <v>1335</v>
      </c>
      <c r="Q144" s="289">
        <v>1180</v>
      </c>
      <c r="R144" s="289">
        <v>1025</v>
      </c>
      <c r="S144" s="289">
        <v>870</v>
      </c>
      <c r="T144" s="289">
        <v>715</v>
      </c>
      <c r="U144" s="289">
        <v>560</v>
      </c>
      <c r="V144" s="289">
        <v>405</v>
      </c>
      <c r="W144" s="491">
        <v>340</v>
      </c>
      <c r="X144" s="274">
        <f t="shared" si="3"/>
        <v>21950</v>
      </c>
    </row>
    <row r="145" spans="1:24" s="310" customFormat="1" ht="12.75" customHeight="1" x14ac:dyDescent="0.2">
      <c r="A145" s="608">
        <v>70</v>
      </c>
      <c r="B145" s="265" t="s">
        <v>649</v>
      </c>
      <c r="C145" s="612" t="s">
        <v>845</v>
      </c>
      <c r="D145" s="606">
        <v>627</v>
      </c>
      <c r="E145" s="604">
        <v>401001</v>
      </c>
      <c r="F145" s="610" t="s">
        <v>846</v>
      </c>
      <c r="G145" s="434" t="s">
        <v>646</v>
      </c>
      <c r="H145" s="312">
        <v>22916</v>
      </c>
      <c r="I145" s="312">
        <v>22916</v>
      </c>
      <c r="J145" s="428">
        <v>22916</v>
      </c>
      <c r="K145" s="428">
        <v>22916</v>
      </c>
      <c r="L145" s="428">
        <v>22916</v>
      </c>
      <c r="M145" s="428">
        <v>22916</v>
      </c>
      <c r="N145" s="428">
        <v>22916</v>
      </c>
      <c r="O145" s="428">
        <v>22916</v>
      </c>
      <c r="P145" s="428">
        <v>22916</v>
      </c>
      <c r="Q145" s="428">
        <v>22916</v>
      </c>
      <c r="R145" s="428">
        <v>22916</v>
      </c>
      <c r="S145" s="428">
        <v>22916</v>
      </c>
      <c r="T145" s="428">
        <v>22916</v>
      </c>
      <c r="U145" s="428">
        <v>22916</v>
      </c>
      <c r="V145" s="428">
        <v>22916</v>
      </c>
      <c r="W145" s="494">
        <v>45832</v>
      </c>
      <c r="X145" s="268">
        <f t="shared" si="3"/>
        <v>389572</v>
      </c>
    </row>
    <row r="146" spans="1:24" s="310" customFormat="1" x14ac:dyDescent="0.2">
      <c r="A146" s="609"/>
      <c r="B146" s="270" t="s">
        <v>847</v>
      </c>
      <c r="C146" s="613"/>
      <c r="D146" s="607"/>
      <c r="E146" s="605"/>
      <c r="F146" s="611"/>
      <c r="G146" s="423">
        <v>2.5000000000000001E-3</v>
      </c>
      <c r="H146" s="313">
        <v>980</v>
      </c>
      <c r="I146" s="313">
        <v>1475</v>
      </c>
      <c r="J146" s="429">
        <v>1385</v>
      </c>
      <c r="K146" s="429">
        <v>1290</v>
      </c>
      <c r="L146" s="429">
        <v>1195</v>
      </c>
      <c r="M146" s="429">
        <v>1105</v>
      </c>
      <c r="N146" s="429">
        <v>1015</v>
      </c>
      <c r="O146" s="429">
        <v>920</v>
      </c>
      <c r="P146" s="429">
        <v>825</v>
      </c>
      <c r="Q146" s="429">
        <v>730</v>
      </c>
      <c r="R146" s="429">
        <v>640</v>
      </c>
      <c r="S146" s="429">
        <v>545</v>
      </c>
      <c r="T146" s="429">
        <v>455</v>
      </c>
      <c r="U146" s="429">
        <v>360</v>
      </c>
      <c r="V146" s="429">
        <v>270</v>
      </c>
      <c r="W146" s="501">
        <v>255</v>
      </c>
      <c r="X146" s="274">
        <f t="shared" si="3"/>
        <v>13445</v>
      </c>
    </row>
    <row r="147" spans="1:24" s="310" customFormat="1" ht="12.75" customHeight="1" x14ac:dyDescent="0.2">
      <c r="A147" s="617">
        <v>71</v>
      </c>
      <c r="B147" s="285" t="s">
        <v>649</v>
      </c>
      <c r="C147" s="619" t="s">
        <v>842</v>
      </c>
      <c r="D147" s="623">
        <v>628</v>
      </c>
      <c r="E147" s="621">
        <v>119421</v>
      </c>
      <c r="F147" s="627" t="s">
        <v>848</v>
      </c>
      <c r="G147" s="435" t="s">
        <v>646</v>
      </c>
      <c r="H147" s="318">
        <v>6728</v>
      </c>
      <c r="I147" s="318">
        <v>6728</v>
      </c>
      <c r="J147" s="432">
        <v>6728</v>
      </c>
      <c r="K147" s="432">
        <v>6728</v>
      </c>
      <c r="L147" s="432">
        <v>6728</v>
      </c>
      <c r="M147" s="432">
        <v>6728</v>
      </c>
      <c r="N147" s="432">
        <v>6728</v>
      </c>
      <c r="O147" s="432">
        <v>6728</v>
      </c>
      <c r="P147" s="432">
        <v>6728</v>
      </c>
      <c r="Q147" s="432">
        <v>6728</v>
      </c>
      <c r="R147" s="432">
        <v>6728</v>
      </c>
      <c r="S147" s="432">
        <v>6728</v>
      </c>
      <c r="T147" s="432">
        <v>6728</v>
      </c>
      <c r="U147" s="432">
        <v>6728</v>
      </c>
      <c r="V147" s="432">
        <v>6728</v>
      </c>
      <c r="W147" s="498">
        <v>15138</v>
      </c>
      <c r="X147" s="268">
        <f t="shared" si="3"/>
        <v>116058</v>
      </c>
    </row>
    <row r="148" spans="1:24" s="310" customFormat="1" x14ac:dyDescent="0.2">
      <c r="A148" s="618"/>
      <c r="B148" s="294" t="s">
        <v>849</v>
      </c>
      <c r="C148" s="620"/>
      <c r="D148" s="624"/>
      <c r="E148" s="622"/>
      <c r="F148" s="626"/>
      <c r="G148" s="423">
        <v>2.5000000000000001E-3</v>
      </c>
      <c r="H148" s="319">
        <v>425</v>
      </c>
      <c r="I148" s="319">
        <v>440</v>
      </c>
      <c r="J148" s="433">
        <v>415</v>
      </c>
      <c r="K148" s="433">
        <v>385</v>
      </c>
      <c r="L148" s="433">
        <v>360</v>
      </c>
      <c r="M148" s="433">
        <v>335</v>
      </c>
      <c r="N148" s="433">
        <v>305</v>
      </c>
      <c r="O148" s="433">
        <v>280</v>
      </c>
      <c r="P148" s="433">
        <v>250</v>
      </c>
      <c r="Q148" s="433">
        <v>225</v>
      </c>
      <c r="R148" s="433">
        <v>195</v>
      </c>
      <c r="S148" s="433">
        <v>170</v>
      </c>
      <c r="T148" s="433">
        <v>140</v>
      </c>
      <c r="U148" s="433">
        <v>115</v>
      </c>
      <c r="V148" s="433">
        <v>85</v>
      </c>
      <c r="W148" s="499">
        <v>95</v>
      </c>
      <c r="X148" s="274">
        <f t="shared" si="3"/>
        <v>4220</v>
      </c>
    </row>
    <row r="149" spans="1:24" s="310" customFormat="1" ht="12.75" customHeight="1" x14ac:dyDescent="0.2">
      <c r="A149" s="608">
        <v>72</v>
      </c>
      <c r="B149" s="265" t="s">
        <v>649</v>
      </c>
      <c r="C149" s="612" t="s">
        <v>850</v>
      </c>
      <c r="D149" s="606">
        <v>629</v>
      </c>
      <c r="E149" s="604">
        <v>463710</v>
      </c>
      <c r="F149" s="610" t="s">
        <v>851</v>
      </c>
      <c r="G149" s="434" t="s">
        <v>646</v>
      </c>
      <c r="H149" s="312">
        <v>11835.18</v>
      </c>
      <c r="I149" s="312">
        <v>25412</v>
      </c>
      <c r="J149" s="428">
        <v>25412</v>
      </c>
      <c r="K149" s="428">
        <v>25412</v>
      </c>
      <c r="L149" s="428">
        <v>25412</v>
      </c>
      <c r="M149" s="428">
        <v>25412</v>
      </c>
      <c r="N149" s="428">
        <v>25412</v>
      </c>
      <c r="O149" s="428">
        <v>25412</v>
      </c>
      <c r="P149" s="428">
        <v>25412</v>
      </c>
      <c r="Q149" s="428">
        <v>25412</v>
      </c>
      <c r="R149" s="428">
        <v>25412</v>
      </c>
      <c r="S149" s="428">
        <v>25412</v>
      </c>
      <c r="T149" s="428">
        <v>25412</v>
      </c>
      <c r="U149" s="428">
        <v>25412</v>
      </c>
      <c r="V149" s="428">
        <v>25412</v>
      </c>
      <c r="W149" s="494">
        <v>57177</v>
      </c>
      <c r="X149" s="268">
        <f t="shared" si="3"/>
        <v>424780.18</v>
      </c>
    </row>
    <row r="150" spans="1:24" s="310" customFormat="1" x14ac:dyDescent="0.2">
      <c r="A150" s="609"/>
      <c r="B150" s="270" t="s">
        <v>852</v>
      </c>
      <c r="C150" s="613"/>
      <c r="D150" s="607"/>
      <c r="E150" s="605"/>
      <c r="F150" s="611"/>
      <c r="G150" s="423">
        <v>2.5000000000000001E-3</v>
      </c>
      <c r="H150" s="313">
        <v>1560</v>
      </c>
      <c r="I150" s="313">
        <v>1660</v>
      </c>
      <c r="J150" s="429">
        <v>1565</v>
      </c>
      <c r="K150" s="429">
        <v>1455</v>
      </c>
      <c r="L150" s="429">
        <v>1350</v>
      </c>
      <c r="M150" s="429">
        <v>1250</v>
      </c>
      <c r="N150" s="429">
        <v>1150</v>
      </c>
      <c r="O150" s="429">
        <v>1045</v>
      </c>
      <c r="P150" s="429">
        <v>940</v>
      </c>
      <c r="Q150" s="429">
        <v>835</v>
      </c>
      <c r="R150" s="429">
        <v>735</v>
      </c>
      <c r="S150" s="429">
        <v>630</v>
      </c>
      <c r="T150" s="429">
        <v>530</v>
      </c>
      <c r="U150" s="429">
        <v>425</v>
      </c>
      <c r="V150" s="429">
        <v>320</v>
      </c>
      <c r="W150" s="501">
        <v>350</v>
      </c>
      <c r="X150" s="274">
        <f t="shared" si="3"/>
        <v>15800</v>
      </c>
    </row>
    <row r="151" spans="1:24" s="310" customFormat="1" ht="12.75" customHeight="1" x14ac:dyDescent="0.2">
      <c r="A151" s="617">
        <v>73</v>
      </c>
      <c r="B151" s="436" t="s">
        <v>649</v>
      </c>
      <c r="C151" s="619" t="s">
        <v>853</v>
      </c>
      <c r="D151" s="619">
        <v>630</v>
      </c>
      <c r="E151" s="621">
        <v>162998</v>
      </c>
      <c r="F151" s="625" t="s">
        <v>854</v>
      </c>
      <c r="G151" s="437" t="s">
        <v>646</v>
      </c>
      <c r="H151" s="323"/>
      <c r="I151" s="323"/>
      <c r="J151" s="323"/>
      <c r="K151" s="323"/>
      <c r="L151" s="323"/>
      <c r="M151" s="324">
        <v>968.39</v>
      </c>
      <c r="N151" s="324">
        <v>9316</v>
      </c>
      <c r="O151" s="324">
        <v>9316</v>
      </c>
      <c r="P151" s="324">
        <v>9316</v>
      </c>
      <c r="Q151" s="324">
        <v>9316</v>
      </c>
      <c r="R151" s="324">
        <v>9316</v>
      </c>
      <c r="S151" s="324">
        <v>9316</v>
      </c>
      <c r="T151" s="324">
        <v>9316</v>
      </c>
      <c r="U151" s="324">
        <v>9316</v>
      </c>
      <c r="V151" s="324">
        <v>9316</v>
      </c>
      <c r="W151" s="502">
        <v>23290</v>
      </c>
      <c r="X151" s="268">
        <f t="shared" si="3"/>
        <v>108102.39</v>
      </c>
    </row>
    <row r="152" spans="1:24" s="310" customFormat="1" x14ac:dyDescent="0.2">
      <c r="A152" s="618"/>
      <c r="B152" s="294" t="s">
        <v>855</v>
      </c>
      <c r="C152" s="620"/>
      <c r="D152" s="620"/>
      <c r="E152" s="622"/>
      <c r="F152" s="626"/>
      <c r="G152" s="423">
        <v>2.5000000000000001E-3</v>
      </c>
      <c r="H152" s="325">
        <v>360</v>
      </c>
      <c r="I152" s="325">
        <v>440</v>
      </c>
      <c r="J152" s="433">
        <v>440</v>
      </c>
      <c r="K152" s="325">
        <v>440</v>
      </c>
      <c r="L152" s="325">
        <v>440</v>
      </c>
      <c r="M152" s="325">
        <v>440</v>
      </c>
      <c r="N152" s="325">
        <v>430</v>
      </c>
      <c r="O152" s="325">
        <v>395</v>
      </c>
      <c r="P152" s="325">
        <v>355</v>
      </c>
      <c r="Q152" s="325">
        <v>320</v>
      </c>
      <c r="R152" s="325">
        <v>280</v>
      </c>
      <c r="S152" s="325">
        <v>240</v>
      </c>
      <c r="T152" s="325">
        <v>205</v>
      </c>
      <c r="U152" s="325">
        <v>165</v>
      </c>
      <c r="V152" s="325">
        <v>130</v>
      </c>
      <c r="W152" s="503">
        <v>150</v>
      </c>
      <c r="X152" s="274">
        <f t="shared" si="3"/>
        <v>5230</v>
      </c>
    </row>
    <row r="153" spans="1:24" s="310" customFormat="1" ht="12.75" customHeight="1" x14ac:dyDescent="0.2">
      <c r="A153" s="608">
        <v>74</v>
      </c>
      <c r="B153" s="265" t="s">
        <v>856</v>
      </c>
      <c r="C153" s="612" t="s">
        <v>857</v>
      </c>
      <c r="D153" s="612">
        <v>631</v>
      </c>
      <c r="E153" s="604">
        <v>89504</v>
      </c>
      <c r="F153" s="610" t="s">
        <v>858</v>
      </c>
      <c r="G153" s="434" t="s">
        <v>646</v>
      </c>
      <c r="H153" s="326">
        <v>5090</v>
      </c>
      <c r="I153" s="326">
        <v>5116</v>
      </c>
      <c r="J153" s="326">
        <v>5116</v>
      </c>
      <c r="K153" s="326">
        <v>5116</v>
      </c>
      <c r="L153" s="326">
        <v>5116</v>
      </c>
      <c r="M153" s="326">
        <v>5116</v>
      </c>
      <c r="N153" s="326">
        <v>5116</v>
      </c>
      <c r="O153" s="326">
        <v>5116</v>
      </c>
      <c r="P153" s="326">
        <v>5116</v>
      </c>
      <c r="Q153" s="326">
        <v>5116</v>
      </c>
      <c r="R153" s="326">
        <v>5116</v>
      </c>
      <c r="S153" s="326">
        <v>5116</v>
      </c>
      <c r="T153" s="326">
        <v>5116</v>
      </c>
      <c r="U153" s="326">
        <v>5116</v>
      </c>
      <c r="V153" s="326">
        <v>5116</v>
      </c>
      <c r="W153" s="511">
        <v>12789.76</v>
      </c>
      <c r="X153" s="268">
        <f t="shared" si="3"/>
        <v>89503.76</v>
      </c>
    </row>
    <row r="154" spans="1:24" s="310" customFormat="1" x14ac:dyDescent="0.2">
      <c r="A154" s="609"/>
      <c r="B154" s="270" t="s">
        <v>859</v>
      </c>
      <c r="C154" s="613"/>
      <c r="D154" s="613"/>
      <c r="E154" s="605"/>
      <c r="F154" s="611"/>
      <c r="G154" s="423">
        <v>2.5000000000000001E-3</v>
      </c>
      <c r="H154" s="327">
        <v>295</v>
      </c>
      <c r="I154" s="327">
        <v>340</v>
      </c>
      <c r="J154" s="429">
        <v>320</v>
      </c>
      <c r="K154" s="327">
        <v>300</v>
      </c>
      <c r="L154" s="327">
        <v>280</v>
      </c>
      <c r="M154" s="327">
        <v>260</v>
      </c>
      <c r="N154" s="327">
        <v>240</v>
      </c>
      <c r="O154" s="327">
        <v>215</v>
      </c>
      <c r="P154" s="327">
        <v>195</v>
      </c>
      <c r="Q154" s="327">
        <v>175</v>
      </c>
      <c r="R154" s="327">
        <v>155</v>
      </c>
      <c r="S154" s="327">
        <v>135</v>
      </c>
      <c r="T154" s="327">
        <v>115</v>
      </c>
      <c r="U154" s="327">
        <v>95</v>
      </c>
      <c r="V154" s="327">
        <v>70</v>
      </c>
      <c r="W154" s="327">
        <v>75</v>
      </c>
      <c r="X154" s="274">
        <f t="shared" si="3"/>
        <v>3265</v>
      </c>
    </row>
    <row r="155" spans="1:24" s="310" customFormat="1" ht="12.75" customHeight="1" x14ac:dyDescent="0.2">
      <c r="A155" s="617">
        <v>75</v>
      </c>
      <c r="B155" s="265" t="s">
        <v>649</v>
      </c>
      <c r="C155" s="619" t="s">
        <v>860</v>
      </c>
      <c r="D155" s="619">
        <v>632</v>
      </c>
      <c r="E155" s="621">
        <v>1331708.19</v>
      </c>
      <c r="F155" s="623" t="s">
        <v>861</v>
      </c>
      <c r="G155" s="434" t="s">
        <v>646</v>
      </c>
      <c r="H155" s="314">
        <v>2665.48</v>
      </c>
      <c r="I155" s="318">
        <v>4000</v>
      </c>
      <c r="J155" s="432">
        <v>4000</v>
      </c>
      <c r="K155" s="432">
        <v>4000</v>
      </c>
      <c r="L155" s="432">
        <v>20000</v>
      </c>
      <c r="M155" s="432">
        <v>20000</v>
      </c>
      <c r="N155" s="432">
        <v>20000</v>
      </c>
      <c r="O155" s="432">
        <v>20000</v>
      </c>
      <c r="P155" s="432">
        <v>50000</v>
      </c>
      <c r="Q155" s="432">
        <v>79000</v>
      </c>
      <c r="R155" s="432">
        <v>79000</v>
      </c>
      <c r="S155" s="432">
        <v>79000</v>
      </c>
      <c r="T155" s="432">
        <v>79000</v>
      </c>
      <c r="U155" s="432">
        <v>79000</v>
      </c>
      <c r="V155" s="430">
        <v>79000</v>
      </c>
      <c r="W155" s="495">
        <v>217250</v>
      </c>
      <c r="X155" s="268">
        <f t="shared" si="3"/>
        <v>835915.48</v>
      </c>
    </row>
    <row r="156" spans="1:24" s="310" customFormat="1" x14ac:dyDescent="0.2">
      <c r="A156" s="618"/>
      <c r="B156" s="270" t="s">
        <v>862</v>
      </c>
      <c r="C156" s="620"/>
      <c r="D156" s="620"/>
      <c r="E156" s="622"/>
      <c r="F156" s="624"/>
      <c r="G156" s="423">
        <v>2.5000000000000001E-3</v>
      </c>
      <c r="H156" s="319">
        <v>2440</v>
      </c>
      <c r="I156" s="319">
        <v>3380</v>
      </c>
      <c r="J156" s="433">
        <v>3370</v>
      </c>
      <c r="K156" s="433">
        <v>3345</v>
      </c>
      <c r="L156" s="433">
        <v>3315</v>
      </c>
      <c r="M156" s="433">
        <v>3240</v>
      </c>
      <c r="N156" s="433">
        <v>3165</v>
      </c>
      <c r="O156" s="433">
        <v>3075</v>
      </c>
      <c r="P156" s="433">
        <v>2970</v>
      </c>
      <c r="Q156" s="433">
        <v>2750</v>
      </c>
      <c r="R156" s="433">
        <v>2445</v>
      </c>
      <c r="S156" s="433">
        <v>2115</v>
      </c>
      <c r="T156" s="433">
        <v>1795</v>
      </c>
      <c r="U156" s="433">
        <v>1475</v>
      </c>
      <c r="V156" s="433">
        <v>1155</v>
      </c>
      <c r="W156" s="499">
        <v>1530</v>
      </c>
      <c r="X156" s="274">
        <f t="shared" si="3"/>
        <v>41565</v>
      </c>
    </row>
    <row r="157" spans="1:24" s="310" customFormat="1" ht="12.75" customHeight="1" x14ac:dyDescent="0.2">
      <c r="A157" s="608">
        <v>76</v>
      </c>
      <c r="B157" s="285" t="s">
        <v>649</v>
      </c>
      <c r="C157" s="616" t="s">
        <v>863</v>
      </c>
      <c r="D157" s="612">
        <v>633</v>
      </c>
      <c r="E157" s="604">
        <v>8339124</v>
      </c>
      <c r="F157" s="610" t="s">
        <v>864</v>
      </c>
      <c r="G157" s="434" t="s">
        <v>646</v>
      </c>
      <c r="H157" s="329"/>
      <c r="I157" s="329"/>
      <c r="J157" s="330">
        <v>750</v>
      </c>
      <c r="K157" s="330">
        <v>1000</v>
      </c>
      <c r="L157" s="330">
        <v>5000</v>
      </c>
      <c r="M157" s="330">
        <v>5000</v>
      </c>
      <c r="N157" s="330">
        <v>16000</v>
      </c>
      <c r="O157" s="330">
        <v>40000</v>
      </c>
      <c r="P157" s="330">
        <v>100000</v>
      </c>
      <c r="Q157" s="330">
        <v>403524</v>
      </c>
      <c r="R157" s="330">
        <v>403524</v>
      </c>
      <c r="S157" s="330">
        <v>403524</v>
      </c>
      <c r="T157" s="330">
        <v>403524</v>
      </c>
      <c r="U157" s="330">
        <v>403524</v>
      </c>
      <c r="V157" s="330">
        <v>403524</v>
      </c>
      <c r="W157" s="512">
        <v>5750230</v>
      </c>
      <c r="X157" s="268">
        <f t="shared" si="3"/>
        <v>8339124</v>
      </c>
    </row>
    <row r="158" spans="1:24" s="310" customFormat="1" x14ac:dyDescent="0.2">
      <c r="A158" s="609"/>
      <c r="B158" s="270" t="s">
        <v>865</v>
      </c>
      <c r="C158" s="582"/>
      <c r="D158" s="613"/>
      <c r="E158" s="605"/>
      <c r="F158" s="611"/>
      <c r="G158" s="423">
        <v>2.5000000000000001E-3</v>
      </c>
      <c r="H158" s="331">
        <v>24250</v>
      </c>
      <c r="I158" s="331">
        <v>33810</v>
      </c>
      <c r="J158" s="332">
        <v>33915</v>
      </c>
      <c r="K158" s="332">
        <v>33820</v>
      </c>
      <c r="L158" s="332">
        <v>33810</v>
      </c>
      <c r="M158" s="332">
        <v>33790</v>
      </c>
      <c r="N158" s="332">
        <v>33855</v>
      </c>
      <c r="O158" s="332">
        <v>33680</v>
      </c>
      <c r="P158" s="332">
        <v>33470</v>
      </c>
      <c r="Q158" s="332">
        <v>32820</v>
      </c>
      <c r="R158" s="332">
        <v>31340</v>
      </c>
      <c r="S158" s="332">
        <v>29615</v>
      </c>
      <c r="T158" s="332">
        <v>27980</v>
      </c>
      <c r="U158" s="332">
        <v>26345</v>
      </c>
      <c r="V158" s="332">
        <v>24775</v>
      </c>
      <c r="W158" s="332">
        <v>174410</v>
      </c>
      <c r="X158" s="274">
        <f t="shared" si="3"/>
        <v>641685</v>
      </c>
    </row>
    <row r="159" spans="1:24" s="310" customFormat="1" ht="12.75" customHeight="1" x14ac:dyDescent="0.2">
      <c r="A159" s="608">
        <v>77</v>
      </c>
      <c r="B159" s="285" t="s">
        <v>649</v>
      </c>
      <c r="C159" s="616" t="s">
        <v>866</v>
      </c>
      <c r="D159" s="612">
        <v>634</v>
      </c>
      <c r="E159" s="604">
        <v>206622</v>
      </c>
      <c r="F159" s="610" t="s">
        <v>867</v>
      </c>
      <c r="G159" s="434" t="s">
        <v>646</v>
      </c>
      <c r="H159" s="329">
        <v>0</v>
      </c>
      <c r="I159" s="329">
        <v>0</v>
      </c>
      <c r="J159" s="329">
        <v>1000</v>
      </c>
      <c r="K159" s="329">
        <v>1000</v>
      </c>
      <c r="L159" s="329">
        <v>13640</v>
      </c>
      <c r="M159" s="329">
        <v>13640</v>
      </c>
      <c r="N159" s="329">
        <v>13640</v>
      </c>
      <c r="O159" s="329">
        <v>13640</v>
      </c>
      <c r="P159" s="329">
        <v>13640</v>
      </c>
      <c r="Q159" s="329">
        <v>13640</v>
      </c>
      <c r="R159" s="329">
        <v>13640</v>
      </c>
      <c r="S159" s="329">
        <v>13640</v>
      </c>
      <c r="T159" s="329">
        <v>13640</v>
      </c>
      <c r="U159" s="329">
        <v>13640</v>
      </c>
      <c r="V159" s="329">
        <v>13640</v>
      </c>
      <c r="W159" s="504">
        <v>54582</v>
      </c>
      <c r="X159" s="268">
        <f t="shared" si="3"/>
        <v>206622</v>
      </c>
    </row>
    <row r="160" spans="1:24" s="310" customFormat="1" x14ac:dyDescent="0.2">
      <c r="A160" s="609"/>
      <c r="B160" s="270" t="s">
        <v>868</v>
      </c>
      <c r="C160" s="582"/>
      <c r="D160" s="613"/>
      <c r="E160" s="605"/>
      <c r="F160" s="611"/>
      <c r="G160" s="423">
        <v>2.5000000000000001E-3</v>
      </c>
      <c r="H160" s="331">
        <v>685</v>
      </c>
      <c r="I160" s="331">
        <v>840</v>
      </c>
      <c r="J160" s="331">
        <v>840</v>
      </c>
      <c r="K160" s="331">
        <v>835</v>
      </c>
      <c r="L160" s="331">
        <v>820</v>
      </c>
      <c r="M160" s="331">
        <v>770</v>
      </c>
      <c r="N160" s="331">
        <v>715</v>
      </c>
      <c r="O160" s="331">
        <v>660</v>
      </c>
      <c r="P160" s="331">
        <v>605</v>
      </c>
      <c r="Q160" s="331">
        <v>645</v>
      </c>
      <c r="R160" s="331">
        <v>495</v>
      </c>
      <c r="S160" s="331">
        <v>435</v>
      </c>
      <c r="T160" s="331">
        <v>380</v>
      </c>
      <c r="U160" s="331">
        <v>235</v>
      </c>
      <c r="V160" s="331">
        <v>270</v>
      </c>
      <c r="W160" s="331">
        <v>525</v>
      </c>
      <c r="X160" s="274">
        <f t="shared" si="3"/>
        <v>9755</v>
      </c>
    </row>
    <row r="161" spans="1:24" s="310" customFormat="1" ht="12.75" customHeight="1" x14ac:dyDescent="0.2">
      <c r="A161" s="608">
        <v>78</v>
      </c>
      <c r="B161" s="285" t="s">
        <v>649</v>
      </c>
      <c r="C161" s="581" t="s">
        <v>911</v>
      </c>
      <c r="D161" s="612">
        <v>635</v>
      </c>
      <c r="E161" s="614">
        <v>307624.96000000002</v>
      </c>
      <c r="F161" s="610" t="s">
        <v>869</v>
      </c>
      <c r="G161" s="434" t="s">
        <v>646</v>
      </c>
      <c r="H161" s="329">
        <v>0</v>
      </c>
      <c r="I161" s="329">
        <v>0</v>
      </c>
      <c r="J161" s="438">
        <v>750</v>
      </c>
      <c r="K161" s="438">
        <v>1000</v>
      </c>
      <c r="L161" s="438">
        <v>5000</v>
      </c>
      <c r="M161" s="438">
        <v>5000</v>
      </c>
      <c r="N161" s="438">
        <v>10000</v>
      </c>
      <c r="O161" s="438">
        <v>23824</v>
      </c>
      <c r="P161" s="438">
        <v>23824</v>
      </c>
      <c r="Q161" s="438">
        <v>23824</v>
      </c>
      <c r="R161" s="438">
        <v>23824</v>
      </c>
      <c r="S161" s="438">
        <v>23824</v>
      </c>
      <c r="T161" s="438">
        <v>23824</v>
      </c>
      <c r="U161" s="438">
        <v>23824</v>
      </c>
      <c r="V161" s="439">
        <v>23824</v>
      </c>
      <c r="W161" s="505">
        <v>95282.96</v>
      </c>
      <c r="X161" s="268">
        <f t="shared" si="3"/>
        <v>307624.96000000002</v>
      </c>
    </row>
    <row r="162" spans="1:24" s="310" customFormat="1" x14ac:dyDescent="0.2">
      <c r="A162" s="609"/>
      <c r="B162" s="270" t="s">
        <v>870</v>
      </c>
      <c r="C162" s="582"/>
      <c r="D162" s="613"/>
      <c r="E162" s="615"/>
      <c r="F162" s="611"/>
      <c r="G162" s="423">
        <v>2.5000000000000001E-3</v>
      </c>
      <c r="H162" s="331">
        <v>1015</v>
      </c>
      <c r="I162" s="331">
        <v>1250</v>
      </c>
      <c r="J162" s="440">
        <v>1255</v>
      </c>
      <c r="K162" s="440">
        <v>1245</v>
      </c>
      <c r="L162" s="440">
        <v>1240</v>
      </c>
      <c r="M162" s="440">
        <v>1220</v>
      </c>
      <c r="N162" s="440">
        <v>1200</v>
      </c>
      <c r="O162" s="440">
        <v>1145</v>
      </c>
      <c r="P162" s="440">
        <v>1050</v>
      </c>
      <c r="Q162" s="440">
        <v>955</v>
      </c>
      <c r="R162" s="440">
        <v>860</v>
      </c>
      <c r="S162" s="440">
        <v>760</v>
      </c>
      <c r="T162" s="440">
        <v>665</v>
      </c>
      <c r="U162" s="440">
        <v>565</v>
      </c>
      <c r="V162" s="440">
        <v>470</v>
      </c>
      <c r="W162" s="506">
        <v>915</v>
      </c>
      <c r="X162" s="274">
        <f t="shared" si="3"/>
        <v>15810</v>
      </c>
    </row>
    <row r="163" spans="1:24" s="310" customFormat="1" ht="12.75" customHeight="1" x14ac:dyDescent="0.2">
      <c r="A163" s="608">
        <v>79</v>
      </c>
      <c r="B163" s="285" t="s">
        <v>649</v>
      </c>
      <c r="C163" s="581" t="s">
        <v>871</v>
      </c>
      <c r="D163" s="612">
        <v>636</v>
      </c>
      <c r="E163" s="614">
        <v>69989</v>
      </c>
      <c r="F163" s="610" t="s">
        <v>869</v>
      </c>
      <c r="G163" s="434" t="s">
        <v>646</v>
      </c>
      <c r="H163" s="329">
        <v>0</v>
      </c>
      <c r="I163" s="329">
        <v>0</v>
      </c>
      <c r="J163" s="438">
        <v>1000</v>
      </c>
      <c r="K163" s="438">
        <v>1000</v>
      </c>
      <c r="L163" s="438">
        <v>1000</v>
      </c>
      <c r="M163" s="438">
        <v>2000</v>
      </c>
      <c r="N163" s="438">
        <v>2000</v>
      </c>
      <c r="O163" s="438">
        <v>5000</v>
      </c>
      <c r="P163" s="438">
        <v>5272</v>
      </c>
      <c r="Q163" s="438">
        <v>5272</v>
      </c>
      <c r="R163" s="438">
        <v>5272</v>
      </c>
      <c r="S163" s="438">
        <v>5272</v>
      </c>
      <c r="T163" s="438">
        <v>5272</v>
      </c>
      <c r="U163" s="438">
        <v>5272</v>
      </c>
      <c r="V163" s="438">
        <v>5272</v>
      </c>
      <c r="W163" s="507">
        <v>21085</v>
      </c>
      <c r="X163" s="268">
        <f t="shared" si="3"/>
        <v>69989</v>
      </c>
    </row>
    <row r="164" spans="1:24" s="310" customFormat="1" x14ac:dyDescent="0.2">
      <c r="A164" s="609"/>
      <c r="B164" s="270" t="s">
        <v>872</v>
      </c>
      <c r="C164" s="582"/>
      <c r="D164" s="613"/>
      <c r="E164" s="615"/>
      <c r="F164" s="611"/>
      <c r="G164" s="423">
        <v>2.5000000000000001E-3</v>
      </c>
      <c r="H164" s="331">
        <v>235</v>
      </c>
      <c r="I164" s="331">
        <v>285</v>
      </c>
      <c r="J164" s="440">
        <v>285</v>
      </c>
      <c r="K164" s="440">
        <v>270</v>
      </c>
      <c r="L164" s="440">
        <v>280</v>
      </c>
      <c r="M164" s="440">
        <v>275</v>
      </c>
      <c r="N164" s="440">
        <v>265</v>
      </c>
      <c r="O164" s="440">
        <v>255</v>
      </c>
      <c r="P164" s="440">
        <v>235</v>
      </c>
      <c r="Q164" s="440">
        <v>215</v>
      </c>
      <c r="R164" s="440">
        <v>190</v>
      </c>
      <c r="S164" s="440">
        <v>170</v>
      </c>
      <c r="T164" s="440">
        <v>150</v>
      </c>
      <c r="U164" s="440">
        <v>125</v>
      </c>
      <c r="V164" s="440">
        <v>105</v>
      </c>
      <c r="W164" s="506">
        <v>205</v>
      </c>
      <c r="X164" s="274">
        <f t="shared" si="3"/>
        <v>3545</v>
      </c>
    </row>
    <row r="165" spans="1:24" s="310" customFormat="1" ht="12.75" customHeight="1" x14ac:dyDescent="0.2">
      <c r="A165" s="608">
        <v>80</v>
      </c>
      <c r="B165" s="265" t="s">
        <v>649</v>
      </c>
      <c r="C165" s="581" t="s">
        <v>873</v>
      </c>
      <c r="D165" s="581">
        <v>637</v>
      </c>
      <c r="E165" s="604">
        <v>212555.77</v>
      </c>
      <c r="F165" s="610" t="s">
        <v>874</v>
      </c>
      <c r="G165" s="321" t="s">
        <v>646</v>
      </c>
      <c r="H165" s="329">
        <v>0</v>
      </c>
      <c r="I165" s="329">
        <v>0</v>
      </c>
      <c r="J165" s="329">
        <v>750</v>
      </c>
      <c r="K165" s="329">
        <v>1000</v>
      </c>
      <c r="L165" s="329">
        <v>1000</v>
      </c>
      <c r="M165" s="329">
        <v>2000</v>
      </c>
      <c r="N165" s="329">
        <v>2000</v>
      </c>
      <c r="O165" s="329">
        <v>2000</v>
      </c>
      <c r="P165" s="329">
        <v>5000</v>
      </c>
      <c r="Q165" s="329">
        <v>19920</v>
      </c>
      <c r="R165" s="329">
        <v>19920</v>
      </c>
      <c r="S165" s="329">
        <v>19920</v>
      </c>
      <c r="T165" s="329">
        <v>19920</v>
      </c>
      <c r="U165" s="329">
        <v>19920</v>
      </c>
      <c r="V165" s="328">
        <v>19920</v>
      </c>
      <c r="W165" s="508">
        <v>79285.77</v>
      </c>
      <c r="X165" s="268">
        <f t="shared" si="3"/>
        <v>212555.77000000002</v>
      </c>
    </row>
    <row r="166" spans="1:24" s="310" customFormat="1" x14ac:dyDescent="0.2">
      <c r="A166" s="609"/>
      <c r="B166" s="270" t="s">
        <v>875</v>
      </c>
      <c r="C166" s="582"/>
      <c r="D166" s="582"/>
      <c r="E166" s="605"/>
      <c r="F166" s="611"/>
      <c r="G166" s="423">
        <v>2.5000000000000001E-3</v>
      </c>
      <c r="H166" s="331">
        <v>625</v>
      </c>
      <c r="I166" s="331">
        <v>865</v>
      </c>
      <c r="J166" s="331">
        <v>865</v>
      </c>
      <c r="K166" s="331">
        <v>860</v>
      </c>
      <c r="L166" s="331">
        <v>855</v>
      </c>
      <c r="M166" s="331">
        <v>850</v>
      </c>
      <c r="N166" s="331">
        <v>845</v>
      </c>
      <c r="O166" s="331">
        <v>835</v>
      </c>
      <c r="P166" s="331">
        <v>825</v>
      </c>
      <c r="Q166" s="331">
        <v>795</v>
      </c>
      <c r="R166" s="331">
        <v>720</v>
      </c>
      <c r="S166" s="331">
        <v>635</v>
      </c>
      <c r="T166" s="331">
        <v>555</v>
      </c>
      <c r="U166" s="331">
        <v>475</v>
      </c>
      <c r="V166" s="331">
        <v>395</v>
      </c>
      <c r="W166" s="509">
        <v>755</v>
      </c>
      <c r="X166" s="274">
        <f t="shared" si="3"/>
        <v>11755</v>
      </c>
    </row>
    <row r="167" spans="1:24" s="310" customFormat="1" ht="20.25" customHeight="1" x14ac:dyDescent="0.2">
      <c r="A167" s="608">
        <v>81</v>
      </c>
      <c r="B167" s="265" t="s">
        <v>649</v>
      </c>
      <c r="C167" s="581" t="s">
        <v>912</v>
      </c>
      <c r="D167" s="581">
        <v>638</v>
      </c>
      <c r="E167" s="604">
        <v>1496459</v>
      </c>
      <c r="F167" s="606" t="s">
        <v>876</v>
      </c>
      <c r="G167" s="321" t="s">
        <v>646</v>
      </c>
      <c r="H167" s="329">
        <v>0</v>
      </c>
      <c r="I167" s="329">
        <v>0</v>
      </c>
      <c r="J167" s="329">
        <v>750</v>
      </c>
      <c r="K167" s="329">
        <v>1000</v>
      </c>
      <c r="L167" s="329">
        <v>3000</v>
      </c>
      <c r="M167" s="329">
        <v>5000</v>
      </c>
      <c r="N167" s="329">
        <v>5000</v>
      </c>
      <c r="O167" s="329">
        <v>10000</v>
      </c>
      <c r="P167" s="329">
        <v>20000</v>
      </c>
      <c r="Q167" s="329">
        <v>50000</v>
      </c>
      <c r="R167" s="329">
        <v>50000</v>
      </c>
      <c r="S167" s="329">
        <v>50000</v>
      </c>
      <c r="T167" s="329">
        <v>69458</v>
      </c>
      <c r="U167" s="329">
        <v>75944</v>
      </c>
      <c r="V167" s="328">
        <v>75944</v>
      </c>
      <c r="W167" s="508">
        <v>1080363</v>
      </c>
      <c r="X167" s="268">
        <f t="shared" si="3"/>
        <v>1496459</v>
      </c>
    </row>
    <row r="168" spans="1:24" s="310" customFormat="1" ht="18.75" customHeight="1" x14ac:dyDescent="0.2">
      <c r="A168" s="609"/>
      <c r="B168" s="270" t="s">
        <v>877</v>
      </c>
      <c r="C168" s="582"/>
      <c r="D168" s="582"/>
      <c r="E168" s="605"/>
      <c r="F168" s="607"/>
      <c r="G168" s="423">
        <v>2.5000000000000001E-3</v>
      </c>
      <c r="H168" s="331">
        <v>4370</v>
      </c>
      <c r="I168" s="331">
        <v>6070</v>
      </c>
      <c r="J168" s="331">
        <v>6090</v>
      </c>
      <c r="K168" s="331">
        <v>6070</v>
      </c>
      <c r="L168" s="331">
        <v>6060</v>
      </c>
      <c r="M168" s="331">
        <v>6050</v>
      </c>
      <c r="N168" s="331">
        <v>6045</v>
      </c>
      <c r="O168" s="331">
        <v>6005</v>
      </c>
      <c r="P168" s="331">
        <v>5955</v>
      </c>
      <c r="Q168" s="331">
        <v>5850</v>
      </c>
      <c r="R168" s="331">
        <v>5670</v>
      </c>
      <c r="S168" s="331">
        <v>5455</v>
      </c>
      <c r="T168" s="331">
        <v>5240</v>
      </c>
      <c r="U168" s="331">
        <v>4950</v>
      </c>
      <c r="V168" s="331">
        <v>4650</v>
      </c>
      <c r="W168" s="509">
        <v>32725</v>
      </c>
      <c r="X168" s="274">
        <f t="shared" si="3"/>
        <v>117255</v>
      </c>
    </row>
    <row r="169" spans="1:24" s="310" customFormat="1" ht="12.75" customHeight="1" x14ac:dyDescent="0.2">
      <c r="A169" s="608">
        <v>82</v>
      </c>
      <c r="B169" s="516" t="s">
        <v>649</v>
      </c>
      <c r="C169" s="581" t="s">
        <v>913</v>
      </c>
      <c r="D169" s="581">
        <v>639</v>
      </c>
      <c r="E169" s="604">
        <v>520249</v>
      </c>
      <c r="F169" s="606" t="s">
        <v>878</v>
      </c>
      <c r="G169" s="321" t="s">
        <v>646</v>
      </c>
      <c r="H169" s="329">
        <v>0</v>
      </c>
      <c r="I169" s="329">
        <v>0</v>
      </c>
      <c r="J169" s="329">
        <v>300</v>
      </c>
      <c r="K169" s="329">
        <v>1000</v>
      </c>
      <c r="L169" s="329">
        <v>2000</v>
      </c>
      <c r="M169" s="329">
        <v>2000</v>
      </c>
      <c r="N169" s="329">
        <v>5000</v>
      </c>
      <c r="O169" s="329">
        <v>5000</v>
      </c>
      <c r="P169" s="329">
        <v>10000</v>
      </c>
      <c r="Q169" s="329">
        <v>45000</v>
      </c>
      <c r="R169" s="329">
        <v>45000</v>
      </c>
      <c r="S169" s="329">
        <v>45000</v>
      </c>
      <c r="T169" s="329">
        <v>45000</v>
      </c>
      <c r="U169" s="329">
        <v>45000</v>
      </c>
      <c r="V169" s="328">
        <v>45000</v>
      </c>
      <c r="W169" s="508">
        <v>224949</v>
      </c>
      <c r="X169" s="268">
        <f t="shared" si="3"/>
        <v>520249</v>
      </c>
    </row>
    <row r="170" spans="1:24" s="310" customFormat="1" x14ac:dyDescent="0.2">
      <c r="A170" s="609"/>
      <c r="B170" s="517" t="s">
        <v>879</v>
      </c>
      <c r="C170" s="582"/>
      <c r="D170" s="582"/>
      <c r="E170" s="605"/>
      <c r="F170" s="607"/>
      <c r="G170" s="423">
        <v>2.5000000000000001E-3</v>
      </c>
      <c r="H170" s="331">
        <v>1520</v>
      </c>
      <c r="I170" s="331">
        <v>2110</v>
      </c>
      <c r="J170" s="331">
        <v>2120</v>
      </c>
      <c r="K170" s="331">
        <v>2110</v>
      </c>
      <c r="L170" s="331">
        <v>2105</v>
      </c>
      <c r="M170" s="331">
        <v>2100</v>
      </c>
      <c r="N170" s="331">
        <v>2095</v>
      </c>
      <c r="O170" s="331">
        <v>2065</v>
      </c>
      <c r="P170" s="331">
        <v>2045</v>
      </c>
      <c r="Q170" s="331">
        <v>1975</v>
      </c>
      <c r="R170" s="331">
        <v>1805</v>
      </c>
      <c r="S170" s="331">
        <v>1615</v>
      </c>
      <c r="T170" s="331">
        <v>1435</v>
      </c>
      <c r="U170" s="331">
        <v>1250</v>
      </c>
      <c r="V170" s="331">
        <v>1070</v>
      </c>
      <c r="W170" s="509">
        <v>2585</v>
      </c>
      <c r="X170" s="274">
        <f t="shared" si="3"/>
        <v>30005</v>
      </c>
    </row>
    <row r="171" spans="1:24" s="310" customFormat="1" ht="12.75" customHeight="1" x14ac:dyDescent="0.2">
      <c r="A171" s="608">
        <v>83</v>
      </c>
      <c r="B171" s="265" t="s">
        <v>649</v>
      </c>
      <c r="C171" s="581" t="s">
        <v>880</v>
      </c>
      <c r="D171" s="581">
        <v>640</v>
      </c>
      <c r="E171" s="604">
        <v>409900</v>
      </c>
      <c r="F171" s="606" t="s">
        <v>881</v>
      </c>
      <c r="G171" s="321" t="s">
        <v>646</v>
      </c>
      <c r="H171" s="329">
        <v>0</v>
      </c>
      <c r="I171" s="329">
        <v>0</v>
      </c>
      <c r="J171" s="329">
        <v>300</v>
      </c>
      <c r="K171" s="329">
        <v>1000</v>
      </c>
      <c r="L171" s="329">
        <v>2000</v>
      </c>
      <c r="M171" s="329">
        <v>2000</v>
      </c>
      <c r="N171" s="329">
        <v>5000</v>
      </c>
      <c r="O171" s="329">
        <v>5000</v>
      </c>
      <c r="P171" s="329">
        <v>10000</v>
      </c>
      <c r="Q171" s="329">
        <v>34964</v>
      </c>
      <c r="R171" s="329">
        <v>34964</v>
      </c>
      <c r="S171" s="329">
        <v>34964</v>
      </c>
      <c r="T171" s="329">
        <v>34964</v>
      </c>
      <c r="U171" s="329">
        <v>34964</v>
      </c>
      <c r="V171" s="328">
        <v>34964</v>
      </c>
      <c r="W171" s="508">
        <v>174816</v>
      </c>
      <c r="X171" s="268">
        <f t="shared" si="3"/>
        <v>409900</v>
      </c>
    </row>
    <row r="172" spans="1:24" s="310" customFormat="1" x14ac:dyDescent="0.2">
      <c r="A172" s="609"/>
      <c r="B172" s="270" t="s">
        <v>882</v>
      </c>
      <c r="C172" s="582"/>
      <c r="D172" s="582"/>
      <c r="E172" s="605"/>
      <c r="F172" s="607"/>
      <c r="G172" s="423">
        <v>2.5000000000000001E-3</v>
      </c>
      <c r="H172" s="331">
        <v>1040</v>
      </c>
      <c r="I172" s="331">
        <v>1665</v>
      </c>
      <c r="J172" s="331">
        <v>1670</v>
      </c>
      <c r="K172" s="331">
        <v>1665</v>
      </c>
      <c r="L172" s="331">
        <v>1660</v>
      </c>
      <c r="M172" s="331">
        <v>1650</v>
      </c>
      <c r="N172" s="331">
        <v>1645</v>
      </c>
      <c r="O172" s="331">
        <v>1620</v>
      </c>
      <c r="P172" s="331">
        <v>1595</v>
      </c>
      <c r="Q172" s="331">
        <v>1535</v>
      </c>
      <c r="R172" s="331">
        <v>1400</v>
      </c>
      <c r="S172" s="331">
        <v>1255</v>
      </c>
      <c r="T172" s="331">
        <v>1115</v>
      </c>
      <c r="U172" s="331">
        <v>975</v>
      </c>
      <c r="V172" s="331">
        <v>835</v>
      </c>
      <c r="W172" s="509">
        <v>2025</v>
      </c>
      <c r="X172" s="274">
        <f t="shared" si="3"/>
        <v>23350</v>
      </c>
    </row>
    <row r="173" spans="1:24" s="310" customFormat="1" ht="19.5" customHeight="1" x14ac:dyDescent="0.2">
      <c r="A173" s="593">
        <v>84</v>
      </c>
      <c r="B173" s="265" t="s">
        <v>649</v>
      </c>
      <c r="C173" s="602" t="s">
        <v>883</v>
      </c>
      <c r="D173" s="581">
        <v>641</v>
      </c>
      <c r="E173" s="604">
        <v>132422</v>
      </c>
      <c r="F173" s="606" t="s">
        <v>914</v>
      </c>
      <c r="G173" s="321" t="s">
        <v>646</v>
      </c>
      <c r="H173" s="441">
        <v>0</v>
      </c>
      <c r="I173" s="441">
        <v>10178</v>
      </c>
      <c r="J173" s="441">
        <v>40748</v>
      </c>
      <c r="K173" s="441">
        <v>40748</v>
      </c>
      <c r="L173" s="441">
        <v>40748</v>
      </c>
      <c r="M173" s="441"/>
      <c r="N173" s="441"/>
      <c r="O173" s="441"/>
      <c r="P173" s="441"/>
      <c r="Q173" s="441"/>
      <c r="R173" s="441"/>
      <c r="S173" s="441"/>
      <c r="T173" s="441"/>
      <c r="U173" s="441"/>
      <c r="V173" s="441"/>
      <c r="W173" s="337"/>
      <c r="X173" s="268">
        <f t="shared" si="3"/>
        <v>132422</v>
      </c>
    </row>
    <row r="174" spans="1:24" s="310" customFormat="1" ht="20.25" customHeight="1" x14ac:dyDescent="0.2">
      <c r="A174" s="594"/>
      <c r="B174" s="270" t="s">
        <v>884</v>
      </c>
      <c r="C174" s="603"/>
      <c r="D174" s="582"/>
      <c r="E174" s="605"/>
      <c r="F174" s="607"/>
      <c r="G174" s="423">
        <v>2.5000000000000001E-3</v>
      </c>
      <c r="H174" s="429">
        <v>300</v>
      </c>
      <c r="I174" s="429">
        <v>540</v>
      </c>
      <c r="J174" s="429">
        <v>475</v>
      </c>
      <c r="K174" s="429">
        <v>310</v>
      </c>
      <c r="L174" s="429">
        <f>140+10</f>
        <v>150</v>
      </c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313"/>
      <c r="X174" s="274">
        <f t="shared" si="3"/>
        <v>1775</v>
      </c>
    </row>
    <row r="175" spans="1:24" s="310" customFormat="1" x14ac:dyDescent="0.2">
      <c r="A175" s="593">
        <v>85</v>
      </c>
      <c r="B175" s="334" t="s">
        <v>649</v>
      </c>
      <c r="C175" s="595" t="s">
        <v>932</v>
      </c>
      <c r="D175" s="595"/>
      <c r="E175" s="597">
        <v>231312.88</v>
      </c>
      <c r="F175" s="599" t="s">
        <v>917</v>
      </c>
      <c r="G175" s="321" t="s">
        <v>646</v>
      </c>
      <c r="H175" s="518">
        <v>0</v>
      </c>
      <c r="I175" s="518">
        <v>0</v>
      </c>
      <c r="J175" s="518">
        <v>0</v>
      </c>
      <c r="K175" s="518">
        <v>500</v>
      </c>
      <c r="L175" s="518">
        <v>1000</v>
      </c>
      <c r="M175" s="518">
        <v>1500</v>
      </c>
      <c r="N175" s="518">
        <v>2000</v>
      </c>
      <c r="O175" s="518">
        <v>2500</v>
      </c>
      <c r="P175" s="518">
        <v>3000</v>
      </c>
      <c r="Q175" s="518">
        <v>19628</v>
      </c>
      <c r="R175" s="518">
        <v>19628</v>
      </c>
      <c r="S175" s="518">
        <v>19628</v>
      </c>
      <c r="T175" s="518">
        <v>19628</v>
      </c>
      <c r="U175" s="518">
        <v>19628</v>
      </c>
      <c r="V175" s="518">
        <v>19628</v>
      </c>
      <c r="W175" s="519">
        <v>103044.88</v>
      </c>
      <c r="X175" s="268">
        <f t="shared" si="3"/>
        <v>231312.88</v>
      </c>
    </row>
    <row r="176" spans="1:24" s="310" customFormat="1" x14ac:dyDescent="0.2">
      <c r="A176" s="594"/>
      <c r="B176" s="340"/>
      <c r="C176" s="596"/>
      <c r="D176" s="596"/>
      <c r="E176" s="598"/>
      <c r="F176" s="600"/>
      <c r="G176" s="423">
        <v>2.5000000000000001E-3</v>
      </c>
      <c r="H176" s="519">
        <v>440</v>
      </c>
      <c r="I176" s="518">
        <v>590</v>
      </c>
      <c r="J176" s="518">
        <v>590</v>
      </c>
      <c r="K176" s="518">
        <v>590</v>
      </c>
      <c r="L176" s="518">
        <v>585</v>
      </c>
      <c r="M176" s="518">
        <v>585</v>
      </c>
      <c r="N176" s="518">
        <v>580</v>
      </c>
      <c r="O176" s="518">
        <v>575</v>
      </c>
      <c r="P176" s="518">
        <v>570</v>
      </c>
      <c r="Q176" s="518">
        <v>550</v>
      </c>
      <c r="R176" s="518">
        <v>505</v>
      </c>
      <c r="S176" s="518">
        <v>455</v>
      </c>
      <c r="T176" s="518">
        <v>405</v>
      </c>
      <c r="U176" s="518">
        <v>355</v>
      </c>
      <c r="V176" s="518">
        <v>305</v>
      </c>
      <c r="W176" s="519">
        <v>780</v>
      </c>
      <c r="X176" s="274">
        <f t="shared" si="3"/>
        <v>8460</v>
      </c>
    </row>
    <row r="177" spans="1:24" s="310" customFormat="1" hidden="1" x14ac:dyDescent="0.2">
      <c r="A177" s="593">
        <v>86</v>
      </c>
      <c r="B177" s="334"/>
      <c r="C177" s="595"/>
      <c r="D177" s="595"/>
      <c r="E177" s="597"/>
      <c r="F177" s="599"/>
      <c r="G177" s="338"/>
      <c r="H177" s="335"/>
      <c r="I177" s="342"/>
      <c r="J177" s="342"/>
      <c r="K177" s="342"/>
      <c r="L177" s="342"/>
      <c r="M177" s="342"/>
      <c r="N177" s="342"/>
      <c r="O177" s="342"/>
      <c r="P177" s="342"/>
      <c r="Q177" s="342"/>
      <c r="R177" s="342"/>
      <c r="S177" s="342"/>
      <c r="T177" s="342"/>
      <c r="U177" s="342"/>
      <c r="V177" s="342"/>
      <c r="W177" s="342"/>
      <c r="X177" s="339">
        <f t="shared" ref="X177:X182" si="4">SUM(H177:V177)</f>
        <v>0</v>
      </c>
    </row>
    <row r="178" spans="1:24" s="310" customFormat="1" hidden="1" x14ac:dyDescent="0.2">
      <c r="A178" s="594"/>
      <c r="B178" s="340"/>
      <c r="C178" s="596"/>
      <c r="D178" s="596"/>
      <c r="E178" s="598"/>
      <c r="F178" s="600"/>
      <c r="G178" s="333"/>
      <c r="H178" s="336"/>
      <c r="I178" s="343"/>
      <c r="J178" s="343"/>
      <c r="K178" s="343"/>
      <c r="L178" s="343"/>
      <c r="M178" s="343"/>
      <c r="N178" s="343"/>
      <c r="O178" s="343"/>
      <c r="P178" s="343"/>
      <c r="Q178" s="343"/>
      <c r="R178" s="343"/>
      <c r="S178" s="343"/>
      <c r="T178" s="343"/>
      <c r="U178" s="343"/>
      <c r="V178" s="343"/>
      <c r="W178" s="343"/>
      <c r="X178" s="341">
        <f t="shared" si="4"/>
        <v>0</v>
      </c>
    </row>
    <row r="179" spans="1:24" s="310" customFormat="1" hidden="1" x14ac:dyDescent="0.2">
      <c r="A179" s="593">
        <v>87</v>
      </c>
      <c r="B179" s="334"/>
      <c r="C179" s="595"/>
      <c r="D179" s="595"/>
      <c r="E179" s="597"/>
      <c r="F179" s="599"/>
      <c r="G179" s="338"/>
      <c r="H179" s="335"/>
      <c r="I179" s="342"/>
      <c r="J179" s="342"/>
      <c r="K179" s="342"/>
      <c r="L179" s="342"/>
      <c r="M179" s="342"/>
      <c r="N179" s="342"/>
      <c r="O179" s="342"/>
      <c r="P179" s="342"/>
      <c r="Q179" s="342"/>
      <c r="R179" s="342"/>
      <c r="S179" s="342"/>
      <c r="T179" s="342"/>
      <c r="U179" s="342"/>
      <c r="V179" s="342"/>
      <c r="W179" s="342"/>
      <c r="X179" s="339">
        <f t="shared" si="4"/>
        <v>0</v>
      </c>
    </row>
    <row r="180" spans="1:24" s="310" customFormat="1" hidden="1" x14ac:dyDescent="0.2">
      <c r="A180" s="594"/>
      <c r="B180" s="340"/>
      <c r="C180" s="596"/>
      <c r="D180" s="596"/>
      <c r="E180" s="598"/>
      <c r="F180" s="600"/>
      <c r="G180" s="333"/>
      <c r="H180" s="336"/>
      <c r="I180" s="343"/>
      <c r="J180" s="343"/>
      <c r="K180" s="343"/>
      <c r="L180" s="343"/>
      <c r="M180" s="343"/>
      <c r="N180" s="343"/>
      <c r="O180" s="343"/>
      <c r="P180" s="343"/>
      <c r="Q180" s="343"/>
      <c r="R180" s="343"/>
      <c r="S180" s="343"/>
      <c r="T180" s="343"/>
      <c r="U180" s="343"/>
      <c r="V180" s="343"/>
      <c r="W180" s="343"/>
      <c r="X180" s="341">
        <f t="shared" si="4"/>
        <v>0</v>
      </c>
    </row>
    <row r="181" spans="1:24" s="310" customFormat="1" hidden="1" x14ac:dyDescent="0.2">
      <c r="A181" s="593">
        <v>88</v>
      </c>
      <c r="B181" s="334"/>
      <c r="C181" s="595"/>
      <c r="D181" s="595"/>
      <c r="E181" s="597"/>
      <c r="F181" s="599"/>
      <c r="G181" s="338"/>
      <c r="H181" s="335"/>
      <c r="I181" s="342"/>
      <c r="J181" s="342"/>
      <c r="K181" s="342"/>
      <c r="L181" s="342"/>
      <c r="M181" s="342"/>
      <c r="N181" s="342"/>
      <c r="O181" s="342"/>
      <c r="P181" s="342"/>
      <c r="Q181" s="342"/>
      <c r="R181" s="342"/>
      <c r="S181" s="342"/>
      <c r="T181" s="342"/>
      <c r="U181" s="342"/>
      <c r="V181" s="342"/>
      <c r="W181" s="342"/>
      <c r="X181" s="339">
        <f t="shared" si="4"/>
        <v>0</v>
      </c>
    </row>
    <row r="182" spans="1:24" s="310" customFormat="1" hidden="1" x14ac:dyDescent="0.2">
      <c r="A182" s="594"/>
      <c r="B182" s="340"/>
      <c r="C182" s="596"/>
      <c r="D182" s="596"/>
      <c r="E182" s="598"/>
      <c r="F182" s="600"/>
      <c r="G182" s="333"/>
      <c r="H182" s="336"/>
      <c r="I182" s="343"/>
      <c r="J182" s="343"/>
      <c r="K182" s="343"/>
      <c r="L182" s="343"/>
      <c r="M182" s="343"/>
      <c r="N182" s="343"/>
      <c r="O182" s="343"/>
      <c r="P182" s="343"/>
      <c r="Q182" s="343"/>
      <c r="R182" s="343"/>
      <c r="S182" s="343"/>
      <c r="T182" s="343"/>
      <c r="U182" s="343"/>
      <c r="V182" s="343"/>
      <c r="W182" s="343"/>
      <c r="X182" s="341">
        <f t="shared" si="4"/>
        <v>0</v>
      </c>
    </row>
    <row r="183" spans="1:24" x14ac:dyDescent="0.2">
      <c r="A183" s="344"/>
      <c r="B183" s="601" t="s">
        <v>885</v>
      </c>
      <c r="C183" s="572"/>
      <c r="D183" s="572"/>
      <c r="E183" s="572"/>
      <c r="F183" s="572"/>
      <c r="G183" s="345"/>
      <c r="H183" s="346">
        <f>SUM(H7+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181)+185731</f>
        <v>4840692.1000000006</v>
      </c>
      <c r="I183" s="346">
        <f>SUM(I7+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181)</f>
        <v>5160358.0100000007</v>
      </c>
      <c r="J183" s="346">
        <f>SUM(J7+J9+J11+J13+J15+J17+J19+J21+J23+J25+J27+J29+J31+J33+J35+J37+J39+J41+J43+J45+J47+J49+J51+J53+J55+J57+J59+J61+J63+J65+J67+J69+J71+J73+J75+J77+J79+J81+J83+J85+J87+J89+J91+J93+J95+J97+J99+J101+J103+J105+J107+J109+J111+J113+J115+J117+J119+J121+J123+J125+J127+J129+J131+J133+J135+J137+J139+J141+J143+J145+J147+J149+J151+J153+J155+J157+J159+J161+J163+J165+J167+J169+J171+J173+J175+J177+J179+J181)</f>
        <v>5577120.2700000005</v>
      </c>
      <c r="K183" s="346">
        <f t="shared" ref="K183:V183" si="5">SUM(K7+K9+K11+K13+K15+K17+K19+K21+K23+K25+K27+K29+K31+K33+K35+K37+K39+K41+K43+K45+K47+K49+K51+K53+K55+K57+K59+K61+K63+K65+K67+K69+K71+K73+K75+K77+K79+K81+K83+K85+K87+K89+K91+K93+K95+K97+K99+K101+K103+K105+K107+K109+K111+K113+K115+K117+K119+K121+K123+K125+K127+K129+K131+K133+K135+K137+K139+K141+K143+K145+K147+K149+K151+K153+K155+K157+K159+K161+K163+K165+K167+K169+K171+K173+K175+K177+K179+K181)</f>
        <v>5398426.3400000008</v>
      </c>
      <c r="L183" s="346">
        <f t="shared" si="5"/>
        <v>4695012.57</v>
      </c>
      <c r="M183" s="346">
        <f t="shared" si="5"/>
        <v>4274863.1600000011</v>
      </c>
      <c r="N183" s="346">
        <f t="shared" si="5"/>
        <v>4015743.7699999996</v>
      </c>
      <c r="O183" s="346">
        <f t="shared" si="5"/>
        <v>3968289.72</v>
      </c>
      <c r="P183" s="346">
        <f t="shared" si="5"/>
        <v>3692136.56</v>
      </c>
      <c r="Q183" s="346">
        <f t="shared" si="5"/>
        <v>2394883.6800000002</v>
      </c>
      <c r="R183" s="346">
        <f t="shared" si="5"/>
        <v>1875869.72</v>
      </c>
      <c r="S183" s="346">
        <f t="shared" si="5"/>
        <v>1677874.9100000001</v>
      </c>
      <c r="T183" s="346">
        <f t="shared" si="5"/>
        <v>1508404.92</v>
      </c>
      <c r="U183" s="346">
        <f t="shared" si="5"/>
        <v>1514890.92</v>
      </c>
      <c r="V183" s="346">
        <f t="shared" si="5"/>
        <v>1514890.92</v>
      </c>
      <c r="W183" s="346">
        <f>SUM(W7+W9+W11+W13+W15+W17+W19+W21+W23+W25+W27+W29+W31+W33+W35+W37+W39+W41+W43+W45+W47+W49+W51+W53+W55+W57+W59+W61+W63+W65+W67+W69+W71+W73+W75+W77+W79+W81+W83+W85+W87+W89+W91+W93+W95+W97+W99+W101+W103+W105+W107+W109+W111+W113+W115+W117+W119+W121+W123+W125+W127+W129+W131+W133+W135+W137+W139+W141+W143+W145+W147+W149+W151+W153+W155+W157+W159+W161+W163+W165+W167+W169+W171+W173+W175+W177+W179+W181)</f>
        <v>8904461.5700000003</v>
      </c>
      <c r="X183" s="347">
        <f>SUM(X7+X9+X11+X13+X15+X17+X19+X21+X23+X25+X27+X29+X31+X33+X35+X37+X39+X41+X43+X45+X47+X49+X51+X53+X55+X57+X59+X61+X63+X65+X67+X69+X71+X73+X75+X77+X79+X81+X83+X85+X87+X89+X91+X93+X95+X97+X99+X101+X103+X105+X107+X109+X111+X113+X115+X117+X119+X121+X123+X125+X127+X129+X131+X133+X135+X137+X139+X141+X143+X145+X147+X149+X151+X153+X155+X157+X159+X161+X163+X165+X167+X169+X171+X173+X175+X177+X179+X181)</f>
        <v>60828188.139999993</v>
      </c>
    </row>
    <row r="184" spans="1:24" ht="13.5" thickBot="1" x14ac:dyDescent="0.25">
      <c r="A184" s="348"/>
      <c r="B184" s="591" t="s">
        <v>886</v>
      </c>
      <c r="C184" s="567"/>
      <c r="D184" s="567"/>
      <c r="E184" s="567"/>
      <c r="F184" s="567"/>
      <c r="G184" s="349"/>
      <c r="H184" s="350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182)+104800.15</f>
        <v>300000</v>
      </c>
      <c r="I184" s="350">
        <f t="shared" ref="I184:V184" si="6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182)</f>
        <v>224490</v>
      </c>
      <c r="J184" s="350">
        <f>SUM(J8+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178+J180+J182)</f>
        <v>203780</v>
      </c>
      <c r="K184" s="350">
        <f t="shared" si="6"/>
        <v>180735</v>
      </c>
      <c r="L184" s="350">
        <f t="shared" si="6"/>
        <v>159055</v>
      </c>
      <c r="M184" s="350">
        <f t="shared" si="6"/>
        <v>140460</v>
      </c>
      <c r="N184" s="350">
        <f t="shared" si="6"/>
        <v>123595</v>
      </c>
      <c r="O184" s="350">
        <f t="shared" si="6"/>
        <v>106985</v>
      </c>
      <c r="P184" s="350">
        <f t="shared" si="6"/>
        <v>90860</v>
      </c>
      <c r="Q184" s="350">
        <f t="shared" si="6"/>
        <v>76640</v>
      </c>
      <c r="R184" s="350">
        <f t="shared" si="6"/>
        <v>67720</v>
      </c>
      <c r="S184" s="350">
        <f t="shared" si="6"/>
        <v>60030</v>
      </c>
      <c r="T184" s="350">
        <f t="shared" si="6"/>
        <v>53420</v>
      </c>
      <c r="U184" s="350">
        <f t="shared" si="6"/>
        <v>47220</v>
      </c>
      <c r="V184" s="350">
        <f t="shared" si="6"/>
        <v>41290</v>
      </c>
      <c r="W184" s="350">
        <f>SUM(W8+W10+W12+W14+W16+W18+W20+W22+W24+W26+W28+W30+W32+W34+W36+W38+W40+W42+W44+W46+W48+W50+W52+W54+W56+W58+W60+W62+W64+W66+W68+W70+W72+W74+W76+W78+W80+W82+W84+W86+W88+W90+W92+W94+W96+W98+W100+W102+W104+W106+W108+W110+W112+W114+W116+W118+W120+W122+W124+W126+W128+W130+W132+W134+W136+W138+W140+W142+W144+W146+W148+W150+W152+W154+W156+W158+W160+W162+W164+W166+W168+W170+W172+W174+W176+W178+W180+W182)</f>
        <v>221535</v>
      </c>
      <c r="X184" s="351">
        <f>SUM(X8+X10+X12+X14+X16+X18+X20+X22+X24+X26+X28+X30+X32+X34+X36+X38+X40+X42+X44+X46+X48+X50+X52+X54+X56+X58+X60+X62+X64+X66+X68+X70+X72+X74+X76+X78+X80+X82+X84+X86+X88+X90+X92+X94+X96+X98+X100+X102+X104+X106+X108+X110+X112+X114+X116+X118+X120+X122+X124+X126+X128+X130+X132+X134+X136+X138+X140+X142+X144+X146+X148+X150+X152+X154+X156+X158+X160+X162+X164+X166+X168+X170+X172+X174+X176+X178+X180+X182)</f>
        <v>1993014.85</v>
      </c>
    </row>
    <row r="185" spans="1:24" ht="13.5" thickTop="1" x14ac:dyDescent="0.2">
      <c r="A185" s="352"/>
      <c r="B185" s="568" t="s">
        <v>887</v>
      </c>
      <c r="C185" s="569"/>
      <c r="D185" s="569"/>
      <c r="E185" s="569"/>
      <c r="F185" s="569"/>
      <c r="G185" s="353"/>
      <c r="H185" s="354">
        <f t="shared" ref="H185:V185" si="7">SUM(H183:H184)</f>
        <v>5140692.1000000006</v>
      </c>
      <c r="I185" s="354">
        <f t="shared" si="7"/>
        <v>5384848.0100000007</v>
      </c>
      <c r="J185" s="354">
        <f t="shared" si="7"/>
        <v>5780900.2700000005</v>
      </c>
      <c r="K185" s="354">
        <f t="shared" si="7"/>
        <v>5579161.3400000008</v>
      </c>
      <c r="L185" s="354">
        <f t="shared" si="7"/>
        <v>4854067.57</v>
      </c>
      <c r="M185" s="354">
        <f t="shared" si="7"/>
        <v>4415323.1600000011</v>
      </c>
      <c r="N185" s="354">
        <f t="shared" si="7"/>
        <v>4139338.7699999996</v>
      </c>
      <c r="O185" s="354">
        <f t="shared" si="7"/>
        <v>4075274.72</v>
      </c>
      <c r="P185" s="354">
        <f t="shared" si="7"/>
        <v>3782996.56</v>
      </c>
      <c r="Q185" s="354">
        <f t="shared" si="7"/>
        <v>2471523.6800000002</v>
      </c>
      <c r="R185" s="354">
        <f t="shared" si="7"/>
        <v>1943589.72</v>
      </c>
      <c r="S185" s="354">
        <f t="shared" si="7"/>
        <v>1737904.9100000001</v>
      </c>
      <c r="T185" s="354">
        <f t="shared" si="7"/>
        <v>1561824.92</v>
      </c>
      <c r="U185" s="354">
        <f t="shared" si="7"/>
        <v>1562110.92</v>
      </c>
      <c r="V185" s="354">
        <f t="shared" si="7"/>
        <v>1556180.92</v>
      </c>
      <c r="W185" s="354">
        <f>SUM(W183:W184)</f>
        <v>9125996.5700000003</v>
      </c>
      <c r="X185" s="355">
        <f>SUM(X183:X184)</f>
        <v>62821202.989999995</v>
      </c>
    </row>
    <row r="186" spans="1:24" x14ac:dyDescent="0.2">
      <c r="A186" s="356"/>
      <c r="B186" s="570" t="s">
        <v>888</v>
      </c>
      <c r="C186" s="571"/>
      <c r="D186" s="357"/>
      <c r="E186" s="358" t="s">
        <v>889</v>
      </c>
      <c r="F186" s="442">
        <v>49928005</v>
      </c>
      <c r="G186" s="359" t="s">
        <v>890</v>
      </c>
      <c r="H186" s="360">
        <f>SUM(H185/$F$186)</f>
        <v>0.10296209712364836</v>
      </c>
      <c r="I186" s="360">
        <f t="shared" ref="I186:V186" si="8">SUM(I185/$F$186)</f>
        <v>0.10785225666437104</v>
      </c>
      <c r="J186" s="360">
        <f t="shared" si="8"/>
        <v>0.11578472382383395</v>
      </c>
      <c r="K186" s="360">
        <f t="shared" si="8"/>
        <v>0.11174412716871024</v>
      </c>
      <c r="L186" s="360">
        <f t="shared" si="8"/>
        <v>9.7221340408053566E-2</v>
      </c>
      <c r="M186" s="360">
        <f t="shared" si="8"/>
        <v>8.8433799027219318E-2</v>
      </c>
      <c r="N186" s="360">
        <f t="shared" si="8"/>
        <v>8.290615196821903E-2</v>
      </c>
      <c r="O186" s="360">
        <f t="shared" si="8"/>
        <v>8.162302339138125E-2</v>
      </c>
      <c r="P186" s="360">
        <f t="shared" si="8"/>
        <v>7.5769031027776892E-2</v>
      </c>
      <c r="Q186" s="360">
        <f t="shared" si="8"/>
        <v>4.9501751171511864E-2</v>
      </c>
      <c r="R186" s="360">
        <f t="shared" si="8"/>
        <v>3.8927846606328455E-2</v>
      </c>
      <c r="S186" s="361">
        <f t="shared" si="8"/>
        <v>3.4808218553895758E-2</v>
      </c>
      <c r="T186" s="361">
        <f t="shared" si="8"/>
        <v>3.128154069044016E-2</v>
      </c>
      <c r="U186" s="361">
        <f t="shared" si="8"/>
        <v>3.128726893854461E-2</v>
      </c>
      <c r="V186" s="361">
        <f t="shared" si="8"/>
        <v>3.116849792015523E-2</v>
      </c>
      <c r="W186" s="361">
        <f>SUM(W185/$F$186)</f>
        <v>0.18278312081566248</v>
      </c>
      <c r="X186" s="362"/>
    </row>
    <row r="187" spans="1:24" x14ac:dyDescent="0.2">
      <c r="F187" s="363"/>
      <c r="G187" s="364"/>
      <c r="H187" s="365"/>
      <c r="I187" s="365"/>
      <c r="J187" s="365"/>
      <c r="K187" s="365"/>
      <c r="L187" s="365"/>
      <c r="M187" s="365"/>
      <c r="N187" s="365"/>
      <c r="O187" s="365"/>
      <c r="P187" s="365"/>
      <c r="Q187" s="365"/>
      <c r="R187" s="365"/>
      <c r="S187" s="365"/>
      <c r="T187" s="365"/>
      <c r="U187" s="365"/>
      <c r="V187" s="365"/>
      <c r="W187" s="365"/>
    </row>
    <row r="188" spans="1:24" s="366" customFormat="1" ht="15" hidden="1" customHeight="1" x14ac:dyDescent="0.2">
      <c r="B188" s="367"/>
      <c r="C188" s="367"/>
      <c r="D188" s="367"/>
      <c r="E188" s="592" t="s">
        <v>891</v>
      </c>
      <c r="F188" s="592"/>
      <c r="G188" s="592"/>
      <c r="I188" s="368">
        <f>I183-H183</f>
        <v>319665.91000000015</v>
      </c>
      <c r="J188" s="368">
        <f>J183-I183</f>
        <v>416762.25999999978</v>
      </c>
      <c r="K188" s="368">
        <f t="shared" ref="K188:V188" si="9">K183-J183</f>
        <v>-178693.9299999997</v>
      </c>
      <c r="L188" s="368">
        <f t="shared" si="9"/>
        <v>-703413.77000000048</v>
      </c>
      <c r="M188" s="368">
        <f t="shared" si="9"/>
        <v>-420149.40999999922</v>
      </c>
      <c r="N188" s="368">
        <f t="shared" si="9"/>
        <v>-259119.39000000153</v>
      </c>
      <c r="O188" s="368">
        <f t="shared" si="9"/>
        <v>-47454.049999999348</v>
      </c>
      <c r="P188" s="368">
        <f t="shared" si="9"/>
        <v>-276153.16000000015</v>
      </c>
      <c r="Q188" s="368">
        <f t="shared" si="9"/>
        <v>-1297252.8799999999</v>
      </c>
      <c r="R188" s="368">
        <f t="shared" si="9"/>
        <v>-519013.9600000002</v>
      </c>
      <c r="S188" s="368">
        <f t="shared" si="9"/>
        <v>-197994.80999999982</v>
      </c>
      <c r="T188" s="368">
        <f t="shared" si="9"/>
        <v>-169469.99000000022</v>
      </c>
      <c r="U188" s="368">
        <f t="shared" si="9"/>
        <v>6486</v>
      </c>
      <c r="V188" s="368">
        <f t="shared" si="9"/>
        <v>0</v>
      </c>
      <c r="W188" s="368"/>
      <c r="X188" s="369"/>
    </row>
    <row r="189" spans="1:24" s="256" customFormat="1" ht="15" hidden="1" customHeight="1" x14ac:dyDescent="0.2">
      <c r="B189" s="370"/>
      <c r="C189" s="371"/>
      <c r="D189" s="371"/>
      <c r="E189" s="371"/>
      <c r="F189" s="371"/>
      <c r="G189" s="371"/>
      <c r="P189" s="372"/>
      <c r="Q189" s="372"/>
      <c r="R189" s="372"/>
      <c r="S189" s="372"/>
      <c r="T189" s="372"/>
      <c r="U189" s="372"/>
      <c r="X189" s="373"/>
    </row>
    <row r="190" spans="1:24" s="256" customFormat="1" ht="15.75" hidden="1" customHeight="1" x14ac:dyDescent="0.2">
      <c r="B190" s="370"/>
      <c r="C190" s="366"/>
      <c r="D190" s="366"/>
      <c r="E190" s="592"/>
      <c r="F190" s="592"/>
      <c r="G190" s="592"/>
      <c r="H190" s="374"/>
      <c r="I190" s="372"/>
      <c r="J190" s="375"/>
      <c r="K190" s="376"/>
      <c r="L190" s="377"/>
      <c r="M190" s="378"/>
      <c r="X190" s="373"/>
    </row>
    <row r="191" spans="1:24" s="383" customFormat="1" x14ac:dyDescent="0.2">
      <c r="A191" s="379"/>
      <c r="B191" s="380" t="s">
        <v>892</v>
      </c>
      <c r="C191" s="379"/>
      <c r="D191" s="379"/>
      <c r="E191" s="261"/>
      <c r="F191" s="381"/>
      <c r="G191" s="381"/>
      <c r="H191" s="382"/>
      <c r="I191" s="382"/>
      <c r="J191" s="382"/>
      <c r="K191" s="382"/>
      <c r="L191" s="382"/>
      <c r="M191" s="382"/>
      <c r="N191" s="382"/>
      <c r="O191" s="382"/>
      <c r="P191" s="382"/>
      <c r="Q191" s="382"/>
      <c r="R191" s="382"/>
      <c r="S191" s="382"/>
      <c r="T191" s="382"/>
      <c r="U191" s="382"/>
      <c r="V191" s="382"/>
      <c r="W191" s="382"/>
      <c r="X191" s="382"/>
    </row>
    <row r="192" spans="1:24" s="383" customFormat="1" ht="12.75" customHeight="1" x14ac:dyDescent="0.2">
      <c r="A192" s="589">
        <v>1</v>
      </c>
      <c r="B192" s="309" t="s">
        <v>649</v>
      </c>
      <c r="C192" s="581" t="s">
        <v>893</v>
      </c>
      <c r="D192" s="384"/>
      <c r="E192" s="583">
        <v>5122338.5199999996</v>
      </c>
      <c r="F192" s="585" t="s">
        <v>894</v>
      </c>
      <c r="G192" s="321" t="s">
        <v>646</v>
      </c>
      <c r="H192" s="385">
        <v>216000</v>
      </c>
      <c r="I192" s="385">
        <v>216000</v>
      </c>
      <c r="J192" s="385">
        <v>216000</v>
      </c>
      <c r="K192" s="385">
        <v>216000</v>
      </c>
      <c r="L192" s="385">
        <v>216000</v>
      </c>
      <c r="M192" s="385">
        <v>216000</v>
      </c>
      <c r="N192" s="385">
        <v>216000</v>
      </c>
      <c r="O192" s="385">
        <v>216000</v>
      </c>
      <c r="P192" s="385">
        <v>216000</v>
      </c>
      <c r="Q192" s="385">
        <v>216000</v>
      </c>
      <c r="R192" s="385">
        <v>216000</v>
      </c>
      <c r="S192" s="385">
        <v>216000</v>
      </c>
      <c r="T192" s="385">
        <v>216000</v>
      </c>
      <c r="U192" s="385">
        <v>0</v>
      </c>
      <c r="V192" s="385"/>
      <c r="W192" s="386"/>
      <c r="X192" s="268">
        <f t="shared" ref="X192:X201" si="10">SUM(H192:V192)</f>
        <v>2808000</v>
      </c>
    </row>
    <row r="193" spans="1:24" s="383" customFormat="1" x14ac:dyDescent="0.2">
      <c r="A193" s="590"/>
      <c r="B193" s="311" t="s">
        <v>895</v>
      </c>
      <c r="C193" s="582"/>
      <c r="D193" s="387"/>
      <c r="E193" s="584"/>
      <c r="F193" s="586"/>
      <c r="G193" s="322">
        <v>7.0000000000000001E-3</v>
      </c>
      <c r="H193" s="388">
        <v>14070</v>
      </c>
      <c r="I193" s="388">
        <v>12975</v>
      </c>
      <c r="J193" s="388">
        <v>11910</v>
      </c>
      <c r="K193" s="388">
        <v>10785</v>
      </c>
      <c r="L193" s="388">
        <v>9690</v>
      </c>
      <c r="M193" s="388">
        <v>8595</v>
      </c>
      <c r="N193" s="388">
        <v>7520</v>
      </c>
      <c r="O193" s="388">
        <v>6405</v>
      </c>
      <c r="P193" s="388">
        <v>5310</v>
      </c>
      <c r="Q193" s="388">
        <v>4215</v>
      </c>
      <c r="R193" s="388">
        <v>3130</v>
      </c>
      <c r="S193" s="388">
        <v>2025</v>
      </c>
      <c r="T193" s="388">
        <v>930</v>
      </c>
      <c r="U193" s="388">
        <v>65</v>
      </c>
      <c r="V193" s="388"/>
      <c r="W193" s="389"/>
      <c r="X193" s="274">
        <f t="shared" si="10"/>
        <v>97625</v>
      </c>
    </row>
    <row r="194" spans="1:24" s="383" customFormat="1" ht="12.75" customHeight="1" x14ac:dyDescent="0.2">
      <c r="A194" s="589">
        <v>2</v>
      </c>
      <c r="B194" s="309" t="s">
        <v>896</v>
      </c>
      <c r="C194" s="581" t="s">
        <v>897</v>
      </c>
      <c r="D194" s="384"/>
      <c r="E194" s="583">
        <v>435398.77</v>
      </c>
      <c r="F194" s="585" t="s">
        <v>898</v>
      </c>
      <c r="G194" s="321" t="s">
        <v>646</v>
      </c>
      <c r="H194" s="385">
        <v>69592.399999999994</v>
      </c>
      <c r="I194" s="385">
        <v>52637.09</v>
      </c>
      <c r="J194" s="385"/>
      <c r="K194" s="385"/>
      <c r="L194" s="385"/>
      <c r="M194" s="385"/>
      <c r="N194" s="385"/>
      <c r="O194" s="385"/>
      <c r="P194" s="385"/>
      <c r="Q194" s="385"/>
      <c r="R194" s="385"/>
      <c r="S194" s="385"/>
      <c r="T194" s="385"/>
      <c r="U194" s="385"/>
      <c r="V194" s="386"/>
      <c r="W194" s="386"/>
      <c r="X194" s="268">
        <f t="shared" si="10"/>
        <v>122229.48999999999</v>
      </c>
    </row>
    <row r="195" spans="1:24" s="383" customFormat="1" ht="13.5" customHeight="1" x14ac:dyDescent="0.2">
      <c r="A195" s="590"/>
      <c r="B195" s="390" t="s">
        <v>899</v>
      </c>
      <c r="C195" s="582"/>
      <c r="D195" s="387"/>
      <c r="E195" s="584"/>
      <c r="F195" s="586"/>
      <c r="G195" s="322">
        <v>1.9970000000000002E-2</v>
      </c>
      <c r="H195" s="388">
        <v>1855</v>
      </c>
      <c r="I195" s="388">
        <v>445</v>
      </c>
      <c r="J195" s="388"/>
      <c r="K195" s="388"/>
      <c r="L195" s="388"/>
      <c r="M195" s="388"/>
      <c r="N195" s="388"/>
      <c r="O195" s="388"/>
      <c r="P195" s="388"/>
      <c r="Q195" s="388"/>
      <c r="R195" s="388"/>
      <c r="S195" s="388"/>
      <c r="T195" s="388"/>
      <c r="U195" s="388"/>
      <c r="V195" s="389"/>
      <c r="W195" s="389"/>
      <c r="X195" s="274">
        <f t="shared" si="10"/>
        <v>2300</v>
      </c>
    </row>
    <row r="196" spans="1:24" s="383" customFormat="1" ht="12.75" customHeight="1" x14ac:dyDescent="0.2">
      <c r="A196" s="589">
        <v>3</v>
      </c>
      <c r="B196" s="309" t="s">
        <v>649</v>
      </c>
      <c r="C196" s="581" t="s">
        <v>900</v>
      </c>
      <c r="D196" s="384"/>
      <c r="E196" s="583">
        <v>522193.95</v>
      </c>
      <c r="F196" s="585" t="s">
        <v>901</v>
      </c>
      <c r="G196" s="321" t="s">
        <v>646</v>
      </c>
      <c r="H196" s="385"/>
      <c r="I196" s="385"/>
      <c r="J196" s="385"/>
      <c r="K196" s="385"/>
      <c r="L196" s="385">
        <f>27159.73-5400</f>
        <v>21759.73</v>
      </c>
      <c r="M196" s="385">
        <v>32139.84</v>
      </c>
      <c r="N196" s="385">
        <v>32139.84</v>
      </c>
      <c r="O196" s="385">
        <v>32139.84</v>
      </c>
      <c r="P196" s="385">
        <v>32139.84</v>
      </c>
      <c r="Q196" s="385">
        <v>32139.84</v>
      </c>
      <c r="R196" s="385">
        <v>32139.84</v>
      </c>
      <c r="S196" s="385">
        <v>32139.84</v>
      </c>
      <c r="T196" s="385">
        <v>32061.39</v>
      </c>
      <c r="U196" s="385">
        <v>0</v>
      </c>
      <c r="V196" s="386"/>
      <c r="W196" s="386"/>
      <c r="X196" s="268">
        <f>SUM(H196:V196)</f>
        <v>278800</v>
      </c>
    </row>
    <row r="197" spans="1:24" s="383" customFormat="1" x14ac:dyDescent="0.2">
      <c r="A197" s="590"/>
      <c r="B197" s="311" t="s">
        <v>902</v>
      </c>
      <c r="C197" s="582"/>
      <c r="D197" s="387"/>
      <c r="E197" s="584"/>
      <c r="F197" s="586"/>
      <c r="G197" s="322">
        <v>7.0000000000000001E-3</v>
      </c>
      <c r="H197" s="388">
        <v>1420</v>
      </c>
      <c r="I197" s="388">
        <v>1415</v>
      </c>
      <c r="J197" s="388">
        <v>1420</v>
      </c>
      <c r="K197" s="388">
        <v>1415</v>
      </c>
      <c r="L197" s="388">
        <v>1405</v>
      </c>
      <c r="M197" s="388">
        <v>1280</v>
      </c>
      <c r="N197" s="388">
        <v>1120</v>
      </c>
      <c r="O197" s="388">
        <v>955</v>
      </c>
      <c r="P197" s="388">
        <v>790</v>
      </c>
      <c r="Q197" s="388">
        <v>630</v>
      </c>
      <c r="R197" s="388">
        <v>465</v>
      </c>
      <c r="S197" s="388">
        <v>305</v>
      </c>
      <c r="T197" s="388">
        <v>140</v>
      </c>
      <c r="U197" s="388">
        <v>10</v>
      </c>
      <c r="V197" s="389"/>
      <c r="W197" s="389"/>
      <c r="X197" s="274">
        <f t="shared" si="10"/>
        <v>12770</v>
      </c>
    </row>
    <row r="198" spans="1:24" s="383" customFormat="1" ht="12.75" customHeight="1" x14ac:dyDescent="0.2">
      <c r="A198" s="579">
        <v>4</v>
      </c>
      <c r="B198" s="309" t="s">
        <v>649</v>
      </c>
      <c r="C198" s="581" t="s">
        <v>903</v>
      </c>
      <c r="D198" s="384"/>
      <c r="E198" s="583">
        <v>305000</v>
      </c>
      <c r="F198" s="585" t="s">
        <v>904</v>
      </c>
      <c r="G198" s="321" t="s">
        <v>646</v>
      </c>
      <c r="H198" s="385"/>
      <c r="I198" s="385">
        <v>15642</v>
      </c>
      <c r="J198" s="385">
        <v>31284</v>
      </c>
      <c r="K198" s="385">
        <v>31284</v>
      </c>
      <c r="L198" s="385">
        <v>31284</v>
      </c>
      <c r="M198" s="385">
        <v>31284</v>
      </c>
      <c r="N198" s="385">
        <v>31284</v>
      </c>
      <c r="O198" s="385">
        <v>23463</v>
      </c>
      <c r="P198" s="385"/>
      <c r="Q198" s="385"/>
      <c r="R198" s="385"/>
      <c r="S198" s="385"/>
      <c r="T198" s="385"/>
      <c r="U198" s="385"/>
      <c r="V198" s="385"/>
      <c r="W198" s="386"/>
      <c r="X198" s="268">
        <f t="shared" si="10"/>
        <v>195525</v>
      </c>
    </row>
    <row r="199" spans="1:24" s="383" customFormat="1" x14ac:dyDescent="0.2">
      <c r="A199" s="580"/>
      <c r="B199" s="311" t="s">
        <v>905</v>
      </c>
      <c r="C199" s="582"/>
      <c r="D199" s="387"/>
      <c r="E199" s="584"/>
      <c r="F199" s="586"/>
      <c r="G199" s="322">
        <v>7.0000000000000001E-3</v>
      </c>
      <c r="H199" s="388">
        <v>1015</v>
      </c>
      <c r="I199" s="388">
        <v>1015</v>
      </c>
      <c r="J199" s="388">
        <v>910</v>
      </c>
      <c r="K199" s="388">
        <v>745</v>
      </c>
      <c r="L199" s="388">
        <v>585</v>
      </c>
      <c r="M199" s="388">
        <v>425</v>
      </c>
      <c r="N199" s="388">
        <v>260</v>
      </c>
      <c r="O199" s="388">
        <v>100</v>
      </c>
      <c r="P199" s="388"/>
      <c r="Q199" s="388"/>
      <c r="R199" s="388"/>
      <c r="S199" s="388"/>
      <c r="T199" s="388"/>
      <c r="U199" s="388"/>
      <c r="V199" s="388"/>
      <c r="W199" s="389"/>
      <c r="X199" s="274">
        <f t="shared" si="10"/>
        <v>5055</v>
      </c>
    </row>
    <row r="200" spans="1:24" s="383" customFormat="1" hidden="1" x14ac:dyDescent="0.2">
      <c r="A200" s="579"/>
      <c r="B200" s="309"/>
      <c r="C200" s="581"/>
      <c r="D200" s="384"/>
      <c r="E200" s="583"/>
      <c r="F200" s="587"/>
      <c r="G200" s="391"/>
      <c r="H200" s="385"/>
      <c r="I200" s="385"/>
      <c r="J200" s="385"/>
      <c r="K200" s="385"/>
      <c r="L200" s="385"/>
      <c r="M200" s="385"/>
      <c r="N200" s="385"/>
      <c r="O200" s="385"/>
      <c r="P200" s="385"/>
      <c r="Q200" s="385"/>
      <c r="R200" s="385"/>
      <c r="S200" s="385"/>
      <c r="T200" s="385"/>
      <c r="U200" s="385"/>
      <c r="V200" s="385"/>
      <c r="W200" s="386"/>
      <c r="X200" s="392">
        <f t="shared" si="10"/>
        <v>0</v>
      </c>
    </row>
    <row r="201" spans="1:24" s="383" customFormat="1" hidden="1" x14ac:dyDescent="0.2">
      <c r="A201" s="580"/>
      <c r="B201" s="311"/>
      <c r="C201" s="582"/>
      <c r="D201" s="387"/>
      <c r="E201" s="584"/>
      <c r="F201" s="588"/>
      <c r="G201" s="393"/>
      <c r="H201" s="388"/>
      <c r="I201" s="388"/>
      <c r="J201" s="388"/>
      <c r="K201" s="388"/>
      <c r="L201" s="388"/>
      <c r="M201" s="388"/>
      <c r="N201" s="388"/>
      <c r="O201" s="388"/>
      <c r="P201" s="388"/>
      <c r="Q201" s="388"/>
      <c r="R201" s="388"/>
      <c r="S201" s="388"/>
      <c r="T201" s="388"/>
      <c r="U201" s="388"/>
      <c r="V201" s="388"/>
      <c r="W201" s="389"/>
      <c r="X201" s="394">
        <f t="shared" si="10"/>
        <v>0</v>
      </c>
    </row>
    <row r="202" spans="1:24" s="383" customFormat="1" x14ac:dyDescent="0.2">
      <c r="A202" s="395"/>
      <c r="B202" s="572" t="s">
        <v>885</v>
      </c>
      <c r="C202" s="573"/>
      <c r="D202" s="573"/>
      <c r="E202" s="573"/>
      <c r="F202" s="574"/>
      <c r="G202" s="345"/>
      <c r="H202" s="346">
        <f t="shared" ref="H202:V203" si="11">+H192+H194+H196+H198+H200</f>
        <v>285592.40000000002</v>
      </c>
      <c r="I202" s="346">
        <f t="shared" si="11"/>
        <v>284279.08999999997</v>
      </c>
      <c r="J202" s="346">
        <f t="shared" si="11"/>
        <v>247284</v>
      </c>
      <c r="K202" s="346">
        <f t="shared" si="11"/>
        <v>247284</v>
      </c>
      <c r="L202" s="346">
        <f t="shared" si="11"/>
        <v>269043.73</v>
      </c>
      <c r="M202" s="346">
        <f t="shared" si="11"/>
        <v>279423.83999999997</v>
      </c>
      <c r="N202" s="346">
        <f t="shared" si="11"/>
        <v>279423.83999999997</v>
      </c>
      <c r="O202" s="346">
        <f t="shared" si="11"/>
        <v>271602.83999999997</v>
      </c>
      <c r="P202" s="346">
        <f t="shared" si="11"/>
        <v>248139.84</v>
      </c>
      <c r="Q202" s="346">
        <f t="shared" si="11"/>
        <v>248139.84</v>
      </c>
      <c r="R202" s="346">
        <f t="shared" si="11"/>
        <v>248139.84</v>
      </c>
      <c r="S202" s="346">
        <f t="shared" si="11"/>
        <v>248139.84</v>
      </c>
      <c r="T202" s="346">
        <f t="shared" si="11"/>
        <v>248061.39</v>
      </c>
      <c r="U202" s="346">
        <f t="shared" si="11"/>
        <v>0</v>
      </c>
      <c r="V202" s="346">
        <f t="shared" si="11"/>
        <v>0</v>
      </c>
      <c r="W202" s="346">
        <f>+W192+W194+W196+W198+W200</f>
        <v>0</v>
      </c>
      <c r="X202" s="347">
        <f>+X192+X194+X196+X198+X200</f>
        <v>3404554.49</v>
      </c>
    </row>
    <row r="203" spans="1:24" s="383" customFormat="1" ht="13.5" thickBot="1" x14ac:dyDescent="0.25">
      <c r="A203" s="396"/>
      <c r="B203" s="567" t="s">
        <v>886</v>
      </c>
      <c r="C203" s="567"/>
      <c r="D203" s="567"/>
      <c r="E203" s="567"/>
      <c r="F203" s="567"/>
      <c r="G203" s="397"/>
      <c r="H203" s="350">
        <f t="shared" si="11"/>
        <v>18360</v>
      </c>
      <c r="I203" s="350">
        <f t="shared" si="11"/>
        <v>15850</v>
      </c>
      <c r="J203" s="350">
        <f t="shared" si="11"/>
        <v>14240</v>
      </c>
      <c r="K203" s="350">
        <f t="shared" si="11"/>
        <v>12945</v>
      </c>
      <c r="L203" s="350">
        <f t="shared" si="11"/>
        <v>11680</v>
      </c>
      <c r="M203" s="350">
        <f t="shared" si="11"/>
        <v>10300</v>
      </c>
      <c r="N203" s="350">
        <f t="shared" si="11"/>
        <v>8900</v>
      </c>
      <c r="O203" s="350">
        <f t="shared" si="11"/>
        <v>7460</v>
      </c>
      <c r="P203" s="350">
        <f t="shared" si="11"/>
        <v>6100</v>
      </c>
      <c r="Q203" s="350">
        <f t="shared" si="11"/>
        <v>4845</v>
      </c>
      <c r="R203" s="350">
        <f t="shared" si="11"/>
        <v>3595</v>
      </c>
      <c r="S203" s="350">
        <f t="shared" si="11"/>
        <v>2330</v>
      </c>
      <c r="T203" s="350">
        <f t="shared" si="11"/>
        <v>1070</v>
      </c>
      <c r="U203" s="350">
        <f t="shared" si="11"/>
        <v>75</v>
      </c>
      <c r="V203" s="350">
        <f t="shared" si="11"/>
        <v>0</v>
      </c>
      <c r="W203" s="350">
        <f>+W193+W195+W197+W199+W201</f>
        <v>0</v>
      </c>
      <c r="X203" s="351">
        <f>+X193+X195+X197+X199+X201</f>
        <v>117750</v>
      </c>
    </row>
    <row r="204" spans="1:24" s="383" customFormat="1" ht="13.5" thickTop="1" x14ac:dyDescent="0.2">
      <c r="A204" s="398"/>
      <c r="B204" s="575" t="s">
        <v>906</v>
      </c>
      <c r="C204" s="576"/>
      <c r="D204" s="576"/>
      <c r="E204" s="576"/>
      <c r="F204" s="576"/>
      <c r="G204" s="399"/>
      <c r="H204" s="400">
        <f t="shared" ref="H204:V204" si="12">SUM(H202:H203)</f>
        <v>303952.40000000002</v>
      </c>
      <c r="I204" s="400">
        <f t="shared" si="12"/>
        <v>300129.08999999997</v>
      </c>
      <c r="J204" s="400">
        <f t="shared" si="12"/>
        <v>261524</v>
      </c>
      <c r="K204" s="400">
        <f t="shared" si="12"/>
        <v>260229</v>
      </c>
      <c r="L204" s="400">
        <f t="shared" si="12"/>
        <v>280723.73</v>
      </c>
      <c r="M204" s="400">
        <f t="shared" si="12"/>
        <v>289723.83999999997</v>
      </c>
      <c r="N204" s="400">
        <f t="shared" si="12"/>
        <v>288323.83999999997</v>
      </c>
      <c r="O204" s="400">
        <f t="shared" si="12"/>
        <v>279062.83999999997</v>
      </c>
      <c r="P204" s="400">
        <f t="shared" si="12"/>
        <v>254239.84</v>
      </c>
      <c r="Q204" s="400">
        <f t="shared" si="12"/>
        <v>252984.84</v>
      </c>
      <c r="R204" s="400">
        <f t="shared" si="12"/>
        <v>251734.84</v>
      </c>
      <c r="S204" s="400">
        <f t="shared" si="12"/>
        <v>250469.84</v>
      </c>
      <c r="T204" s="400">
        <f t="shared" si="12"/>
        <v>249131.39</v>
      </c>
      <c r="U204" s="400">
        <f t="shared" si="12"/>
        <v>75</v>
      </c>
      <c r="V204" s="400">
        <f t="shared" si="12"/>
        <v>0</v>
      </c>
      <c r="W204" s="400">
        <f>SUM(W202:W203)</f>
        <v>0</v>
      </c>
      <c r="X204" s="401">
        <f>SUM(X202:X203)</f>
        <v>3522304.49</v>
      </c>
    </row>
    <row r="205" spans="1:24" x14ac:dyDescent="0.2">
      <c r="F205" s="577"/>
      <c r="G205" s="577"/>
      <c r="Q205" s="402"/>
      <c r="R205" s="402"/>
      <c r="S205" s="402"/>
      <c r="T205" s="402"/>
      <c r="U205" s="402"/>
      <c r="V205" s="402"/>
      <c r="W205" s="402"/>
    </row>
    <row r="206" spans="1:24" s="383" customFormat="1" ht="12" customHeight="1" x14ac:dyDescent="0.2">
      <c r="A206" s="248"/>
      <c r="B206" s="578" t="s">
        <v>907</v>
      </c>
      <c r="C206" s="578"/>
      <c r="D206" s="403"/>
      <c r="E206" s="261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  <c r="R206" s="248"/>
      <c r="S206" s="248"/>
      <c r="T206" s="248"/>
      <c r="U206" s="248"/>
      <c r="V206" s="248"/>
      <c r="W206" s="248"/>
      <c r="X206" s="248"/>
    </row>
    <row r="207" spans="1:24" s="383" customFormat="1" x14ac:dyDescent="0.2">
      <c r="A207" s="395"/>
      <c r="B207" s="572" t="s">
        <v>908</v>
      </c>
      <c r="C207" s="573"/>
      <c r="D207" s="573"/>
      <c r="E207" s="573"/>
      <c r="F207" s="574"/>
      <c r="G207" s="345"/>
      <c r="H207" s="404">
        <f t="shared" ref="H207:W208" si="13">H183+H202</f>
        <v>5126284.5000000009</v>
      </c>
      <c r="I207" s="404">
        <f t="shared" si="13"/>
        <v>5444637.1000000006</v>
      </c>
      <c r="J207" s="404">
        <f t="shared" si="13"/>
        <v>5824404.2700000005</v>
      </c>
      <c r="K207" s="404">
        <f t="shared" si="13"/>
        <v>5645710.3400000008</v>
      </c>
      <c r="L207" s="404">
        <f t="shared" si="13"/>
        <v>4964056.3000000007</v>
      </c>
      <c r="M207" s="404">
        <f t="shared" si="13"/>
        <v>4554287.0000000009</v>
      </c>
      <c r="N207" s="404">
        <f t="shared" si="13"/>
        <v>4295167.6099999994</v>
      </c>
      <c r="O207" s="404">
        <f t="shared" si="13"/>
        <v>4239892.5600000005</v>
      </c>
      <c r="P207" s="404">
        <f t="shared" si="13"/>
        <v>3940276.4</v>
      </c>
      <c r="Q207" s="404">
        <f t="shared" si="13"/>
        <v>2643023.52</v>
      </c>
      <c r="R207" s="404">
        <f t="shared" si="13"/>
        <v>2124009.56</v>
      </c>
      <c r="S207" s="404">
        <f t="shared" si="13"/>
        <v>1926014.7500000002</v>
      </c>
      <c r="T207" s="404">
        <f t="shared" si="13"/>
        <v>1756466.31</v>
      </c>
      <c r="U207" s="404">
        <f t="shared" si="13"/>
        <v>1514890.92</v>
      </c>
      <c r="V207" s="404">
        <f t="shared" si="13"/>
        <v>1514890.92</v>
      </c>
      <c r="W207" s="404">
        <f t="shared" si="13"/>
        <v>8904461.5700000003</v>
      </c>
      <c r="X207" s="405">
        <f>SUM(H207:W207)</f>
        <v>64418473.630000018</v>
      </c>
    </row>
    <row r="208" spans="1:24" s="383" customFormat="1" ht="13.5" thickBot="1" x14ac:dyDescent="0.25">
      <c r="A208" s="396"/>
      <c r="B208" s="567" t="s">
        <v>886</v>
      </c>
      <c r="C208" s="567"/>
      <c r="D208" s="567"/>
      <c r="E208" s="567"/>
      <c r="F208" s="567"/>
      <c r="G208" s="397"/>
      <c r="H208" s="406">
        <f t="shared" si="13"/>
        <v>318360</v>
      </c>
      <c r="I208" s="406">
        <f t="shared" si="13"/>
        <v>240340</v>
      </c>
      <c r="J208" s="406">
        <f t="shared" si="13"/>
        <v>218020</v>
      </c>
      <c r="K208" s="406">
        <f t="shared" si="13"/>
        <v>193680</v>
      </c>
      <c r="L208" s="406">
        <f t="shared" si="13"/>
        <v>170735</v>
      </c>
      <c r="M208" s="406">
        <f t="shared" si="13"/>
        <v>150760</v>
      </c>
      <c r="N208" s="406">
        <f t="shared" si="13"/>
        <v>132495</v>
      </c>
      <c r="O208" s="406">
        <f t="shared" si="13"/>
        <v>114445</v>
      </c>
      <c r="P208" s="406">
        <f t="shared" si="13"/>
        <v>96960</v>
      </c>
      <c r="Q208" s="406">
        <f t="shared" si="13"/>
        <v>81485</v>
      </c>
      <c r="R208" s="406">
        <f t="shared" si="13"/>
        <v>71315</v>
      </c>
      <c r="S208" s="406">
        <f t="shared" si="13"/>
        <v>62360</v>
      </c>
      <c r="T208" s="406">
        <f t="shared" si="13"/>
        <v>54490</v>
      </c>
      <c r="U208" s="406">
        <f t="shared" si="13"/>
        <v>47295</v>
      </c>
      <c r="V208" s="406">
        <f t="shared" si="13"/>
        <v>41290</v>
      </c>
      <c r="W208" s="406">
        <f t="shared" si="13"/>
        <v>221535</v>
      </c>
      <c r="X208" s="407">
        <f>SUM(H208:W208)</f>
        <v>2215565</v>
      </c>
    </row>
    <row r="209" spans="1:24" s="383" customFormat="1" ht="13.5" thickTop="1" x14ac:dyDescent="0.2">
      <c r="A209" s="352"/>
      <c r="B209" s="568" t="s">
        <v>642</v>
      </c>
      <c r="C209" s="569"/>
      <c r="D209" s="569"/>
      <c r="E209" s="569"/>
      <c r="F209" s="569"/>
      <c r="G209" s="353"/>
      <c r="H209" s="354">
        <f t="shared" ref="H209:U209" si="14">SUM(H207:H208)</f>
        <v>5444644.5000000009</v>
      </c>
      <c r="I209" s="354">
        <f t="shared" si="14"/>
        <v>5684977.1000000006</v>
      </c>
      <c r="J209" s="354">
        <f t="shared" si="14"/>
        <v>6042424.2700000005</v>
      </c>
      <c r="K209" s="354">
        <f t="shared" si="14"/>
        <v>5839390.3400000008</v>
      </c>
      <c r="L209" s="354">
        <f t="shared" si="14"/>
        <v>5134791.3000000007</v>
      </c>
      <c r="M209" s="354">
        <f t="shared" si="14"/>
        <v>4705047.0000000009</v>
      </c>
      <c r="N209" s="354">
        <f t="shared" si="14"/>
        <v>4427662.6099999994</v>
      </c>
      <c r="O209" s="354">
        <f t="shared" si="14"/>
        <v>4354337.5600000005</v>
      </c>
      <c r="P209" s="354">
        <f t="shared" si="14"/>
        <v>4037236.4</v>
      </c>
      <c r="Q209" s="354">
        <f t="shared" si="14"/>
        <v>2724508.52</v>
      </c>
      <c r="R209" s="354">
        <f t="shared" si="14"/>
        <v>2195324.56</v>
      </c>
      <c r="S209" s="354">
        <f t="shared" si="14"/>
        <v>1988374.7500000002</v>
      </c>
      <c r="T209" s="354">
        <f t="shared" si="14"/>
        <v>1810956.31</v>
      </c>
      <c r="U209" s="354">
        <f t="shared" si="14"/>
        <v>1562185.92</v>
      </c>
      <c r="V209" s="354">
        <f>SUM(V207:V208)</f>
        <v>1556180.92</v>
      </c>
      <c r="W209" s="354">
        <f>SUM(W207:W208)</f>
        <v>9125996.5700000003</v>
      </c>
      <c r="X209" s="408">
        <f>SUM(X207:X208)</f>
        <v>66634038.630000018</v>
      </c>
    </row>
    <row r="210" spans="1:24" s="383" customFormat="1" x14ac:dyDescent="0.2">
      <c r="A210" s="356"/>
      <c r="B210" s="570" t="s">
        <v>888</v>
      </c>
      <c r="C210" s="571"/>
      <c r="D210" s="357"/>
      <c r="E210" s="358" t="s">
        <v>889</v>
      </c>
      <c r="F210" s="442">
        <f>F186</f>
        <v>49928005</v>
      </c>
      <c r="G210" s="359" t="s">
        <v>890</v>
      </c>
      <c r="H210" s="360">
        <f t="shared" ref="H210:V210" si="15">SUM(H209/$F$210)</f>
        <v>0.10904991096680111</v>
      </c>
      <c r="I210" s="360">
        <f t="shared" si="15"/>
        <v>0.11386349404507552</v>
      </c>
      <c r="J210" s="360">
        <f t="shared" si="15"/>
        <v>0.12102274605204034</v>
      </c>
      <c r="K210" s="360">
        <f t="shared" si="15"/>
        <v>0.11695621204973042</v>
      </c>
      <c r="L210" s="360">
        <f t="shared" si="15"/>
        <v>0.10284391094737313</v>
      </c>
      <c r="M210" s="360">
        <f t="shared" si="15"/>
        <v>9.4236631325445533E-2</v>
      </c>
      <c r="N210" s="360">
        <f t="shared" si="15"/>
        <v>8.8680943891108796E-2</v>
      </c>
      <c r="O210" s="360">
        <f t="shared" si="15"/>
        <v>8.721232823142043E-2</v>
      </c>
      <c r="P210" s="360">
        <f t="shared" si="15"/>
        <v>8.0861159984261341E-2</v>
      </c>
      <c r="Q210" s="360">
        <f t="shared" si="15"/>
        <v>5.456874393439113E-2</v>
      </c>
      <c r="R210" s="360">
        <f t="shared" si="15"/>
        <v>4.3969803319800181E-2</v>
      </c>
      <c r="S210" s="361">
        <f t="shared" si="15"/>
        <v>3.9824838785367057E-2</v>
      </c>
      <c r="T210" s="361">
        <f t="shared" si="15"/>
        <v>3.627135332164784E-2</v>
      </c>
      <c r="U210" s="361">
        <f t="shared" si="15"/>
        <v>3.1288771101509058E-2</v>
      </c>
      <c r="V210" s="361">
        <f t="shared" si="15"/>
        <v>3.116849792015523E-2</v>
      </c>
      <c r="W210" s="361">
        <f>SUM(W209/$F$210)</f>
        <v>0.18278312081566248</v>
      </c>
      <c r="X210" s="409"/>
    </row>
    <row r="211" spans="1:24" s="383" customFormat="1" x14ac:dyDescent="0.2">
      <c r="A211" s="248"/>
      <c r="B211" s="310"/>
      <c r="C211" s="261"/>
      <c r="D211" s="261"/>
      <c r="E211" s="261"/>
      <c r="F211" s="363"/>
      <c r="G211" s="364"/>
      <c r="H211" s="365"/>
      <c r="I211" s="365"/>
      <c r="J211" s="365"/>
      <c r="K211" s="410"/>
      <c r="L211" s="365"/>
      <c r="M211" s="365"/>
      <c r="N211" s="365"/>
      <c r="O211" s="365"/>
      <c r="P211" s="365"/>
      <c r="Q211" s="365"/>
      <c r="R211" s="365"/>
      <c r="S211" s="365"/>
      <c r="T211" s="365"/>
      <c r="U211" s="365"/>
      <c r="V211" s="365"/>
      <c r="W211" s="365"/>
      <c r="X211" s="248"/>
    </row>
    <row r="212" spans="1:24" s="383" customFormat="1" x14ac:dyDescent="0.2">
      <c r="A212" s="248"/>
      <c r="B212" s="310"/>
      <c r="C212" s="261"/>
      <c r="D212" s="261"/>
      <c r="E212" s="261"/>
      <c r="F212" s="248"/>
      <c r="G212" s="248"/>
      <c r="H212" s="248"/>
      <c r="I212" s="248"/>
      <c r="J212" s="248"/>
      <c r="K212" s="261"/>
      <c r="L212" s="248"/>
      <c r="M212" s="411"/>
      <c r="N212" s="411"/>
      <c r="O212" s="411"/>
      <c r="P212" s="411"/>
      <c r="Q212" s="411"/>
      <c r="R212" s="411"/>
      <c r="S212" s="411"/>
      <c r="T212" s="411"/>
      <c r="U212" s="411"/>
      <c r="V212" s="248"/>
      <c r="W212" s="248"/>
      <c r="X212" s="248"/>
    </row>
    <row r="213" spans="1:24" s="383" customFormat="1" ht="18.75" x14ac:dyDescent="0.3">
      <c r="A213" s="248"/>
      <c r="B213" s="310"/>
      <c r="C213" s="261"/>
      <c r="D213" s="261"/>
      <c r="E213" s="261"/>
      <c r="F213" s="248"/>
      <c r="G213" s="248"/>
      <c r="H213" s="248"/>
      <c r="I213" s="248"/>
      <c r="J213" s="248"/>
      <c r="K213" s="412"/>
      <c r="L213" s="248"/>
      <c r="M213" s="413" t="s">
        <v>27</v>
      </c>
      <c r="N213" s="414"/>
      <c r="O213" s="415"/>
      <c r="P213" s="411"/>
      <c r="Q213" s="411"/>
      <c r="R213" s="411"/>
      <c r="S213" s="411"/>
      <c r="T213" s="411"/>
      <c r="U213" s="416" t="s">
        <v>83</v>
      </c>
      <c r="V213" s="417"/>
      <c r="W213" s="417"/>
      <c r="X213" s="248"/>
    </row>
    <row r="214" spans="1:24" s="383" customFormat="1" ht="15.75" x14ac:dyDescent="0.25">
      <c r="A214" s="248"/>
      <c r="B214" s="310"/>
      <c r="C214" s="261"/>
      <c r="D214" s="261"/>
      <c r="E214" s="261"/>
      <c r="F214" s="248"/>
      <c r="G214" s="248"/>
      <c r="H214" s="248"/>
      <c r="I214" s="248"/>
      <c r="J214" s="248"/>
      <c r="K214" s="418"/>
      <c r="L214" s="419"/>
      <c r="M214" s="412"/>
      <c r="N214" s="420"/>
      <c r="O214" s="420"/>
      <c r="P214" s="420"/>
      <c r="Q214" s="420"/>
      <c r="R214" s="420"/>
      <c r="S214" s="420"/>
      <c r="T214" s="420"/>
      <c r="U214" s="420"/>
      <c r="V214" s="421"/>
      <c r="W214" s="421"/>
      <c r="X214" s="248"/>
    </row>
    <row r="215" spans="1:24" s="383" customFormat="1" ht="15" x14ac:dyDescent="0.25">
      <c r="A215" s="248"/>
      <c r="B215" s="310"/>
      <c r="C215" s="418"/>
      <c r="D215" s="418"/>
      <c r="E215" s="251"/>
      <c r="F215" s="251"/>
      <c r="G215" s="421"/>
      <c r="H215" s="421"/>
      <c r="I215" s="421"/>
      <c r="J215" s="421"/>
      <c r="K215" s="248"/>
      <c r="L215" s="248"/>
      <c r="M215" s="251"/>
      <c r="N215" s="421"/>
      <c r="O215" s="421"/>
      <c r="P215" s="421"/>
      <c r="Q215" s="421"/>
      <c r="R215" s="421"/>
      <c r="S215" s="421"/>
      <c r="T215" s="421"/>
      <c r="U215" s="421"/>
      <c r="V215" s="248"/>
      <c r="W215" s="248"/>
      <c r="X215" s="248"/>
    </row>
    <row r="216" spans="1:24" s="383" customFormat="1" ht="15" x14ac:dyDescent="0.25">
      <c r="A216" s="248"/>
      <c r="B216" s="418"/>
      <c r="C216" s="418"/>
      <c r="D216" s="418"/>
      <c r="E216" s="251"/>
      <c r="F216" s="251"/>
      <c r="G216" s="421"/>
      <c r="H216" s="421"/>
      <c r="I216" s="421"/>
      <c r="J216" s="421"/>
      <c r="K216" s="248"/>
      <c r="L216" s="422"/>
      <c r="M216" s="248"/>
      <c r="N216" s="248"/>
      <c r="O216" s="248"/>
      <c r="P216" s="248"/>
      <c r="Q216" s="248"/>
      <c r="R216" s="248"/>
      <c r="S216" s="248"/>
      <c r="T216" s="248"/>
      <c r="U216" s="248"/>
      <c r="V216" s="248"/>
      <c r="W216" s="248"/>
      <c r="X216" s="248"/>
    </row>
    <row r="217" spans="1:24" ht="15" x14ac:dyDescent="0.25">
      <c r="B217" s="418"/>
      <c r="C217" s="418"/>
      <c r="D217" s="418"/>
      <c r="E217" s="251"/>
      <c r="F217" s="251"/>
      <c r="G217" s="421"/>
      <c r="H217" s="421"/>
      <c r="I217" s="421"/>
      <c r="J217" s="421"/>
    </row>
    <row r="218" spans="1:24" ht="15" x14ac:dyDescent="0.25">
      <c r="B218" s="418"/>
      <c r="C218" s="418"/>
      <c r="D218" s="418"/>
      <c r="E218" s="251"/>
      <c r="F218" s="251"/>
      <c r="G218" s="421"/>
      <c r="H218" s="421"/>
      <c r="I218" s="421"/>
      <c r="J218" s="421"/>
    </row>
    <row r="219" spans="1:24" ht="15" x14ac:dyDescent="0.25">
      <c r="C219" s="418"/>
      <c r="D219" s="418"/>
      <c r="E219" s="251"/>
      <c r="F219" s="251"/>
      <c r="G219" s="421"/>
      <c r="H219" s="421"/>
      <c r="I219" s="421"/>
      <c r="J219" s="421"/>
    </row>
    <row r="220" spans="1:24" ht="15" x14ac:dyDescent="0.25">
      <c r="C220" s="418"/>
      <c r="D220" s="418"/>
      <c r="E220" s="251"/>
      <c r="F220" s="251"/>
      <c r="G220" s="421"/>
      <c r="H220" s="421"/>
      <c r="I220" s="421"/>
      <c r="J220" s="421"/>
    </row>
  </sheetData>
  <mergeCells count="444">
    <mergeCell ref="A9:A10"/>
    <mergeCell ref="C9:C10"/>
    <mergeCell ref="D9:D10"/>
    <mergeCell ref="E9:E10"/>
    <mergeCell ref="A11:A12"/>
    <mergeCell ref="C11:C12"/>
    <mergeCell ref="D11:D12"/>
    <mergeCell ref="E11:E12"/>
    <mergeCell ref="A4:I4"/>
    <mergeCell ref="A5:A6"/>
    <mergeCell ref="B5:B6"/>
    <mergeCell ref="C5:C6"/>
    <mergeCell ref="A7:A8"/>
    <mergeCell ref="C7:C8"/>
    <mergeCell ref="D7:D8"/>
    <mergeCell ref="E7:E8"/>
    <mergeCell ref="A17:A18"/>
    <mergeCell ref="C17:C18"/>
    <mergeCell ref="D17:D18"/>
    <mergeCell ref="E17:E18"/>
    <mergeCell ref="A19:A20"/>
    <mergeCell ref="C19:C20"/>
    <mergeCell ref="D19:D20"/>
    <mergeCell ref="E19:E20"/>
    <mergeCell ref="A13:A14"/>
    <mergeCell ref="C13:C14"/>
    <mergeCell ref="D13:D14"/>
    <mergeCell ref="E13:E14"/>
    <mergeCell ref="A15:A16"/>
    <mergeCell ref="C15:C16"/>
    <mergeCell ref="D15:D16"/>
    <mergeCell ref="E15:E16"/>
    <mergeCell ref="A25:A26"/>
    <mergeCell ref="C25:C26"/>
    <mergeCell ref="D25:D26"/>
    <mergeCell ref="E25:E26"/>
    <mergeCell ref="A27:A28"/>
    <mergeCell ref="C27:C28"/>
    <mergeCell ref="D27:D28"/>
    <mergeCell ref="E27:E28"/>
    <mergeCell ref="A21:A22"/>
    <mergeCell ref="C21:C22"/>
    <mergeCell ref="D21:D22"/>
    <mergeCell ref="E21:E22"/>
    <mergeCell ref="A23:A24"/>
    <mergeCell ref="C23:C24"/>
    <mergeCell ref="D23:D24"/>
    <mergeCell ref="E23:E24"/>
    <mergeCell ref="A33:A34"/>
    <mergeCell ref="C33:C34"/>
    <mergeCell ref="D33:D34"/>
    <mergeCell ref="E33:E34"/>
    <mergeCell ref="A35:A36"/>
    <mergeCell ref="C35:C36"/>
    <mergeCell ref="D35:D36"/>
    <mergeCell ref="E35:E36"/>
    <mergeCell ref="A29:A30"/>
    <mergeCell ref="C29:C30"/>
    <mergeCell ref="D29:D30"/>
    <mergeCell ref="E29:E30"/>
    <mergeCell ref="A31:A32"/>
    <mergeCell ref="C31:C32"/>
    <mergeCell ref="D31:D32"/>
    <mergeCell ref="E31:E32"/>
    <mergeCell ref="A41:A42"/>
    <mergeCell ref="C41:C42"/>
    <mergeCell ref="D41:D42"/>
    <mergeCell ref="E41:E42"/>
    <mergeCell ref="A43:A44"/>
    <mergeCell ref="C43:C44"/>
    <mergeCell ref="D43:D44"/>
    <mergeCell ref="E43:E44"/>
    <mergeCell ref="A37:A38"/>
    <mergeCell ref="C37:C38"/>
    <mergeCell ref="D37:D38"/>
    <mergeCell ref="E37:E38"/>
    <mergeCell ref="A39:A40"/>
    <mergeCell ref="C39:C40"/>
    <mergeCell ref="D39:D40"/>
    <mergeCell ref="E39:E40"/>
    <mergeCell ref="A49:A50"/>
    <mergeCell ref="C49:C50"/>
    <mergeCell ref="D49:D50"/>
    <mergeCell ref="E49:E50"/>
    <mergeCell ref="A51:A52"/>
    <mergeCell ref="C51:C52"/>
    <mergeCell ref="D51:D52"/>
    <mergeCell ref="E51:E52"/>
    <mergeCell ref="A45:A46"/>
    <mergeCell ref="C45:C46"/>
    <mergeCell ref="D45:D46"/>
    <mergeCell ref="E45:E46"/>
    <mergeCell ref="A47:A48"/>
    <mergeCell ref="C47:C48"/>
    <mergeCell ref="D47:D48"/>
    <mergeCell ref="E47:E48"/>
    <mergeCell ref="A57:A58"/>
    <mergeCell ref="C57:C58"/>
    <mergeCell ref="D57:D58"/>
    <mergeCell ref="E57:E58"/>
    <mergeCell ref="A59:A60"/>
    <mergeCell ref="C59:C60"/>
    <mergeCell ref="D59:D60"/>
    <mergeCell ref="E59:E60"/>
    <mergeCell ref="A53:A54"/>
    <mergeCell ref="C53:C54"/>
    <mergeCell ref="D53:D54"/>
    <mergeCell ref="E53:E54"/>
    <mergeCell ref="A55:A56"/>
    <mergeCell ref="C55:C56"/>
    <mergeCell ref="D55:D56"/>
    <mergeCell ref="E55:E56"/>
    <mergeCell ref="A65:A66"/>
    <mergeCell ref="C65:C66"/>
    <mergeCell ref="D65:D66"/>
    <mergeCell ref="E65:E66"/>
    <mergeCell ref="A67:A68"/>
    <mergeCell ref="C67:C68"/>
    <mergeCell ref="D67:D68"/>
    <mergeCell ref="E67:E68"/>
    <mergeCell ref="A61:A62"/>
    <mergeCell ref="C61:C62"/>
    <mergeCell ref="D61:D62"/>
    <mergeCell ref="E61:E62"/>
    <mergeCell ref="A63:A64"/>
    <mergeCell ref="C63:C64"/>
    <mergeCell ref="D63:D64"/>
    <mergeCell ref="E63:E64"/>
    <mergeCell ref="A73:A74"/>
    <mergeCell ref="C73:C74"/>
    <mergeCell ref="D73:D74"/>
    <mergeCell ref="E73:E74"/>
    <mergeCell ref="A75:A76"/>
    <mergeCell ref="C75:C76"/>
    <mergeCell ref="D75:D76"/>
    <mergeCell ref="E75:E76"/>
    <mergeCell ref="A69:A70"/>
    <mergeCell ref="C69:C70"/>
    <mergeCell ref="D69:D70"/>
    <mergeCell ref="E69:E70"/>
    <mergeCell ref="A71:A72"/>
    <mergeCell ref="C71:C72"/>
    <mergeCell ref="D71:D72"/>
    <mergeCell ref="E71:E72"/>
    <mergeCell ref="A77:A78"/>
    <mergeCell ref="C77:C78"/>
    <mergeCell ref="D77:D78"/>
    <mergeCell ref="E77:E78"/>
    <mergeCell ref="F77:F78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43:A144"/>
    <mergeCell ref="C143:C144"/>
    <mergeCell ref="D143:D144"/>
    <mergeCell ref="E143:E144"/>
    <mergeCell ref="F143:F144"/>
    <mergeCell ref="A145:A146"/>
    <mergeCell ref="C145:C146"/>
    <mergeCell ref="D145:D146"/>
    <mergeCell ref="E145:E146"/>
    <mergeCell ref="F145:F146"/>
    <mergeCell ref="A147:A148"/>
    <mergeCell ref="C147:C148"/>
    <mergeCell ref="D147:D148"/>
    <mergeCell ref="E147:E148"/>
    <mergeCell ref="F147:F148"/>
    <mergeCell ref="A149:A150"/>
    <mergeCell ref="C149:C150"/>
    <mergeCell ref="D149:D150"/>
    <mergeCell ref="E149:E150"/>
    <mergeCell ref="F149:F150"/>
    <mergeCell ref="A151:A152"/>
    <mergeCell ref="C151:C152"/>
    <mergeCell ref="D151:D152"/>
    <mergeCell ref="E151:E152"/>
    <mergeCell ref="F151:F152"/>
    <mergeCell ref="A153:A154"/>
    <mergeCell ref="C153:C154"/>
    <mergeCell ref="D153:D154"/>
    <mergeCell ref="E153:E154"/>
    <mergeCell ref="F153:F154"/>
    <mergeCell ref="A155:A156"/>
    <mergeCell ref="C155:C156"/>
    <mergeCell ref="D155:D156"/>
    <mergeCell ref="E155:E156"/>
    <mergeCell ref="F155:F156"/>
    <mergeCell ref="A157:A158"/>
    <mergeCell ref="C157:C158"/>
    <mergeCell ref="D157:D158"/>
    <mergeCell ref="E157:E158"/>
    <mergeCell ref="F157:F158"/>
    <mergeCell ref="A159:A160"/>
    <mergeCell ref="C159:C160"/>
    <mergeCell ref="D159:D160"/>
    <mergeCell ref="E159:E160"/>
    <mergeCell ref="F159:F160"/>
    <mergeCell ref="A161:A162"/>
    <mergeCell ref="C161:C162"/>
    <mergeCell ref="D161:D162"/>
    <mergeCell ref="E161:E162"/>
    <mergeCell ref="F161:F162"/>
    <mergeCell ref="A163:A164"/>
    <mergeCell ref="C163:C164"/>
    <mergeCell ref="D163:D164"/>
    <mergeCell ref="E163:E164"/>
    <mergeCell ref="F163:F164"/>
    <mergeCell ref="A165:A166"/>
    <mergeCell ref="C165:C166"/>
    <mergeCell ref="D165:D166"/>
    <mergeCell ref="E165:E166"/>
    <mergeCell ref="F165:F166"/>
    <mergeCell ref="A167:A168"/>
    <mergeCell ref="C167:C168"/>
    <mergeCell ref="D167:D168"/>
    <mergeCell ref="E167:E168"/>
    <mergeCell ref="F167:F168"/>
    <mergeCell ref="A169:A170"/>
    <mergeCell ref="C169:C170"/>
    <mergeCell ref="D169:D170"/>
    <mergeCell ref="E169:E170"/>
    <mergeCell ref="F169:F170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75:A176"/>
    <mergeCell ref="C175:C176"/>
    <mergeCell ref="D175:D176"/>
    <mergeCell ref="E175:E176"/>
    <mergeCell ref="F175:F176"/>
    <mergeCell ref="A181:A182"/>
    <mergeCell ref="C181:C182"/>
    <mergeCell ref="D181:D182"/>
    <mergeCell ref="E181:E182"/>
    <mergeCell ref="F181:F182"/>
    <mergeCell ref="B183:F183"/>
    <mergeCell ref="A177:A178"/>
    <mergeCell ref="C177:C178"/>
    <mergeCell ref="D177:D178"/>
    <mergeCell ref="E177:E178"/>
    <mergeCell ref="F177:F178"/>
    <mergeCell ref="A179:A180"/>
    <mergeCell ref="C179:C180"/>
    <mergeCell ref="D179:D180"/>
    <mergeCell ref="E179:E180"/>
    <mergeCell ref="F179:F180"/>
    <mergeCell ref="B184:F184"/>
    <mergeCell ref="B185:F185"/>
    <mergeCell ref="B186:C186"/>
    <mergeCell ref="E188:G188"/>
    <mergeCell ref="E190:G190"/>
    <mergeCell ref="A192:A193"/>
    <mergeCell ref="C192:C193"/>
    <mergeCell ref="E192:E193"/>
    <mergeCell ref="F192:F193"/>
    <mergeCell ref="A198:A199"/>
    <mergeCell ref="C198:C199"/>
    <mergeCell ref="E198:E199"/>
    <mergeCell ref="F198:F199"/>
    <mergeCell ref="A200:A201"/>
    <mergeCell ref="C200:C201"/>
    <mergeCell ref="E200:E201"/>
    <mergeCell ref="F200:F201"/>
    <mergeCell ref="A194:A195"/>
    <mergeCell ref="C194:C195"/>
    <mergeCell ref="E194:E195"/>
    <mergeCell ref="F194:F195"/>
    <mergeCell ref="A196:A197"/>
    <mergeCell ref="C196:C197"/>
    <mergeCell ref="E196:E197"/>
    <mergeCell ref="F196:F197"/>
    <mergeCell ref="B208:F208"/>
    <mergeCell ref="B209:F209"/>
    <mergeCell ref="B210:C210"/>
    <mergeCell ref="B202:F202"/>
    <mergeCell ref="B203:F203"/>
    <mergeCell ref="B204:F204"/>
    <mergeCell ref="F205:G205"/>
    <mergeCell ref="B206:C206"/>
    <mergeCell ref="B207:F207"/>
  </mergeCells>
  <printOptions horizontalCentered="1"/>
  <pageMargins left="0.59055118110236227" right="0.59055118110236227" top="0.78740157480314965" bottom="0.39370078740157483" header="0.19685039370078741" footer="0.19685039370078741"/>
  <pageSetup paperSize="9" scale="90" orientation="landscape" r:id="rId1"/>
  <headerFooter alignWithMargins="0">
    <oddFooter>&amp;R&amp;P</oddFooter>
  </headerFooter>
  <rowBreaks count="4" manualBreakCount="4">
    <brk id="44" max="16383" man="1"/>
    <brk id="86" max="16383" man="1"/>
    <brk id="128" max="16383" man="1"/>
    <brk id="1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120" zoomScaleNormal="120" workbookViewId="0">
      <selection activeCell="D23" sqref="D23"/>
    </sheetView>
  </sheetViews>
  <sheetFormatPr defaultRowHeight="12.75" x14ac:dyDescent="0.2"/>
  <cols>
    <col min="1" max="1" width="10" style="36" customWidth="1"/>
    <col min="2" max="2" width="65.7109375" style="37" customWidth="1"/>
    <col min="3" max="3" width="12.42578125" style="36" customWidth="1"/>
    <col min="4" max="4" width="12.5703125" style="36" customWidth="1"/>
    <col min="5" max="5" width="14.140625" style="36" customWidth="1"/>
    <col min="6" max="6" width="12.7109375" style="36" customWidth="1"/>
    <col min="7" max="7" width="9.140625" style="36" customWidth="1"/>
    <col min="8" max="16384" width="9.140625" style="36"/>
  </cols>
  <sheetData>
    <row r="1" spans="1:14" x14ac:dyDescent="0.2">
      <c r="A1" s="65" t="s">
        <v>164</v>
      </c>
      <c r="B1" s="66"/>
      <c r="C1" s="65"/>
      <c r="D1" s="65"/>
      <c r="E1" s="65"/>
      <c r="F1" s="30" t="s">
        <v>458</v>
      </c>
    </row>
    <row r="2" spans="1:14" ht="15" x14ac:dyDescent="0.25">
      <c r="A2" s="65"/>
      <c r="B2" s="66"/>
      <c r="C2" s="65"/>
      <c r="D2" s="65"/>
      <c r="E2" s="65"/>
      <c r="F2" s="27" t="s">
        <v>441</v>
      </c>
    </row>
    <row r="3" spans="1:14" ht="15" x14ac:dyDescent="0.25">
      <c r="A3" s="65"/>
      <c r="B3" s="66"/>
      <c r="C3" s="65"/>
      <c r="D3" s="65"/>
      <c r="E3" s="65"/>
      <c r="F3" s="27" t="s">
        <v>472</v>
      </c>
      <c r="K3" s="38"/>
      <c r="L3" s="38"/>
      <c r="M3" s="38"/>
      <c r="N3" s="38"/>
    </row>
    <row r="4" spans="1:14" ht="15" x14ac:dyDescent="0.25">
      <c r="A4" s="65"/>
      <c r="B4" s="66"/>
      <c r="C4" s="65"/>
      <c r="D4" s="65"/>
      <c r="E4" s="65"/>
      <c r="F4" s="27"/>
      <c r="K4" s="38"/>
      <c r="L4" s="38"/>
      <c r="M4" s="38"/>
      <c r="N4" s="38"/>
    </row>
    <row r="5" spans="1:14" ht="18.75" x14ac:dyDescent="0.3">
      <c r="A5" s="656" t="s">
        <v>471</v>
      </c>
      <c r="B5" s="656"/>
      <c r="C5" s="656"/>
      <c r="D5" s="656"/>
      <c r="E5" s="656"/>
      <c r="F5" s="656"/>
    </row>
    <row r="6" spans="1:14" ht="15.75" x14ac:dyDescent="0.25">
      <c r="A6" s="74" t="s">
        <v>442</v>
      </c>
      <c r="B6" s="66"/>
      <c r="C6" s="65"/>
      <c r="D6" s="65"/>
      <c r="E6" s="65"/>
      <c r="F6" s="76" t="s">
        <v>328</v>
      </c>
    </row>
    <row r="7" spans="1:14" s="37" customFormat="1" ht="25.5" x14ac:dyDescent="0.2">
      <c r="A7" s="77" t="s">
        <v>443</v>
      </c>
      <c r="B7" s="657" t="s">
        <v>372</v>
      </c>
      <c r="C7" s="657"/>
      <c r="D7" s="657"/>
      <c r="E7" s="657"/>
      <c r="F7" s="77" t="s">
        <v>473</v>
      </c>
    </row>
    <row r="8" spans="1:14" x14ac:dyDescent="0.2">
      <c r="A8" s="70" t="s">
        <v>331</v>
      </c>
      <c r="B8" s="658" t="s">
        <v>321</v>
      </c>
      <c r="C8" s="658"/>
      <c r="D8" s="658"/>
      <c r="E8" s="658"/>
      <c r="F8" s="71">
        <v>126000</v>
      </c>
    </row>
    <row r="9" spans="1:14" x14ac:dyDescent="0.2">
      <c r="A9" s="70" t="s">
        <v>253</v>
      </c>
      <c r="B9" s="658" t="s">
        <v>275</v>
      </c>
      <c r="C9" s="658"/>
      <c r="D9" s="658"/>
      <c r="E9" s="658"/>
      <c r="F9" s="71">
        <f>1275946+694245</f>
        <v>1970191</v>
      </c>
    </row>
    <row r="10" spans="1:14" x14ac:dyDescent="0.2">
      <c r="A10" s="70" t="s">
        <v>444</v>
      </c>
      <c r="B10" s="658" t="s">
        <v>445</v>
      </c>
      <c r="C10" s="658"/>
      <c r="D10" s="658"/>
      <c r="E10" s="658"/>
      <c r="F10" s="71">
        <v>0</v>
      </c>
    </row>
    <row r="11" spans="1:14" x14ac:dyDescent="0.2">
      <c r="A11" s="70" t="s">
        <v>178</v>
      </c>
      <c r="B11" s="658" t="s">
        <v>359</v>
      </c>
      <c r="C11" s="658"/>
      <c r="D11" s="658"/>
      <c r="E11" s="658"/>
      <c r="F11" s="71">
        <f>87430+13667+29708</f>
        <v>130805</v>
      </c>
    </row>
    <row r="12" spans="1:14" ht="15.75" x14ac:dyDescent="0.25">
      <c r="A12" s="221"/>
      <c r="B12" s="659" t="s">
        <v>446</v>
      </c>
      <c r="C12" s="659"/>
      <c r="D12" s="659"/>
      <c r="E12" s="659"/>
      <c r="F12" s="222">
        <f>SUM(F8:F11)</f>
        <v>2226996</v>
      </c>
    </row>
    <row r="13" spans="1:14" x14ac:dyDescent="0.2">
      <c r="A13" s="61"/>
      <c r="B13" s="62"/>
      <c r="C13" s="61"/>
      <c r="D13" s="61"/>
      <c r="E13" s="61"/>
      <c r="F13" s="61"/>
    </row>
    <row r="14" spans="1:14" ht="15.75" x14ac:dyDescent="0.25">
      <c r="A14" s="74" t="s">
        <v>447</v>
      </c>
      <c r="B14" s="66"/>
      <c r="C14" s="65"/>
      <c r="D14" s="65"/>
      <c r="E14" s="65"/>
      <c r="F14" s="65"/>
    </row>
    <row r="15" spans="1:14" s="37" customFormat="1" ht="15" customHeight="1" x14ac:dyDescent="0.2">
      <c r="A15" s="657" t="s">
        <v>448</v>
      </c>
      <c r="B15" s="657" t="s">
        <v>449</v>
      </c>
      <c r="C15" s="660" t="s">
        <v>54</v>
      </c>
      <c r="D15" s="660"/>
      <c r="E15" s="660"/>
      <c r="F15" s="657" t="s">
        <v>474</v>
      </c>
    </row>
    <row r="16" spans="1:14" ht="40.5" x14ac:dyDescent="0.2">
      <c r="A16" s="657"/>
      <c r="B16" s="657"/>
      <c r="C16" s="75" t="s">
        <v>450</v>
      </c>
      <c r="D16" s="75" t="s">
        <v>26</v>
      </c>
      <c r="E16" s="75" t="s">
        <v>475</v>
      </c>
      <c r="F16" s="657"/>
    </row>
    <row r="17" spans="1:6" ht="15.75" x14ac:dyDescent="0.25">
      <c r="A17" s="67" t="s">
        <v>320</v>
      </c>
      <c r="B17" s="73" t="s">
        <v>451</v>
      </c>
      <c r="C17" s="220">
        <f>SUM(C18:C21)</f>
        <v>126000</v>
      </c>
      <c r="D17" s="220">
        <f>SUM(D18:D21)</f>
        <v>0</v>
      </c>
      <c r="E17" s="220">
        <f>SUM(E18:E21)</f>
        <v>29708</v>
      </c>
      <c r="F17" s="227">
        <f>C17+D17+E17</f>
        <v>155708</v>
      </c>
    </row>
    <row r="18" spans="1:6" ht="25.5" customHeight="1" x14ac:dyDescent="0.2">
      <c r="A18" s="64"/>
      <c r="B18" s="69" t="s">
        <v>608</v>
      </c>
      <c r="C18" s="72">
        <v>4101</v>
      </c>
      <c r="D18" s="72">
        <v>0</v>
      </c>
      <c r="E18" s="72">
        <v>0</v>
      </c>
      <c r="F18" s="228">
        <f>SUM(C18:E18)</f>
        <v>4101</v>
      </c>
    </row>
    <row r="19" spans="1:6" ht="39" customHeight="1" x14ac:dyDescent="0.2">
      <c r="A19" s="64"/>
      <c r="B19" s="69" t="s">
        <v>609</v>
      </c>
      <c r="C19" s="72">
        <v>47405</v>
      </c>
      <c r="D19" s="72">
        <v>0</v>
      </c>
      <c r="E19" s="72">
        <v>29685</v>
      </c>
      <c r="F19" s="228">
        <f t="shared" ref="F19:F21" si="0">SUM(C19:E19)</f>
        <v>77090</v>
      </c>
    </row>
    <row r="20" spans="1:6" ht="25.5" x14ac:dyDescent="0.2">
      <c r="A20" s="64"/>
      <c r="B20" s="69" t="s">
        <v>610</v>
      </c>
      <c r="C20" s="72">
        <v>477</v>
      </c>
      <c r="D20" s="72">
        <v>0</v>
      </c>
      <c r="E20" s="72">
        <v>23</v>
      </c>
      <c r="F20" s="228">
        <f t="shared" si="0"/>
        <v>500</v>
      </c>
    </row>
    <row r="21" spans="1:6" ht="25.5" x14ac:dyDescent="0.2">
      <c r="A21" s="64"/>
      <c r="B21" s="69" t="s">
        <v>611</v>
      </c>
      <c r="C21" s="72">
        <v>74017</v>
      </c>
      <c r="D21" s="72">
        <v>0</v>
      </c>
      <c r="E21" s="72">
        <v>0</v>
      </c>
      <c r="F21" s="228">
        <f t="shared" si="0"/>
        <v>74017</v>
      </c>
    </row>
    <row r="22" spans="1:6" ht="15.75" x14ac:dyDescent="0.25">
      <c r="A22" s="67" t="s">
        <v>322</v>
      </c>
      <c r="B22" s="73" t="s">
        <v>462</v>
      </c>
      <c r="C22" s="220">
        <f>C23+C24</f>
        <v>0</v>
      </c>
      <c r="D22" s="220">
        <f>D23+D24</f>
        <v>1970191</v>
      </c>
      <c r="E22" s="220">
        <f>E23+E24</f>
        <v>13667</v>
      </c>
      <c r="F22" s="227">
        <f>F23+F24</f>
        <v>1983858</v>
      </c>
    </row>
    <row r="23" spans="1:6" x14ac:dyDescent="0.2">
      <c r="A23" s="63"/>
      <c r="B23" s="69" t="s">
        <v>452</v>
      </c>
      <c r="C23" s="72">
        <v>0</v>
      </c>
      <c r="D23" s="72">
        <v>1275946</v>
      </c>
      <c r="E23" s="72">
        <v>13667</v>
      </c>
      <c r="F23" s="72">
        <f>C23+D23+E23</f>
        <v>1289613</v>
      </c>
    </row>
    <row r="24" spans="1:6" x14ac:dyDescent="0.2">
      <c r="A24" s="63"/>
      <c r="B24" s="69" t="s">
        <v>453</v>
      </c>
      <c r="C24" s="72">
        <v>0</v>
      </c>
      <c r="D24" s="72">
        <v>694245</v>
      </c>
      <c r="E24" s="72">
        <v>0</v>
      </c>
      <c r="F24" s="72">
        <f>C24+D24+E24</f>
        <v>694245</v>
      </c>
    </row>
    <row r="25" spans="1:6" ht="15.75" x14ac:dyDescent="0.25">
      <c r="A25" s="67" t="s">
        <v>332</v>
      </c>
      <c r="B25" s="68" t="s">
        <v>454</v>
      </c>
      <c r="C25" s="220">
        <v>0</v>
      </c>
      <c r="D25" s="220">
        <v>0</v>
      </c>
      <c r="E25" s="220">
        <v>87430</v>
      </c>
      <c r="F25" s="227">
        <f>C25+D25+E25</f>
        <v>87430</v>
      </c>
    </row>
    <row r="26" spans="1:6" x14ac:dyDescent="0.2">
      <c r="A26" s="223"/>
      <c r="B26" s="224" t="s">
        <v>356</v>
      </c>
      <c r="C26" s="72">
        <v>0</v>
      </c>
      <c r="D26" s="72">
        <v>0</v>
      </c>
      <c r="E26" s="72">
        <v>0</v>
      </c>
      <c r="F26" s="225">
        <f>C26+D26+E26</f>
        <v>0</v>
      </c>
    </row>
    <row r="27" spans="1:6" ht="15.75" x14ac:dyDescent="0.25">
      <c r="A27" s="221"/>
      <c r="B27" s="226" t="s">
        <v>455</v>
      </c>
      <c r="C27" s="222">
        <f>C17+C22+C25+C26</f>
        <v>126000</v>
      </c>
      <c r="D27" s="222">
        <f>D17+D22+D25+D26</f>
        <v>1970191</v>
      </c>
      <c r="E27" s="222">
        <f>E17+E22+E25+E26</f>
        <v>130805</v>
      </c>
      <c r="F27" s="222">
        <f>F17+F22+F25+F26</f>
        <v>2226996</v>
      </c>
    </row>
    <row r="28" spans="1:6" x14ac:dyDescent="0.2">
      <c r="A28" s="61"/>
      <c r="B28" s="62"/>
      <c r="C28" s="61"/>
      <c r="D28" s="61"/>
      <c r="E28" s="61"/>
      <c r="F28" s="61"/>
    </row>
    <row r="29" spans="1:6" ht="15.75" x14ac:dyDescent="0.25">
      <c r="A29" s="655" t="s">
        <v>27</v>
      </c>
      <c r="B29" s="655"/>
      <c r="C29" s="229"/>
      <c r="D29" s="229"/>
      <c r="E29" s="229"/>
      <c r="F29" s="230" t="s">
        <v>83</v>
      </c>
    </row>
  </sheetData>
  <mergeCells count="12">
    <mergeCell ref="A29:B29"/>
    <mergeCell ref="A5:F5"/>
    <mergeCell ref="B7:E7"/>
    <mergeCell ref="B8:E8"/>
    <mergeCell ref="B9:E9"/>
    <mergeCell ref="B10:E10"/>
    <mergeCell ref="B11:E11"/>
    <mergeCell ref="B12:E12"/>
    <mergeCell ref="A15:A16"/>
    <mergeCell ref="B15:B16"/>
    <mergeCell ref="C15:E15"/>
    <mergeCell ref="F15:F16"/>
  </mergeCells>
  <printOptions horizontalCentered="1"/>
  <pageMargins left="0.78740157480314965" right="0.78740157480314965" top="0.7874015748031496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13"/>
  <sheetViews>
    <sheetView showGridLines="0" workbookViewId="0">
      <selection activeCell="H96" sqref="H96"/>
    </sheetView>
  </sheetViews>
  <sheetFormatPr defaultRowHeight="12.75" x14ac:dyDescent="0.2"/>
  <cols>
    <col min="1" max="1" width="1.7109375" style="231" customWidth="1"/>
    <col min="2" max="2" width="3.42578125" style="231" customWidth="1"/>
    <col min="3" max="3" width="33.140625" style="231" customWidth="1"/>
    <col min="4" max="4" width="16.5703125" style="231" customWidth="1"/>
    <col min="5" max="5" width="15.42578125" style="231" customWidth="1"/>
    <col min="6" max="6" width="3" style="231" customWidth="1"/>
    <col min="7" max="7" width="2.28515625" style="231" customWidth="1"/>
    <col min="8" max="8" width="15.42578125" style="231" customWidth="1"/>
    <col min="9" max="9" width="1.7109375" style="231" customWidth="1"/>
    <col min="10" max="10" width="2.140625" style="231" customWidth="1"/>
    <col min="11" max="16384" width="9.140625" style="231"/>
  </cols>
  <sheetData>
    <row r="1" spans="1:9" ht="15" x14ac:dyDescent="0.25">
      <c r="B1" s="245" t="s">
        <v>164</v>
      </c>
    </row>
    <row r="2" spans="1:9" ht="18" customHeight="1" x14ac:dyDescent="0.2">
      <c r="H2" s="232" t="s">
        <v>612</v>
      </c>
    </row>
    <row r="3" spans="1:9" ht="15.75" customHeight="1" x14ac:dyDescent="0.2">
      <c r="D3" s="673" t="s">
        <v>613</v>
      </c>
      <c r="E3" s="542"/>
      <c r="F3" s="542"/>
      <c r="G3" s="542"/>
      <c r="H3" s="542"/>
    </row>
    <row r="4" spans="1:9" ht="15.75" customHeight="1" x14ac:dyDescent="0.2">
      <c r="E4" s="673" t="s">
        <v>606</v>
      </c>
      <c r="F4" s="542"/>
      <c r="G4" s="542"/>
      <c r="H4" s="542"/>
    </row>
    <row r="5" spans="1:9" ht="27" customHeight="1" x14ac:dyDescent="0.2"/>
    <row r="6" spans="1:9" ht="71.25" customHeight="1" x14ac:dyDescent="0.2">
      <c r="B6" s="674" t="s">
        <v>614</v>
      </c>
      <c r="C6" s="563"/>
      <c r="D6" s="563"/>
      <c r="E6" s="563"/>
      <c r="F6" s="563"/>
      <c r="G6" s="563"/>
      <c r="H6" s="563"/>
      <c r="I6" s="563"/>
    </row>
    <row r="7" spans="1:9" ht="29.25" customHeight="1" x14ac:dyDescent="0.2">
      <c r="A7" s="675" t="s">
        <v>372</v>
      </c>
      <c r="B7" s="565"/>
      <c r="C7" s="565"/>
      <c r="D7" s="565"/>
      <c r="E7" s="565"/>
      <c r="F7" s="566"/>
      <c r="G7" s="675" t="s">
        <v>465</v>
      </c>
      <c r="H7" s="676"/>
      <c r="I7" s="677"/>
    </row>
    <row r="8" spans="1:9" ht="12" customHeight="1" x14ac:dyDescent="0.2"/>
    <row r="9" spans="1:9" ht="19.5" customHeight="1" x14ac:dyDescent="0.2">
      <c r="A9" s="668" t="s">
        <v>603</v>
      </c>
      <c r="B9" s="540"/>
      <c r="C9" s="540"/>
      <c r="D9" s="540"/>
      <c r="E9" s="540"/>
      <c r="F9" s="540"/>
      <c r="G9" s="540"/>
      <c r="H9" s="540"/>
    </row>
    <row r="10" spans="1:9" ht="15" customHeight="1" x14ac:dyDescent="0.2">
      <c r="A10" s="234"/>
      <c r="B10" s="234"/>
      <c r="C10" s="670" t="s">
        <v>373</v>
      </c>
      <c r="D10" s="540"/>
      <c r="E10" s="540"/>
      <c r="F10" s="540"/>
      <c r="G10" s="671">
        <v>15003</v>
      </c>
      <c r="H10" s="671"/>
    </row>
    <row r="11" spans="1:9" ht="19.5" customHeight="1" x14ac:dyDescent="0.2">
      <c r="A11" s="234"/>
      <c r="B11" s="234"/>
      <c r="C11" s="670" t="s">
        <v>547</v>
      </c>
      <c r="D11" s="540"/>
      <c r="E11" s="540"/>
      <c r="F11" s="540"/>
      <c r="G11" s="671">
        <v>15003</v>
      </c>
      <c r="H11" s="671"/>
    </row>
    <row r="12" spans="1:9" ht="12" customHeight="1" x14ac:dyDescent="0.2">
      <c r="A12" s="234"/>
      <c r="B12" s="234"/>
      <c r="C12" s="235"/>
      <c r="D12" s="235"/>
      <c r="E12" s="235"/>
      <c r="F12" s="235"/>
      <c r="G12" s="236"/>
      <c r="H12" s="236"/>
    </row>
    <row r="13" spans="1:9" ht="15.75" customHeight="1" x14ac:dyDescent="0.2">
      <c r="A13" s="665" t="s">
        <v>374</v>
      </c>
      <c r="B13" s="540"/>
      <c r="C13" s="540"/>
      <c r="D13" s="540"/>
      <c r="E13" s="540"/>
      <c r="F13" s="540"/>
      <c r="G13" s="540"/>
      <c r="H13" s="540"/>
    </row>
    <row r="14" spans="1:9" ht="14.25" customHeight="1" x14ac:dyDescent="0.2">
      <c r="C14" s="661" t="s">
        <v>373</v>
      </c>
      <c r="D14" s="540"/>
      <c r="E14" s="540"/>
      <c r="F14" s="540"/>
      <c r="G14" s="663">
        <v>15003</v>
      </c>
      <c r="H14" s="663"/>
    </row>
    <row r="15" spans="1:9" ht="20.25" customHeight="1" x14ac:dyDescent="0.2">
      <c r="C15" s="666" t="s">
        <v>547</v>
      </c>
      <c r="D15" s="540"/>
      <c r="E15" s="540"/>
      <c r="F15" s="540"/>
      <c r="G15" s="667">
        <v>15003</v>
      </c>
      <c r="H15" s="667"/>
    </row>
    <row r="16" spans="1:9" ht="15" x14ac:dyDescent="0.2">
      <c r="C16" s="237"/>
      <c r="D16" s="237"/>
      <c r="E16" s="237"/>
      <c r="F16" s="237"/>
      <c r="G16" s="238"/>
      <c r="H16" s="238"/>
    </row>
    <row r="17" spans="1:8" ht="16.5" customHeight="1" x14ac:dyDescent="0.2">
      <c r="A17" s="668" t="s">
        <v>587</v>
      </c>
      <c r="B17" s="540"/>
      <c r="C17" s="540"/>
      <c r="D17" s="540"/>
      <c r="E17" s="540"/>
      <c r="F17" s="540"/>
      <c r="G17" s="540"/>
      <c r="H17" s="540"/>
    </row>
    <row r="18" spans="1:8" ht="15" customHeight="1" x14ac:dyDescent="0.2">
      <c r="A18" s="234"/>
      <c r="B18" s="234"/>
      <c r="C18" s="670" t="s">
        <v>373</v>
      </c>
      <c r="D18" s="540"/>
      <c r="E18" s="540"/>
      <c r="F18" s="540"/>
      <c r="G18" s="671">
        <v>775461</v>
      </c>
      <c r="H18" s="671"/>
    </row>
    <row r="19" spans="1:8" ht="15" customHeight="1" x14ac:dyDescent="0.2">
      <c r="A19" s="234"/>
      <c r="B19" s="234"/>
      <c r="C19" s="670" t="s">
        <v>547</v>
      </c>
      <c r="D19" s="540"/>
      <c r="E19" s="540"/>
      <c r="F19" s="540"/>
      <c r="G19" s="671">
        <v>25</v>
      </c>
      <c r="H19" s="671"/>
    </row>
    <row r="20" spans="1:8" ht="15" customHeight="1" x14ac:dyDescent="0.2">
      <c r="A20" s="234"/>
      <c r="B20" s="234"/>
      <c r="C20" s="670" t="s">
        <v>546</v>
      </c>
      <c r="D20" s="540"/>
      <c r="E20" s="540"/>
      <c r="F20" s="540"/>
      <c r="G20" s="671">
        <v>775436</v>
      </c>
      <c r="H20" s="671"/>
    </row>
    <row r="21" spans="1:8" ht="14.25" customHeight="1" x14ac:dyDescent="0.2">
      <c r="A21" s="234"/>
      <c r="B21" s="234"/>
      <c r="C21" s="235"/>
      <c r="D21" s="235"/>
      <c r="E21" s="235"/>
      <c r="F21" s="235"/>
      <c r="G21" s="236"/>
      <c r="H21" s="236"/>
    </row>
    <row r="22" spans="1:8" ht="31.5" customHeight="1" x14ac:dyDescent="0.2">
      <c r="A22" s="665" t="s">
        <v>615</v>
      </c>
      <c r="B22" s="540"/>
      <c r="C22" s="540"/>
      <c r="D22" s="540"/>
      <c r="E22" s="540"/>
      <c r="F22" s="540"/>
      <c r="G22" s="540"/>
      <c r="H22" s="540"/>
    </row>
    <row r="23" spans="1:8" ht="15" customHeight="1" x14ac:dyDescent="0.2">
      <c r="C23" s="661" t="s">
        <v>373</v>
      </c>
      <c r="D23" s="662"/>
      <c r="E23" s="662"/>
      <c r="F23" s="662"/>
      <c r="G23" s="663">
        <v>694245</v>
      </c>
      <c r="H23" s="663"/>
    </row>
    <row r="24" spans="1:8" ht="15" customHeight="1" x14ac:dyDescent="0.2">
      <c r="C24" s="666" t="s">
        <v>546</v>
      </c>
      <c r="D24" s="540"/>
      <c r="E24" s="540"/>
      <c r="F24" s="540"/>
      <c r="G24" s="667">
        <v>694245</v>
      </c>
      <c r="H24" s="667"/>
    </row>
    <row r="25" spans="1:8" ht="12" customHeight="1" x14ac:dyDescent="0.2">
      <c r="C25" s="237"/>
      <c r="D25" s="241"/>
      <c r="E25" s="241"/>
      <c r="F25" s="241"/>
      <c r="G25" s="238"/>
      <c r="H25" s="238"/>
    </row>
    <row r="26" spans="1:8" ht="19.5" customHeight="1" x14ac:dyDescent="0.2">
      <c r="A26" s="665" t="s">
        <v>616</v>
      </c>
      <c r="B26" s="540"/>
      <c r="C26" s="540"/>
      <c r="D26" s="540"/>
      <c r="E26" s="540"/>
      <c r="F26" s="540"/>
      <c r="G26" s="540"/>
      <c r="H26" s="540"/>
    </row>
    <row r="27" spans="1:8" ht="15" customHeight="1" x14ac:dyDescent="0.2">
      <c r="C27" s="661" t="s">
        <v>373</v>
      </c>
      <c r="D27" s="662"/>
      <c r="E27" s="662"/>
      <c r="F27" s="662"/>
      <c r="G27" s="663">
        <v>81216</v>
      </c>
      <c r="H27" s="663"/>
    </row>
    <row r="28" spans="1:8" ht="15" customHeight="1" x14ac:dyDescent="0.2">
      <c r="C28" s="666" t="s">
        <v>547</v>
      </c>
      <c r="D28" s="540"/>
      <c r="E28" s="540"/>
      <c r="F28" s="540"/>
      <c r="G28" s="667">
        <v>25</v>
      </c>
      <c r="H28" s="667"/>
    </row>
    <row r="29" spans="1:8" ht="15" customHeight="1" x14ac:dyDescent="0.2">
      <c r="C29" s="666" t="s">
        <v>546</v>
      </c>
      <c r="D29" s="540"/>
      <c r="E29" s="540"/>
      <c r="F29" s="540"/>
      <c r="G29" s="667">
        <v>81191</v>
      </c>
      <c r="H29" s="667"/>
    </row>
    <row r="30" spans="1:8" ht="15" x14ac:dyDescent="0.2">
      <c r="C30" s="237"/>
      <c r="D30" s="237"/>
      <c r="E30" s="237"/>
      <c r="F30" s="237"/>
      <c r="G30" s="238"/>
      <c r="H30" s="238"/>
    </row>
    <row r="31" spans="1:8" ht="18" customHeight="1" x14ac:dyDescent="0.2">
      <c r="A31" s="668" t="s">
        <v>617</v>
      </c>
      <c r="B31" s="540"/>
      <c r="C31" s="540"/>
      <c r="D31" s="540"/>
      <c r="E31" s="540"/>
      <c r="F31" s="540"/>
      <c r="G31" s="540"/>
      <c r="H31" s="540"/>
    </row>
    <row r="32" spans="1:8" ht="15" customHeight="1" x14ac:dyDescent="0.2">
      <c r="A32" s="233"/>
      <c r="B32" s="233"/>
      <c r="C32" s="670" t="s">
        <v>373</v>
      </c>
      <c r="D32" s="662"/>
      <c r="E32" s="662"/>
      <c r="F32" s="662"/>
      <c r="G32" s="671">
        <v>1363730</v>
      </c>
      <c r="H32" s="671"/>
    </row>
    <row r="33" spans="1:8" ht="15" customHeight="1" x14ac:dyDescent="0.2">
      <c r="A33" s="233"/>
      <c r="B33" s="233"/>
      <c r="C33" s="670" t="s">
        <v>548</v>
      </c>
      <c r="D33" s="662"/>
      <c r="E33" s="662"/>
      <c r="F33" s="662"/>
      <c r="G33" s="671">
        <v>63069</v>
      </c>
      <c r="H33" s="671"/>
    </row>
    <row r="34" spans="1:8" ht="15" customHeight="1" x14ac:dyDescent="0.2">
      <c r="A34" s="233"/>
      <c r="B34" s="233"/>
      <c r="C34" s="670" t="s">
        <v>547</v>
      </c>
      <c r="D34" s="662"/>
      <c r="E34" s="662"/>
      <c r="F34" s="662"/>
      <c r="G34" s="671">
        <v>970661</v>
      </c>
      <c r="H34" s="671"/>
    </row>
    <row r="35" spans="1:8" ht="15" customHeight="1" x14ac:dyDescent="0.2">
      <c r="A35" s="233"/>
      <c r="B35" s="233"/>
      <c r="C35" s="670" t="s">
        <v>544</v>
      </c>
      <c r="D35" s="662"/>
      <c r="E35" s="662"/>
      <c r="F35" s="662"/>
      <c r="G35" s="671">
        <v>330000</v>
      </c>
      <c r="H35" s="671"/>
    </row>
    <row r="36" spans="1:8" ht="12" customHeight="1" x14ac:dyDescent="0.2">
      <c r="C36" s="237"/>
      <c r="D36" s="237"/>
      <c r="E36" s="237"/>
      <c r="F36" s="237"/>
      <c r="G36" s="238"/>
      <c r="H36" s="238"/>
    </row>
    <row r="37" spans="1:8" ht="19.5" customHeight="1" x14ac:dyDescent="0.2">
      <c r="A37" s="665" t="s">
        <v>381</v>
      </c>
      <c r="B37" s="540"/>
      <c r="C37" s="540"/>
      <c r="D37" s="540"/>
      <c r="E37" s="540"/>
      <c r="F37" s="540"/>
      <c r="G37" s="540"/>
      <c r="H37" s="540"/>
    </row>
    <row r="38" spans="1:8" ht="15" customHeight="1" x14ac:dyDescent="0.2">
      <c r="C38" s="661" t="s">
        <v>373</v>
      </c>
      <c r="D38" s="662"/>
      <c r="E38" s="662"/>
      <c r="F38" s="662"/>
      <c r="G38" s="663">
        <v>1289613</v>
      </c>
      <c r="H38" s="663"/>
    </row>
    <row r="39" spans="1:8" ht="15" customHeight="1" x14ac:dyDescent="0.2">
      <c r="C39" s="666" t="s">
        <v>548</v>
      </c>
      <c r="D39" s="540"/>
      <c r="E39" s="540"/>
      <c r="F39" s="540"/>
      <c r="G39" s="667">
        <v>63069</v>
      </c>
      <c r="H39" s="667"/>
    </row>
    <row r="40" spans="1:8" ht="15" customHeight="1" x14ac:dyDescent="0.2">
      <c r="C40" s="666" t="s">
        <v>547</v>
      </c>
      <c r="D40" s="540"/>
      <c r="E40" s="540"/>
      <c r="F40" s="540"/>
      <c r="G40" s="667">
        <v>941544</v>
      </c>
      <c r="H40" s="667"/>
    </row>
    <row r="41" spans="1:8" ht="15" customHeight="1" x14ac:dyDescent="0.2">
      <c r="C41" s="666" t="s">
        <v>544</v>
      </c>
      <c r="D41" s="540"/>
      <c r="E41" s="540"/>
      <c r="F41" s="540"/>
      <c r="G41" s="667">
        <v>285000</v>
      </c>
      <c r="H41" s="667"/>
    </row>
    <row r="42" spans="1:8" ht="14.25" customHeight="1" x14ac:dyDescent="0.2">
      <c r="C42" s="237"/>
      <c r="D42" s="237"/>
      <c r="E42" s="237"/>
      <c r="F42" s="237"/>
      <c r="G42" s="238"/>
      <c r="H42" s="238"/>
    </row>
    <row r="43" spans="1:8" ht="19.5" customHeight="1" x14ac:dyDescent="0.2">
      <c r="A43" s="665" t="s">
        <v>385</v>
      </c>
      <c r="B43" s="540"/>
      <c r="C43" s="540"/>
      <c r="D43" s="540"/>
      <c r="E43" s="540"/>
      <c r="F43" s="540"/>
      <c r="G43" s="540"/>
      <c r="H43" s="540"/>
    </row>
    <row r="44" spans="1:8" ht="15" customHeight="1" x14ac:dyDescent="0.2">
      <c r="C44" s="661" t="s">
        <v>373</v>
      </c>
      <c r="D44" s="662"/>
      <c r="E44" s="662"/>
      <c r="F44" s="662"/>
      <c r="G44" s="663">
        <v>74017</v>
      </c>
      <c r="H44" s="663"/>
    </row>
    <row r="45" spans="1:8" ht="15" customHeight="1" x14ac:dyDescent="0.2">
      <c r="C45" s="666" t="s">
        <v>547</v>
      </c>
      <c r="D45" s="540"/>
      <c r="E45" s="540"/>
      <c r="F45" s="540"/>
      <c r="G45" s="667">
        <v>29017</v>
      </c>
      <c r="H45" s="667"/>
    </row>
    <row r="46" spans="1:8" ht="15" customHeight="1" x14ac:dyDescent="0.2">
      <c r="C46" s="666" t="s">
        <v>544</v>
      </c>
      <c r="D46" s="540"/>
      <c r="E46" s="540"/>
      <c r="F46" s="540"/>
      <c r="G46" s="667">
        <v>45000</v>
      </c>
      <c r="H46" s="667"/>
    </row>
    <row r="47" spans="1:8" ht="10.5" customHeight="1" x14ac:dyDescent="0.2">
      <c r="C47" s="237"/>
      <c r="D47" s="237"/>
      <c r="E47" s="237"/>
      <c r="F47" s="237"/>
      <c r="G47" s="238"/>
      <c r="H47" s="238"/>
    </row>
    <row r="48" spans="1:8" ht="31.5" customHeight="1" x14ac:dyDescent="0.2">
      <c r="A48" s="665" t="s">
        <v>388</v>
      </c>
      <c r="B48" s="540"/>
      <c r="C48" s="540"/>
      <c r="D48" s="540"/>
      <c r="E48" s="540"/>
      <c r="F48" s="540"/>
      <c r="G48" s="540"/>
      <c r="H48" s="540"/>
    </row>
    <row r="49" spans="1:8" ht="15" customHeight="1" x14ac:dyDescent="0.2">
      <c r="C49" s="661" t="s">
        <v>373</v>
      </c>
      <c r="D49" s="662"/>
      <c r="E49" s="662"/>
      <c r="F49" s="662"/>
      <c r="G49" s="663">
        <v>100</v>
      </c>
      <c r="H49" s="663"/>
    </row>
    <row r="50" spans="1:8" ht="15" customHeight="1" x14ac:dyDescent="0.2">
      <c r="C50" s="666" t="s">
        <v>547</v>
      </c>
      <c r="D50" s="540"/>
      <c r="E50" s="540"/>
      <c r="F50" s="540"/>
      <c r="G50" s="667">
        <v>100</v>
      </c>
      <c r="H50" s="667"/>
    </row>
    <row r="51" spans="1:8" ht="14.25" customHeight="1" x14ac:dyDescent="0.2">
      <c r="C51" s="237"/>
      <c r="D51" s="237"/>
      <c r="E51" s="237"/>
      <c r="F51" s="237"/>
      <c r="G51" s="238"/>
      <c r="H51" s="238"/>
    </row>
    <row r="52" spans="1:8" ht="19.5" customHeight="1" x14ac:dyDescent="0.2">
      <c r="A52" s="668" t="s">
        <v>618</v>
      </c>
      <c r="B52" s="540"/>
      <c r="C52" s="540"/>
      <c r="D52" s="540"/>
      <c r="E52" s="540"/>
      <c r="F52" s="540"/>
      <c r="G52" s="540"/>
      <c r="H52" s="540"/>
    </row>
    <row r="53" spans="1:8" ht="15" customHeight="1" x14ac:dyDescent="0.2">
      <c r="A53" s="234"/>
      <c r="B53" s="234"/>
      <c r="C53" s="670" t="s">
        <v>373</v>
      </c>
      <c r="D53" s="540"/>
      <c r="E53" s="540"/>
      <c r="F53" s="540"/>
      <c r="G53" s="671">
        <v>33817</v>
      </c>
      <c r="H53" s="671"/>
    </row>
    <row r="54" spans="1:8" ht="15" customHeight="1" x14ac:dyDescent="0.2">
      <c r="A54" s="234"/>
      <c r="B54" s="234"/>
      <c r="C54" s="670" t="s">
        <v>547</v>
      </c>
      <c r="D54" s="540"/>
      <c r="E54" s="540"/>
      <c r="F54" s="540"/>
      <c r="G54" s="671">
        <v>7</v>
      </c>
      <c r="H54" s="671"/>
    </row>
    <row r="55" spans="1:8" ht="15" customHeight="1" x14ac:dyDescent="0.2">
      <c r="A55" s="234"/>
      <c r="B55" s="234"/>
      <c r="C55" s="670" t="s">
        <v>546</v>
      </c>
      <c r="D55" s="540"/>
      <c r="E55" s="540"/>
      <c r="F55" s="540"/>
      <c r="G55" s="671">
        <v>33810</v>
      </c>
      <c r="H55" s="671"/>
    </row>
    <row r="56" spans="1:8" ht="14.25" customHeight="1" x14ac:dyDescent="0.2">
      <c r="A56" s="234"/>
      <c r="B56" s="234"/>
      <c r="C56" s="235"/>
      <c r="D56" s="235"/>
      <c r="E56" s="235"/>
      <c r="F56" s="235"/>
      <c r="G56" s="236"/>
      <c r="H56" s="236"/>
    </row>
    <row r="57" spans="1:8" ht="19.5" customHeight="1" x14ac:dyDescent="0.2">
      <c r="A57" s="665" t="s">
        <v>575</v>
      </c>
      <c r="B57" s="540"/>
      <c r="C57" s="540"/>
      <c r="D57" s="540"/>
      <c r="E57" s="540"/>
      <c r="F57" s="540"/>
      <c r="G57" s="540"/>
      <c r="H57" s="540"/>
    </row>
    <row r="58" spans="1:8" ht="15" customHeight="1" x14ac:dyDescent="0.2">
      <c r="C58" s="661" t="s">
        <v>373</v>
      </c>
      <c r="D58" s="662"/>
      <c r="E58" s="662"/>
      <c r="F58" s="662"/>
      <c r="G58" s="663">
        <v>33817</v>
      </c>
      <c r="H58" s="663"/>
    </row>
    <row r="59" spans="1:8" ht="15" customHeight="1" x14ac:dyDescent="0.2">
      <c r="C59" s="666" t="s">
        <v>547</v>
      </c>
      <c r="D59" s="540"/>
      <c r="E59" s="540"/>
      <c r="F59" s="540"/>
      <c r="G59" s="667">
        <v>7</v>
      </c>
      <c r="H59" s="667"/>
    </row>
    <row r="60" spans="1:8" ht="15" customHeight="1" x14ac:dyDescent="0.2">
      <c r="C60" s="666" t="s">
        <v>546</v>
      </c>
      <c r="D60" s="540"/>
      <c r="E60" s="540"/>
      <c r="F60" s="540"/>
      <c r="G60" s="667">
        <v>33810</v>
      </c>
      <c r="H60" s="667"/>
    </row>
    <row r="61" spans="1:8" ht="14.25" customHeight="1" x14ac:dyDescent="0.2">
      <c r="C61" s="237"/>
      <c r="D61" s="237"/>
      <c r="E61" s="237"/>
      <c r="F61" s="237"/>
      <c r="G61" s="238"/>
      <c r="H61" s="238"/>
    </row>
    <row r="62" spans="1:8" ht="31.5" customHeight="1" x14ac:dyDescent="0.2">
      <c r="A62" s="668" t="s">
        <v>619</v>
      </c>
      <c r="B62" s="672"/>
      <c r="C62" s="672"/>
      <c r="D62" s="672"/>
      <c r="E62" s="672"/>
      <c r="F62" s="672"/>
      <c r="G62" s="672"/>
      <c r="H62" s="672"/>
    </row>
    <row r="63" spans="1:8" ht="15" customHeight="1" x14ac:dyDescent="0.2">
      <c r="C63" s="661" t="s">
        <v>373</v>
      </c>
      <c r="D63" s="662"/>
      <c r="E63" s="662"/>
      <c r="F63" s="662"/>
      <c r="G63" s="663">
        <v>1589</v>
      </c>
      <c r="H63" s="663"/>
    </row>
    <row r="64" spans="1:8" ht="15" customHeight="1" x14ac:dyDescent="0.2">
      <c r="C64" s="666" t="s">
        <v>547</v>
      </c>
      <c r="D64" s="540"/>
      <c r="E64" s="540"/>
      <c r="F64" s="540"/>
      <c r="G64" s="667">
        <v>1589</v>
      </c>
      <c r="H64" s="667"/>
    </row>
    <row r="65" spans="1:8" ht="15" customHeight="1" x14ac:dyDescent="0.2">
      <c r="C65" s="237"/>
      <c r="D65" s="241"/>
      <c r="E65" s="241"/>
      <c r="F65" s="241"/>
      <c r="G65" s="238"/>
      <c r="H65" s="238"/>
    </row>
    <row r="66" spans="1:8" ht="19.5" customHeight="1" x14ac:dyDescent="0.2">
      <c r="A66" s="665" t="s">
        <v>572</v>
      </c>
      <c r="B66" s="540"/>
      <c r="C66" s="540"/>
      <c r="D66" s="540"/>
      <c r="E66" s="540"/>
      <c r="F66" s="540"/>
      <c r="G66" s="540"/>
      <c r="H66" s="540"/>
    </row>
    <row r="67" spans="1:8" ht="15" customHeight="1" x14ac:dyDescent="0.2">
      <c r="C67" s="661" t="s">
        <v>373</v>
      </c>
      <c r="D67" s="662"/>
      <c r="E67" s="662"/>
      <c r="F67" s="662"/>
      <c r="G67" s="663">
        <v>1589</v>
      </c>
      <c r="H67" s="663"/>
    </row>
    <row r="68" spans="1:8" ht="15" customHeight="1" x14ac:dyDescent="0.2">
      <c r="C68" s="666" t="s">
        <v>547</v>
      </c>
      <c r="D68" s="540"/>
      <c r="E68" s="540"/>
      <c r="F68" s="540"/>
      <c r="G68" s="667">
        <v>1589</v>
      </c>
      <c r="H68" s="667"/>
    </row>
    <row r="69" spans="1:8" ht="15" customHeight="1" x14ac:dyDescent="0.2">
      <c r="C69" s="237"/>
      <c r="D69" s="241"/>
      <c r="E69" s="241"/>
      <c r="F69" s="241"/>
      <c r="G69" s="238"/>
      <c r="H69" s="238"/>
    </row>
    <row r="70" spans="1:8" ht="19.5" customHeight="1" x14ac:dyDescent="0.2">
      <c r="A70" s="668" t="s">
        <v>620</v>
      </c>
      <c r="B70" s="669"/>
      <c r="C70" s="669"/>
      <c r="D70" s="669"/>
      <c r="E70" s="669"/>
      <c r="F70" s="669"/>
      <c r="G70" s="669"/>
      <c r="H70" s="669"/>
    </row>
    <row r="71" spans="1:8" ht="15" customHeight="1" x14ac:dyDescent="0.2">
      <c r="A71" s="234"/>
      <c r="B71" s="234"/>
      <c r="C71" s="670" t="s">
        <v>373</v>
      </c>
      <c r="D71" s="669"/>
      <c r="E71" s="669"/>
      <c r="F71" s="669"/>
      <c r="G71" s="671">
        <v>29205</v>
      </c>
      <c r="H71" s="671"/>
    </row>
    <row r="72" spans="1:8" ht="15" customHeight="1" x14ac:dyDescent="0.2">
      <c r="A72" s="234"/>
      <c r="B72" s="234"/>
      <c r="C72" s="670" t="s">
        <v>548</v>
      </c>
      <c r="D72" s="669"/>
      <c r="E72" s="669"/>
      <c r="F72" s="669"/>
      <c r="G72" s="671">
        <v>1000</v>
      </c>
      <c r="H72" s="671"/>
    </row>
    <row r="73" spans="1:8" ht="15" customHeight="1" x14ac:dyDescent="0.2">
      <c r="A73" s="234"/>
      <c r="B73" s="234"/>
      <c r="C73" s="670" t="s">
        <v>547</v>
      </c>
      <c r="D73" s="669"/>
      <c r="E73" s="669"/>
      <c r="F73" s="669"/>
      <c r="G73" s="671">
        <v>28205</v>
      </c>
      <c r="H73" s="671"/>
    </row>
    <row r="74" spans="1:8" ht="15" customHeight="1" x14ac:dyDescent="0.2">
      <c r="A74" s="234"/>
      <c r="B74" s="234"/>
      <c r="C74" s="235"/>
      <c r="D74" s="242"/>
      <c r="E74" s="242"/>
      <c r="F74" s="242"/>
      <c r="G74" s="236"/>
      <c r="H74" s="236"/>
    </row>
    <row r="75" spans="1:8" ht="19.5" customHeight="1" x14ac:dyDescent="0.2">
      <c r="A75" s="665" t="s">
        <v>571</v>
      </c>
      <c r="B75" s="540"/>
      <c r="C75" s="540"/>
      <c r="D75" s="540"/>
      <c r="E75" s="540"/>
      <c r="F75" s="540"/>
      <c r="G75" s="540"/>
      <c r="H75" s="540"/>
    </row>
    <row r="76" spans="1:8" ht="15" customHeight="1" x14ac:dyDescent="0.2">
      <c r="C76" s="661" t="s">
        <v>373</v>
      </c>
      <c r="D76" s="662"/>
      <c r="E76" s="662"/>
      <c r="F76" s="662"/>
      <c r="G76" s="663">
        <v>29205</v>
      </c>
      <c r="H76" s="663"/>
    </row>
    <row r="77" spans="1:8" ht="15" customHeight="1" x14ac:dyDescent="0.2">
      <c r="C77" s="666" t="s">
        <v>548</v>
      </c>
      <c r="D77" s="540"/>
      <c r="E77" s="540"/>
      <c r="F77" s="540"/>
      <c r="G77" s="667">
        <v>1000</v>
      </c>
      <c r="H77" s="667"/>
    </row>
    <row r="78" spans="1:8" ht="15" customHeight="1" x14ac:dyDescent="0.2">
      <c r="C78" s="666" t="s">
        <v>547</v>
      </c>
      <c r="D78" s="540"/>
      <c r="E78" s="540"/>
      <c r="F78" s="540"/>
      <c r="G78" s="667">
        <v>28205</v>
      </c>
      <c r="H78" s="667"/>
    </row>
    <row r="79" spans="1:8" ht="15" customHeight="1" x14ac:dyDescent="0.2">
      <c r="C79" s="237"/>
      <c r="D79" s="241"/>
      <c r="E79" s="241"/>
      <c r="F79" s="241"/>
      <c r="G79" s="238"/>
      <c r="H79" s="238"/>
    </row>
    <row r="80" spans="1:8" ht="31.5" customHeight="1" x14ac:dyDescent="0.2">
      <c r="A80" s="668" t="s">
        <v>621</v>
      </c>
      <c r="B80" s="669"/>
      <c r="C80" s="669"/>
      <c r="D80" s="669"/>
      <c r="E80" s="669"/>
      <c r="F80" s="669"/>
      <c r="G80" s="669"/>
      <c r="H80" s="669"/>
    </row>
    <row r="81" spans="1:9" ht="15" customHeight="1" x14ac:dyDescent="0.2">
      <c r="A81" s="234"/>
      <c r="B81" s="234"/>
      <c r="C81" s="670" t="s">
        <v>373</v>
      </c>
      <c r="D81" s="669"/>
      <c r="E81" s="669"/>
      <c r="F81" s="669"/>
      <c r="G81" s="671">
        <v>5274</v>
      </c>
      <c r="H81" s="671"/>
    </row>
    <row r="82" spans="1:9" ht="15" customHeight="1" x14ac:dyDescent="0.2">
      <c r="A82" s="234"/>
      <c r="B82" s="234"/>
      <c r="C82" s="670" t="s">
        <v>547</v>
      </c>
      <c r="D82" s="669"/>
      <c r="E82" s="669"/>
      <c r="F82" s="669"/>
      <c r="G82" s="671">
        <v>4774</v>
      </c>
      <c r="H82" s="671"/>
    </row>
    <row r="83" spans="1:9" ht="15" customHeight="1" x14ac:dyDescent="0.2">
      <c r="A83" s="234"/>
      <c r="B83" s="234"/>
      <c r="C83" s="670" t="s">
        <v>544</v>
      </c>
      <c r="D83" s="669"/>
      <c r="E83" s="669"/>
      <c r="F83" s="669"/>
      <c r="G83" s="671">
        <v>500</v>
      </c>
      <c r="H83" s="671"/>
    </row>
    <row r="84" spans="1:9" ht="15" customHeight="1" x14ac:dyDescent="0.2">
      <c r="A84" s="234"/>
      <c r="B84" s="234"/>
      <c r="C84" s="235"/>
      <c r="D84" s="242"/>
      <c r="E84" s="242"/>
      <c r="F84" s="242"/>
      <c r="G84" s="236"/>
      <c r="H84" s="236"/>
    </row>
    <row r="85" spans="1:9" ht="19.5" customHeight="1" x14ac:dyDescent="0.2">
      <c r="A85" s="665" t="s">
        <v>404</v>
      </c>
      <c r="B85" s="540"/>
      <c r="C85" s="540"/>
      <c r="D85" s="540"/>
      <c r="E85" s="540"/>
      <c r="F85" s="540"/>
      <c r="G85" s="540"/>
      <c r="H85" s="540"/>
    </row>
    <row r="86" spans="1:9" ht="15" customHeight="1" x14ac:dyDescent="0.2">
      <c r="C86" s="661" t="s">
        <v>373</v>
      </c>
      <c r="D86" s="662"/>
      <c r="E86" s="662"/>
      <c r="F86" s="662"/>
      <c r="G86" s="663">
        <v>500</v>
      </c>
      <c r="H86" s="663"/>
    </row>
    <row r="87" spans="1:9" ht="15" customHeight="1" x14ac:dyDescent="0.2">
      <c r="C87" s="666" t="s">
        <v>544</v>
      </c>
      <c r="D87" s="540"/>
      <c r="E87" s="540"/>
      <c r="F87" s="540"/>
      <c r="G87" s="667">
        <v>500</v>
      </c>
      <c r="H87" s="667"/>
    </row>
    <row r="88" spans="1:9" ht="15" customHeight="1" x14ac:dyDescent="0.2">
      <c r="C88" s="237"/>
      <c r="D88" s="241"/>
      <c r="E88" s="241"/>
      <c r="F88" s="241"/>
      <c r="G88" s="238"/>
      <c r="H88" s="238"/>
    </row>
    <row r="89" spans="1:9" ht="19.5" customHeight="1" x14ac:dyDescent="0.2">
      <c r="A89" s="665" t="s">
        <v>568</v>
      </c>
      <c r="B89" s="540"/>
      <c r="C89" s="540"/>
      <c r="D89" s="540"/>
      <c r="E89" s="540"/>
      <c r="F89" s="540"/>
      <c r="G89" s="540"/>
      <c r="H89" s="540"/>
    </row>
    <row r="90" spans="1:9" ht="15" customHeight="1" x14ac:dyDescent="0.2">
      <c r="C90" s="661" t="s">
        <v>373</v>
      </c>
      <c r="D90" s="662"/>
      <c r="E90" s="662"/>
      <c r="F90" s="662"/>
      <c r="G90" s="663">
        <v>2661</v>
      </c>
      <c r="H90" s="663"/>
    </row>
    <row r="91" spans="1:9" ht="15" customHeight="1" x14ac:dyDescent="0.2">
      <c r="C91" s="666" t="s">
        <v>547</v>
      </c>
      <c r="D91" s="540"/>
      <c r="E91" s="540"/>
      <c r="F91" s="540"/>
      <c r="G91" s="667">
        <v>2661</v>
      </c>
      <c r="H91" s="667"/>
    </row>
    <row r="92" spans="1:9" ht="15" customHeight="1" x14ac:dyDescent="0.2">
      <c r="C92" s="237"/>
      <c r="D92" s="241"/>
      <c r="E92" s="241"/>
      <c r="F92" s="241"/>
      <c r="G92" s="238"/>
      <c r="H92" s="238"/>
    </row>
    <row r="93" spans="1:9" ht="19.5" customHeight="1" x14ac:dyDescent="0.2">
      <c r="A93" s="665" t="s">
        <v>565</v>
      </c>
      <c r="B93" s="540"/>
      <c r="C93" s="540"/>
      <c r="D93" s="540"/>
      <c r="E93" s="540"/>
      <c r="F93" s="540"/>
      <c r="G93" s="540"/>
      <c r="H93" s="540"/>
    </row>
    <row r="94" spans="1:9" ht="15" customHeight="1" x14ac:dyDescent="0.2">
      <c r="C94" s="661" t="s">
        <v>373</v>
      </c>
      <c r="D94" s="662"/>
      <c r="E94" s="662"/>
      <c r="F94" s="662"/>
      <c r="G94" s="663">
        <v>2113</v>
      </c>
      <c r="H94" s="663"/>
      <c r="I94" s="239"/>
    </row>
    <row r="95" spans="1:9" ht="15" customHeight="1" x14ac:dyDescent="0.2">
      <c r="C95" s="666" t="s">
        <v>547</v>
      </c>
      <c r="D95" s="540"/>
      <c r="E95" s="540"/>
      <c r="F95" s="540"/>
      <c r="G95" s="667">
        <v>2113</v>
      </c>
      <c r="H95" s="667"/>
    </row>
    <row r="96" spans="1:9" ht="15" customHeight="1" x14ac:dyDescent="0.2">
      <c r="C96" s="237"/>
      <c r="D96" s="241"/>
      <c r="E96" s="241"/>
      <c r="F96" s="241"/>
      <c r="G96" s="238"/>
      <c r="H96" s="238"/>
    </row>
    <row r="97" spans="1:10" ht="31.5" customHeight="1" x14ac:dyDescent="0.2">
      <c r="A97" s="668" t="s">
        <v>935</v>
      </c>
      <c r="B97" s="669"/>
      <c r="C97" s="669"/>
      <c r="D97" s="669"/>
      <c r="E97" s="669"/>
      <c r="F97" s="669"/>
      <c r="G97" s="669"/>
      <c r="H97" s="669"/>
      <c r="I97" s="234"/>
    </row>
    <row r="98" spans="1:10" ht="15" customHeight="1" x14ac:dyDescent="0.2">
      <c r="A98" s="234"/>
      <c r="B98" s="234"/>
      <c r="C98" s="670" t="s">
        <v>373</v>
      </c>
      <c r="D98" s="669"/>
      <c r="E98" s="669"/>
      <c r="F98" s="669"/>
      <c r="G98" s="671">
        <v>2917</v>
      </c>
      <c r="H98" s="671"/>
      <c r="I98" s="234"/>
    </row>
    <row r="99" spans="1:10" ht="15" customHeight="1" x14ac:dyDescent="0.2">
      <c r="A99" s="234"/>
      <c r="B99" s="234"/>
      <c r="C99" s="670" t="s">
        <v>547</v>
      </c>
      <c r="D99" s="669"/>
      <c r="E99" s="669"/>
      <c r="F99" s="669"/>
      <c r="G99" s="671">
        <v>2917</v>
      </c>
      <c r="H99" s="671"/>
      <c r="I99" s="234"/>
    </row>
    <row r="100" spans="1:10" ht="15" customHeight="1" x14ac:dyDescent="0.2">
      <c r="A100" s="234"/>
      <c r="B100" s="234"/>
      <c r="C100" s="235"/>
      <c r="D100" s="242"/>
      <c r="E100" s="242"/>
      <c r="F100" s="242"/>
      <c r="G100" s="236"/>
      <c r="H100" s="236"/>
      <c r="I100" s="234"/>
    </row>
    <row r="101" spans="1:10" ht="19.5" customHeight="1" x14ac:dyDescent="0.2">
      <c r="A101" s="665" t="s">
        <v>559</v>
      </c>
      <c r="B101" s="540"/>
      <c r="C101" s="540"/>
      <c r="D101" s="540"/>
      <c r="E101" s="540"/>
      <c r="F101" s="540"/>
      <c r="G101" s="540"/>
      <c r="H101" s="540"/>
    </row>
    <row r="102" spans="1:10" ht="15" customHeight="1" x14ac:dyDescent="0.2">
      <c r="C102" s="661" t="s">
        <v>373</v>
      </c>
      <c r="D102" s="662"/>
      <c r="E102" s="662"/>
      <c r="F102" s="662"/>
      <c r="G102" s="663">
        <v>2917</v>
      </c>
      <c r="H102" s="663"/>
    </row>
    <row r="103" spans="1:10" ht="15" customHeight="1" x14ac:dyDescent="0.2">
      <c r="C103" s="666" t="s">
        <v>547</v>
      </c>
      <c r="D103" s="540"/>
      <c r="E103" s="540"/>
      <c r="F103" s="540"/>
      <c r="G103" s="667">
        <v>2917</v>
      </c>
      <c r="H103" s="667"/>
    </row>
    <row r="104" spans="1:10" ht="15" customHeight="1" x14ac:dyDescent="0.2">
      <c r="C104" s="237"/>
      <c r="D104" s="241"/>
      <c r="E104" s="241"/>
      <c r="F104" s="241"/>
      <c r="G104" s="238"/>
      <c r="H104" s="238"/>
    </row>
    <row r="105" spans="1:10" ht="19.5" customHeight="1" x14ac:dyDescent="0.2">
      <c r="A105" s="665" t="s">
        <v>371</v>
      </c>
      <c r="B105" s="662"/>
      <c r="C105" s="662"/>
      <c r="D105" s="662"/>
      <c r="E105" s="662"/>
      <c r="F105" s="662"/>
      <c r="G105" s="662"/>
      <c r="H105" s="662"/>
    </row>
    <row r="106" spans="1:10" ht="15" customHeight="1" x14ac:dyDescent="0.2">
      <c r="A106" s="239"/>
      <c r="B106" s="239"/>
      <c r="C106" s="661" t="s">
        <v>373</v>
      </c>
      <c r="D106" s="662"/>
      <c r="E106" s="662"/>
      <c r="F106" s="662"/>
      <c r="G106" s="663">
        <v>2226996</v>
      </c>
      <c r="H106" s="663"/>
    </row>
    <row r="107" spans="1:10" ht="15" customHeight="1" x14ac:dyDescent="0.2">
      <c r="A107" s="239"/>
      <c r="B107" s="239"/>
      <c r="C107" s="661" t="s">
        <v>548</v>
      </c>
      <c r="D107" s="662"/>
      <c r="E107" s="662"/>
      <c r="F107" s="662"/>
      <c r="G107" s="663">
        <v>64069</v>
      </c>
      <c r="H107" s="663"/>
    </row>
    <row r="108" spans="1:10" ht="15" customHeight="1" x14ac:dyDescent="0.2">
      <c r="A108" s="239"/>
      <c r="B108" s="239"/>
      <c r="C108" s="661" t="s">
        <v>547</v>
      </c>
      <c r="D108" s="662"/>
      <c r="E108" s="662"/>
      <c r="F108" s="662"/>
      <c r="G108" s="663">
        <v>1023181</v>
      </c>
      <c r="H108" s="663"/>
    </row>
    <row r="109" spans="1:10" ht="15" customHeight="1" x14ac:dyDescent="0.2">
      <c r="A109" s="239"/>
      <c r="B109" s="239"/>
      <c r="C109" s="661" t="s">
        <v>546</v>
      </c>
      <c r="D109" s="662"/>
      <c r="E109" s="662"/>
      <c r="F109" s="662"/>
      <c r="G109" s="663">
        <v>809246</v>
      </c>
      <c r="H109" s="663"/>
    </row>
    <row r="110" spans="1:10" ht="15" customHeight="1" x14ac:dyDescent="0.2">
      <c r="A110" s="239"/>
      <c r="B110" s="239"/>
      <c r="C110" s="661" t="s">
        <v>544</v>
      </c>
      <c r="D110" s="662"/>
      <c r="E110" s="662"/>
      <c r="F110" s="662"/>
      <c r="G110" s="663">
        <v>330500</v>
      </c>
      <c r="H110" s="663"/>
    </row>
    <row r="111" spans="1:10" ht="14.25" customHeight="1" x14ac:dyDescent="0.2">
      <c r="F111" s="664"/>
      <c r="G111" s="542"/>
      <c r="H111" s="542"/>
      <c r="I111" s="542"/>
      <c r="J111" s="542"/>
    </row>
    <row r="112" spans="1:10" ht="14.25" customHeight="1" x14ac:dyDescent="0.2">
      <c r="F112" s="240"/>
      <c r="G112" s="244"/>
      <c r="H112" s="244"/>
      <c r="I112" s="244"/>
      <c r="J112" s="244"/>
    </row>
    <row r="113" spans="2:7" ht="15.75" x14ac:dyDescent="0.25">
      <c r="B113" s="10" t="s">
        <v>27</v>
      </c>
      <c r="C113" s="10"/>
      <c r="D113" s="243"/>
      <c r="E113" s="243"/>
      <c r="F113" s="96" t="s">
        <v>28</v>
      </c>
      <c r="G113" s="243"/>
    </row>
  </sheetData>
  <mergeCells count="146">
    <mergeCell ref="C10:F10"/>
    <mergeCell ref="G10:H10"/>
    <mergeCell ref="C11:F11"/>
    <mergeCell ref="G11:H11"/>
    <mergeCell ref="A13:H13"/>
    <mergeCell ref="C14:F14"/>
    <mergeCell ref="G14:H14"/>
    <mergeCell ref="D3:H3"/>
    <mergeCell ref="E4:H4"/>
    <mergeCell ref="B6:I6"/>
    <mergeCell ref="A7:F7"/>
    <mergeCell ref="G7:I7"/>
    <mergeCell ref="A9:H9"/>
    <mergeCell ref="C20:F20"/>
    <mergeCell ref="G20:H20"/>
    <mergeCell ref="A22:H22"/>
    <mergeCell ref="C23:F23"/>
    <mergeCell ref="G23:H23"/>
    <mergeCell ref="C24:F24"/>
    <mergeCell ref="G24:H24"/>
    <mergeCell ref="C15:F15"/>
    <mergeCell ref="G15:H15"/>
    <mergeCell ref="A17:H17"/>
    <mergeCell ref="C18:F18"/>
    <mergeCell ref="G18:H18"/>
    <mergeCell ref="C19:F19"/>
    <mergeCell ref="G19:H19"/>
    <mergeCell ref="A31:H31"/>
    <mergeCell ref="C32:F32"/>
    <mergeCell ref="G32:H32"/>
    <mergeCell ref="C33:F33"/>
    <mergeCell ref="G33:H33"/>
    <mergeCell ref="C34:F34"/>
    <mergeCell ref="G34:H34"/>
    <mergeCell ref="A26:H26"/>
    <mergeCell ref="C27:F27"/>
    <mergeCell ref="G27:H27"/>
    <mergeCell ref="C28:F28"/>
    <mergeCell ref="G28:H28"/>
    <mergeCell ref="C29:F29"/>
    <mergeCell ref="G29:H29"/>
    <mergeCell ref="C40:F40"/>
    <mergeCell ref="G40:H40"/>
    <mergeCell ref="C41:F41"/>
    <mergeCell ref="G41:H41"/>
    <mergeCell ref="A43:H43"/>
    <mergeCell ref="C44:F44"/>
    <mergeCell ref="G44:H44"/>
    <mergeCell ref="C35:F35"/>
    <mergeCell ref="G35:H35"/>
    <mergeCell ref="A37:H37"/>
    <mergeCell ref="C38:F38"/>
    <mergeCell ref="G38:H38"/>
    <mergeCell ref="C39:F39"/>
    <mergeCell ref="G39:H39"/>
    <mergeCell ref="C50:F50"/>
    <mergeCell ref="G50:H50"/>
    <mergeCell ref="A52:H52"/>
    <mergeCell ref="C53:F53"/>
    <mergeCell ref="G53:H53"/>
    <mergeCell ref="C54:F54"/>
    <mergeCell ref="G54:H54"/>
    <mergeCell ref="C45:F45"/>
    <mergeCell ref="G45:H45"/>
    <mergeCell ref="C46:F46"/>
    <mergeCell ref="G46:H46"/>
    <mergeCell ref="A48:H48"/>
    <mergeCell ref="C49:F49"/>
    <mergeCell ref="G49:H49"/>
    <mergeCell ref="C60:F60"/>
    <mergeCell ref="G60:H60"/>
    <mergeCell ref="A62:H62"/>
    <mergeCell ref="C63:F63"/>
    <mergeCell ref="G63:H63"/>
    <mergeCell ref="C64:F64"/>
    <mergeCell ref="G64:H64"/>
    <mergeCell ref="C55:F55"/>
    <mergeCell ref="G55:H55"/>
    <mergeCell ref="A57:H57"/>
    <mergeCell ref="C58:F58"/>
    <mergeCell ref="G58:H58"/>
    <mergeCell ref="C59:F59"/>
    <mergeCell ref="G59:H59"/>
    <mergeCell ref="C71:F71"/>
    <mergeCell ref="G71:H71"/>
    <mergeCell ref="C72:F72"/>
    <mergeCell ref="G72:H72"/>
    <mergeCell ref="C73:F73"/>
    <mergeCell ref="G73:H73"/>
    <mergeCell ref="A66:H66"/>
    <mergeCell ref="C67:F67"/>
    <mergeCell ref="G67:H67"/>
    <mergeCell ref="C68:F68"/>
    <mergeCell ref="G68:H68"/>
    <mergeCell ref="A70:H70"/>
    <mergeCell ref="A80:H80"/>
    <mergeCell ref="C81:F81"/>
    <mergeCell ref="G81:H81"/>
    <mergeCell ref="C82:F82"/>
    <mergeCell ref="G82:H82"/>
    <mergeCell ref="C83:F83"/>
    <mergeCell ref="G83:H83"/>
    <mergeCell ref="A75:H75"/>
    <mergeCell ref="C76:F76"/>
    <mergeCell ref="G76:H76"/>
    <mergeCell ref="C77:F77"/>
    <mergeCell ref="G77:H77"/>
    <mergeCell ref="C78:F78"/>
    <mergeCell ref="G78:H78"/>
    <mergeCell ref="C90:F90"/>
    <mergeCell ref="G90:H90"/>
    <mergeCell ref="C91:F91"/>
    <mergeCell ref="G91:H91"/>
    <mergeCell ref="A93:H93"/>
    <mergeCell ref="C94:F94"/>
    <mergeCell ref="G94:H94"/>
    <mergeCell ref="A85:H85"/>
    <mergeCell ref="C86:F86"/>
    <mergeCell ref="G86:H86"/>
    <mergeCell ref="C87:F87"/>
    <mergeCell ref="G87:H87"/>
    <mergeCell ref="A89:H89"/>
    <mergeCell ref="A101:H101"/>
    <mergeCell ref="C102:F102"/>
    <mergeCell ref="G102:H102"/>
    <mergeCell ref="C103:F103"/>
    <mergeCell ref="G103:H103"/>
    <mergeCell ref="A105:H105"/>
    <mergeCell ref="C95:F95"/>
    <mergeCell ref="G95:H95"/>
    <mergeCell ref="A97:H97"/>
    <mergeCell ref="C98:F98"/>
    <mergeCell ref="G98:H98"/>
    <mergeCell ref="C99:F99"/>
    <mergeCell ref="G99:H99"/>
    <mergeCell ref="C109:F109"/>
    <mergeCell ref="G109:H109"/>
    <mergeCell ref="C110:F110"/>
    <mergeCell ref="G110:H110"/>
    <mergeCell ref="F111:J111"/>
    <mergeCell ref="C106:F106"/>
    <mergeCell ref="G106:H106"/>
    <mergeCell ref="C107:F107"/>
    <mergeCell ref="G107:H107"/>
    <mergeCell ref="C108:F108"/>
    <mergeCell ref="G108:H108"/>
  </mergeCells>
  <pageMargins left="1.1417322834645669" right="0.39370078740157483" top="0.39370078740157483" bottom="0.39370078740157483" header="0.51181102362204722" footer="0.19685039370078741"/>
  <pageSetup scale="90" pageOrder="overThenDown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29" sqref="G29"/>
    </sheetView>
  </sheetViews>
  <sheetFormatPr defaultRowHeight="12.75" x14ac:dyDescent="0.2"/>
  <cols>
    <col min="1" max="1" width="7.28515625" style="466" customWidth="1"/>
    <col min="2" max="2" width="35.28515625" style="466" customWidth="1"/>
    <col min="3" max="3" width="13.42578125" style="466" customWidth="1"/>
    <col min="4" max="4" width="14" style="466" customWidth="1"/>
    <col min="5" max="5" width="14.42578125" style="466" customWidth="1"/>
    <col min="6" max="16384" width="9.140625" style="466"/>
  </cols>
  <sheetData>
    <row r="1" spans="1:6" ht="15.75" x14ac:dyDescent="0.25">
      <c r="A1" s="465" t="s">
        <v>164</v>
      </c>
      <c r="B1" s="465"/>
      <c r="E1" s="467" t="s">
        <v>918</v>
      </c>
    </row>
    <row r="2" spans="1:6" ht="15.75" x14ac:dyDescent="0.25">
      <c r="A2" s="465"/>
      <c r="B2" s="465"/>
      <c r="E2" s="468" t="s">
        <v>440</v>
      </c>
    </row>
    <row r="3" spans="1:6" ht="15.75" x14ac:dyDescent="0.25">
      <c r="A3" s="465"/>
      <c r="B3" s="465"/>
      <c r="E3" s="468" t="s">
        <v>463</v>
      </c>
    </row>
    <row r="5" spans="1:6" ht="34.5" customHeight="1" x14ac:dyDescent="0.2">
      <c r="A5" s="678" t="s">
        <v>919</v>
      </c>
      <c r="B5" s="678"/>
      <c r="C5" s="678"/>
      <c r="D5" s="678"/>
      <c r="E5" s="678"/>
      <c r="F5" s="469"/>
    </row>
    <row r="6" spans="1:6" ht="15" x14ac:dyDescent="0.25">
      <c r="A6" s="470"/>
      <c r="B6" s="470"/>
      <c r="C6" s="470"/>
      <c r="D6" s="470"/>
      <c r="E6" s="471" t="s">
        <v>328</v>
      </c>
      <c r="F6" s="470"/>
    </row>
    <row r="7" spans="1:6" ht="15" x14ac:dyDescent="0.25">
      <c r="A7" s="472" t="s">
        <v>920</v>
      </c>
      <c r="B7" s="473"/>
      <c r="C7" s="474" t="s">
        <v>921</v>
      </c>
      <c r="D7" s="474" t="s">
        <v>922</v>
      </c>
      <c r="E7" s="474" t="s">
        <v>931</v>
      </c>
      <c r="F7" s="470"/>
    </row>
    <row r="8" spans="1:6" ht="15.75" x14ac:dyDescent="0.25">
      <c r="A8" s="475" t="s">
        <v>320</v>
      </c>
      <c r="B8" s="476" t="s">
        <v>54</v>
      </c>
      <c r="C8" s="477">
        <f>SUM(C9)</f>
        <v>1275946</v>
      </c>
      <c r="D8" s="477">
        <f>SUM(D9)</f>
        <v>1405000</v>
      </c>
      <c r="E8" s="477">
        <f>SUM(E9)</f>
        <v>1545000</v>
      </c>
      <c r="F8" s="478"/>
    </row>
    <row r="9" spans="1:6" ht="30" x14ac:dyDescent="0.25">
      <c r="A9" s="479"/>
      <c r="B9" s="480" t="s">
        <v>275</v>
      </c>
      <c r="C9" s="481">
        <v>1275946</v>
      </c>
      <c r="D9" s="513">
        <v>1405000</v>
      </c>
      <c r="E9" s="513">
        <v>1545000</v>
      </c>
      <c r="F9" s="470"/>
    </row>
    <row r="10" spans="1:6" ht="14.25" x14ac:dyDescent="0.2">
      <c r="A10" s="482" t="s">
        <v>322</v>
      </c>
      <c r="B10" s="476" t="s">
        <v>923</v>
      </c>
      <c r="C10" s="483">
        <f>SUM(C11:C15)</f>
        <v>1289613</v>
      </c>
      <c r="D10" s="483">
        <f>SUM(D11:D15)</f>
        <v>1405000</v>
      </c>
      <c r="E10" s="483">
        <f>SUM(E11:E15)</f>
        <v>1545000</v>
      </c>
      <c r="F10" s="478"/>
    </row>
    <row r="11" spans="1:6" ht="15" x14ac:dyDescent="0.25">
      <c r="A11" s="479">
        <v>1</v>
      </c>
      <c r="B11" s="480" t="s">
        <v>924</v>
      </c>
      <c r="C11" s="514">
        <v>0</v>
      </c>
      <c r="D11" s="515">
        <v>0</v>
      </c>
      <c r="E11" s="515">
        <v>0</v>
      </c>
      <c r="F11" s="470"/>
    </row>
    <row r="12" spans="1:6" ht="15" x14ac:dyDescent="0.25">
      <c r="A12" s="479">
        <v>2</v>
      </c>
      <c r="B12" s="480" t="s">
        <v>925</v>
      </c>
      <c r="C12" s="514">
        <v>0</v>
      </c>
      <c r="D12" s="515">
        <v>0</v>
      </c>
      <c r="E12" s="515">
        <v>0</v>
      </c>
      <c r="F12" s="470"/>
    </row>
    <row r="13" spans="1:6" ht="30" x14ac:dyDescent="0.25">
      <c r="A13" s="479">
        <v>2</v>
      </c>
      <c r="B13" s="480" t="s">
        <v>926</v>
      </c>
      <c r="C13" s="514">
        <v>285000</v>
      </c>
      <c r="D13" s="513">
        <v>230000</v>
      </c>
      <c r="E13" s="513">
        <v>250000</v>
      </c>
      <c r="F13" s="470"/>
    </row>
    <row r="14" spans="1:6" ht="15" x14ac:dyDescent="0.25">
      <c r="A14" s="479">
        <v>3</v>
      </c>
      <c r="B14" s="480" t="s">
        <v>927</v>
      </c>
      <c r="C14" s="514">
        <v>941513</v>
      </c>
      <c r="D14" s="515">
        <v>1111900</v>
      </c>
      <c r="E14" s="515">
        <v>1231900</v>
      </c>
      <c r="F14" s="470"/>
    </row>
    <row r="15" spans="1:6" ht="15" x14ac:dyDescent="0.25">
      <c r="A15" s="479">
        <v>4</v>
      </c>
      <c r="B15" s="480" t="s">
        <v>928</v>
      </c>
      <c r="C15" s="514">
        <v>63100</v>
      </c>
      <c r="D15" s="515">
        <v>63100</v>
      </c>
      <c r="E15" s="515">
        <v>63100</v>
      </c>
      <c r="F15" s="470"/>
    </row>
    <row r="16" spans="1:6" ht="14.25" x14ac:dyDescent="0.2">
      <c r="A16" s="482" t="s">
        <v>332</v>
      </c>
      <c r="B16" s="476" t="s">
        <v>929</v>
      </c>
      <c r="C16" s="484">
        <f>SUM(C17)</f>
        <v>13667</v>
      </c>
      <c r="D16" s="484">
        <f>SUM(D17)</f>
        <v>0</v>
      </c>
      <c r="E16" s="484">
        <f>SUM(E17)</f>
        <v>0</v>
      </c>
      <c r="F16" s="478"/>
    </row>
    <row r="17" spans="1:6" ht="15" x14ac:dyDescent="0.25">
      <c r="A17" s="479"/>
      <c r="B17" s="485" t="s">
        <v>930</v>
      </c>
      <c r="C17" s="486">
        <v>13667</v>
      </c>
      <c r="D17" s="486">
        <v>0</v>
      </c>
      <c r="E17" s="486">
        <v>0</v>
      </c>
      <c r="F17" s="470"/>
    </row>
    <row r="20" spans="1:6" ht="15.75" x14ac:dyDescent="0.25">
      <c r="A20" s="487" t="s">
        <v>27</v>
      </c>
      <c r="B20" s="487"/>
      <c r="C20" s="487"/>
      <c r="D20" s="487"/>
      <c r="E20" s="488" t="s">
        <v>28</v>
      </c>
    </row>
    <row r="21" spans="1:6" x14ac:dyDescent="0.2">
      <c r="C21" s="489"/>
    </row>
  </sheetData>
  <mergeCells count="1">
    <mergeCell ref="A5:E5"/>
  </mergeCells>
  <pageMargins left="0.98425196850393704" right="0.78740157480314965" top="0.59055118110236227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8.pielikums</vt:lpstr>
      <vt:lpstr>'1.pielikums'!Print_Titles</vt:lpstr>
      <vt:lpstr>'3.pielikums'!Print_Titles</vt:lpstr>
      <vt:lpstr>'4.pielikums'!Print_Titles</vt:lpstr>
      <vt:lpstr>'5.pielikums'!Print_Titles</vt:lpstr>
      <vt:lpstr>'7.pielikums'!Print_Titles</vt:lpstr>
    </vt:vector>
  </TitlesOfParts>
  <Company>Dome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Vera.Brauna</dc:creator>
  <cp:lastModifiedBy>Ināra Krīgere</cp:lastModifiedBy>
  <cp:lastPrinted>2018-01-23T09:48:59Z</cp:lastPrinted>
  <dcterms:created xsi:type="dcterms:W3CDTF">2007-01-09T12:30:29Z</dcterms:created>
  <dcterms:modified xsi:type="dcterms:W3CDTF">2018-01-24T08:55:33Z</dcterms:modified>
</cp:coreProperties>
</file>