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Dome\Finansu_nodala\Budzeta dokumenti\2018\04-25.10.2018\"/>
    </mc:Choice>
  </mc:AlternateContent>
  <bookViews>
    <workbookView xWindow="0" yWindow="0" windowWidth="24150" windowHeight="9915"/>
  </bookViews>
  <sheets>
    <sheet name="1.pielikums" sheetId="1" r:id="rId1"/>
    <sheet name="2.pielikums" sheetId="2" r:id="rId2"/>
    <sheet name="3.pielikums" sheetId="3" r:id="rId3"/>
    <sheet name="4.pielikums" sheetId="14" r:id="rId4"/>
    <sheet name="5.pielikums" sheetId="10" r:id="rId5"/>
    <sheet name="6.pielikums" sheetId="11" r:id="rId6"/>
  </sheets>
  <definedNames>
    <definedName name="_xlnm.Print_Titles" localSheetId="0">'1.pielikums'!$8:$8</definedName>
    <definedName name="_xlnm.Print_Titles" localSheetId="2">'3.pielikums'!$8:$10</definedName>
    <definedName name="_xlnm.Print_Titles" localSheetId="3">'4.pielikums'!$7:$7</definedName>
    <definedName name="_xlnm.Print_Titles" localSheetId="4">'5.pielikums'!$A:$A,'5.pielikums'!$5:$6</definedName>
    <definedName name="_xlnm.Print_Titles" localSheetId="5">'6.pielikums'!$15:$16</definedName>
  </definedNames>
  <calcPr calcId="152511"/>
</workbook>
</file>

<file path=xl/calcChain.xml><?xml version="1.0" encoding="utf-8"?>
<calcChain xmlns="http://schemas.openxmlformats.org/spreadsheetml/2006/main">
  <c r="I211" i="10" l="1"/>
  <c r="E189" i="3" l="1"/>
  <c r="E59" i="3"/>
  <c r="E30" i="3" l="1"/>
  <c r="E773" i="14" l="1"/>
  <c r="D773" i="14"/>
  <c r="E768" i="14"/>
  <c r="D768" i="14"/>
  <c r="E14" i="14"/>
  <c r="D14" i="14"/>
  <c r="E10" i="14"/>
  <c r="D10" i="14"/>
  <c r="E141" i="14"/>
  <c r="E140" i="14"/>
  <c r="D141" i="14"/>
  <c r="D140" i="14"/>
  <c r="E109" i="3"/>
  <c r="D79" i="1"/>
  <c r="D57" i="1" l="1"/>
  <c r="D73" i="1"/>
  <c r="H211" i="10" l="1"/>
  <c r="E118" i="3" l="1"/>
  <c r="H212" i="10" l="1"/>
  <c r="L224" i="10" l="1"/>
  <c r="H224" i="10"/>
  <c r="U212" i="10"/>
  <c r="U211" i="10"/>
  <c r="I212" i="10"/>
  <c r="J212" i="10"/>
  <c r="K212" i="10"/>
  <c r="M212" i="10"/>
  <c r="N212" i="10"/>
  <c r="O212" i="10"/>
  <c r="P212" i="10"/>
  <c r="Q212" i="10"/>
  <c r="R212" i="10"/>
  <c r="S212" i="10"/>
  <c r="T212" i="10"/>
  <c r="V212" i="10"/>
  <c r="W212" i="10"/>
  <c r="J211" i="10"/>
  <c r="K211" i="10"/>
  <c r="L211" i="10"/>
  <c r="M211" i="10"/>
  <c r="N211" i="10"/>
  <c r="O211" i="10"/>
  <c r="P211" i="10"/>
  <c r="Q211" i="10"/>
  <c r="R211" i="10"/>
  <c r="S211" i="10"/>
  <c r="T211" i="10"/>
  <c r="V211" i="10"/>
  <c r="W211" i="10"/>
  <c r="X210" i="10"/>
  <c r="X209" i="10"/>
  <c r="X208" i="10"/>
  <c r="X207" i="10"/>
  <c r="X206" i="10"/>
  <c r="X205" i="10"/>
  <c r="X203" i="10"/>
  <c r="X204" i="10"/>
  <c r="D25" i="2" l="1"/>
  <c r="D24" i="2"/>
  <c r="I85" i="3"/>
  <c r="C91" i="3"/>
  <c r="X178" i="10" l="1"/>
  <c r="L176" i="10"/>
  <c r="L212" i="10" s="1"/>
  <c r="I147" i="10"/>
  <c r="E26" i="11" l="1"/>
  <c r="C22" i="11"/>
  <c r="C21" i="11"/>
  <c r="C19" i="11"/>
  <c r="G10" i="11"/>
  <c r="D189" i="3" l="1"/>
  <c r="C189" i="3" s="1"/>
  <c r="D173" i="3" l="1"/>
  <c r="D171" i="3"/>
  <c r="H171" i="3"/>
  <c r="H164" i="3"/>
  <c r="F164" i="3"/>
  <c r="D164" i="3"/>
  <c r="D162" i="3"/>
  <c r="H159" i="3"/>
  <c r="H158" i="3"/>
  <c r="D153" i="3"/>
  <c r="F150" i="3"/>
  <c r="H149" i="3"/>
  <c r="H145" i="3"/>
  <c r="H144" i="3"/>
  <c r="F143" i="3"/>
  <c r="D143" i="3"/>
  <c r="D135" i="3"/>
  <c r="D134" i="3"/>
  <c r="F130" i="3"/>
  <c r="H130" i="3"/>
  <c r="H129" i="3"/>
  <c r="D125" i="3"/>
  <c r="H124" i="3"/>
  <c r="F122" i="3"/>
  <c r="D122" i="3"/>
  <c r="D118" i="3"/>
  <c r="D115" i="3"/>
  <c r="D112" i="3"/>
  <c r="D109" i="3"/>
  <c r="D107" i="3"/>
  <c r="D101" i="3"/>
  <c r="F101" i="3"/>
  <c r="H101" i="3"/>
  <c r="H100" i="3"/>
  <c r="F100" i="3"/>
  <c r="D100" i="3"/>
  <c r="H98" i="3"/>
  <c r="H94" i="3"/>
  <c r="D90" i="3"/>
  <c r="D87" i="3"/>
  <c r="D86" i="3"/>
  <c r="D83" i="3"/>
  <c r="H82" i="3"/>
  <c r="H71" i="3"/>
  <c r="D73" i="3"/>
  <c r="D72" i="3"/>
  <c r="D67" i="3"/>
  <c r="D49" i="3"/>
  <c r="D65" i="3"/>
  <c r="H65" i="3"/>
  <c r="H47" i="3"/>
  <c r="H46" i="3"/>
  <c r="D46" i="3"/>
  <c r="J44" i="3"/>
  <c r="H44" i="3"/>
  <c r="D36" i="3"/>
  <c r="D30" i="3"/>
  <c r="D25" i="3"/>
  <c r="D23" i="3"/>
  <c r="D14" i="3"/>
  <c r="C28" i="2"/>
  <c r="C79" i="1"/>
  <c r="C76" i="1"/>
  <c r="C73" i="1"/>
  <c r="C72" i="1"/>
  <c r="C70" i="1"/>
  <c r="C62" i="1"/>
  <c r="C60" i="1"/>
  <c r="C58" i="1"/>
  <c r="C57" i="1"/>
  <c r="C54" i="1"/>
  <c r="C47" i="1"/>
  <c r="X202" i="10" l="1"/>
  <c r="X201" i="10"/>
  <c r="X211" i="10" s="1"/>
  <c r="H17" i="11" l="1"/>
  <c r="G22" i="11"/>
  <c r="I22" i="11" s="1"/>
  <c r="F17" i="11"/>
  <c r="D17" i="11"/>
  <c r="C17" i="11"/>
  <c r="G17" i="11" l="1"/>
  <c r="I17" i="11" s="1"/>
  <c r="X200" i="10" l="1"/>
  <c r="X199" i="10"/>
  <c r="X198" i="10"/>
  <c r="X197" i="10"/>
  <c r="X196" i="10"/>
  <c r="X195" i="10"/>
  <c r="X147" i="10" l="1"/>
  <c r="X148" i="10"/>
  <c r="E28" i="11" l="1"/>
  <c r="G27" i="11"/>
  <c r="I27" i="11" s="1"/>
  <c r="G25" i="11"/>
  <c r="I25" i="11" s="1"/>
  <c r="G24" i="11"/>
  <c r="I24" i="11" s="1"/>
  <c r="H23" i="11"/>
  <c r="H28" i="11" s="1"/>
  <c r="F23" i="11"/>
  <c r="F28" i="11" s="1"/>
  <c r="G21" i="11"/>
  <c r="I21" i="11" s="1"/>
  <c r="G20" i="11"/>
  <c r="I20" i="11" s="1"/>
  <c r="G19" i="11"/>
  <c r="I19" i="11" s="1"/>
  <c r="G18" i="11"/>
  <c r="I18" i="11" s="1"/>
  <c r="C28" i="11"/>
  <c r="H12" i="11"/>
  <c r="G12" i="11"/>
  <c r="I11" i="11"/>
  <c r="I10" i="11"/>
  <c r="I9" i="11"/>
  <c r="I8" i="11"/>
  <c r="I12" i="11" l="1"/>
  <c r="G26" i="11"/>
  <c r="I26" i="11" s="1"/>
  <c r="D23" i="11"/>
  <c r="G23" i="11" s="1"/>
  <c r="I23" i="11" s="1"/>
  <c r="D28" i="11" l="1"/>
  <c r="G28" i="11"/>
  <c r="I28" i="11"/>
  <c r="L152" i="3" l="1"/>
  <c r="K152" i="3"/>
  <c r="J152" i="3"/>
  <c r="I152" i="3"/>
  <c r="G152" i="3"/>
  <c r="F152" i="3"/>
  <c r="E152" i="3"/>
  <c r="D152" i="3"/>
  <c r="C159" i="3"/>
  <c r="J77" i="3"/>
  <c r="H77" i="3"/>
  <c r="F77" i="3"/>
  <c r="K77" i="3"/>
  <c r="I77" i="3"/>
  <c r="G77" i="3"/>
  <c r="E77" i="3"/>
  <c r="C83" i="3"/>
  <c r="D186" i="3" l="1"/>
  <c r="F135" i="3"/>
  <c r="D177" i="3"/>
  <c r="H152" i="3"/>
  <c r="H138" i="3"/>
  <c r="H134" i="3"/>
  <c r="H123" i="3"/>
  <c r="F124" i="3"/>
  <c r="F123" i="3"/>
  <c r="F118" i="3"/>
  <c r="D98" i="3"/>
  <c r="D82" i="3"/>
  <c r="D77" i="3" s="1"/>
  <c r="D70" i="3"/>
  <c r="D40" i="3"/>
  <c r="D39" i="3"/>
  <c r="H32" i="3"/>
  <c r="D32" i="3"/>
  <c r="D19" i="3"/>
  <c r="H16" i="3"/>
  <c r="C75" i="1"/>
  <c r="C67" i="1"/>
  <c r="C12" i="1"/>
  <c r="E85" i="3" l="1"/>
  <c r="D183" i="3" l="1"/>
  <c r="D181" i="3" s="1"/>
  <c r="D85" i="3"/>
  <c r="C90" i="3"/>
  <c r="I6" i="10" l="1"/>
  <c r="J6" i="10" s="1"/>
  <c r="K6" i="10" s="1"/>
  <c r="L6" i="10" s="1"/>
  <c r="M6" i="10" s="1"/>
  <c r="N6" i="10" s="1"/>
  <c r="O6" i="10" s="1"/>
  <c r="P6" i="10" s="1"/>
  <c r="Q6" i="10" s="1"/>
  <c r="R6" i="10" s="1"/>
  <c r="S6" i="10" s="1"/>
  <c r="T6" i="10" s="1"/>
  <c r="U6" i="10" s="1"/>
  <c r="X7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40" i="10"/>
  <c r="X41" i="10"/>
  <c r="X42" i="10"/>
  <c r="X43" i="10"/>
  <c r="X44" i="10"/>
  <c r="X45" i="10"/>
  <c r="X46" i="10"/>
  <c r="X47" i="10"/>
  <c r="X48" i="10"/>
  <c r="X49" i="10"/>
  <c r="X50" i="10"/>
  <c r="X51" i="10"/>
  <c r="X52" i="10"/>
  <c r="X53" i="10"/>
  <c r="X54" i="10"/>
  <c r="X55" i="10"/>
  <c r="X56" i="10"/>
  <c r="X57" i="10"/>
  <c r="X58" i="10"/>
  <c r="X59" i="10"/>
  <c r="X60" i="10"/>
  <c r="X61" i="10"/>
  <c r="X62" i="10"/>
  <c r="X63" i="10"/>
  <c r="X64" i="10"/>
  <c r="X65" i="10"/>
  <c r="X66" i="10"/>
  <c r="X67" i="10"/>
  <c r="X68" i="10"/>
  <c r="X69" i="10"/>
  <c r="X70" i="10"/>
  <c r="X71" i="10"/>
  <c r="X72" i="10"/>
  <c r="X73" i="10"/>
  <c r="X74" i="10"/>
  <c r="X75" i="10"/>
  <c r="X76" i="10"/>
  <c r="X77" i="10"/>
  <c r="X78" i="10"/>
  <c r="X79" i="10"/>
  <c r="X80" i="10"/>
  <c r="X81" i="10"/>
  <c r="X82" i="10"/>
  <c r="X83" i="10"/>
  <c r="X84" i="10"/>
  <c r="X85" i="10"/>
  <c r="X86" i="10"/>
  <c r="X87" i="10"/>
  <c r="X88" i="10"/>
  <c r="X89" i="10"/>
  <c r="X90" i="10"/>
  <c r="X91" i="10"/>
  <c r="X92" i="10"/>
  <c r="X93" i="10"/>
  <c r="X94" i="10"/>
  <c r="X95" i="10"/>
  <c r="X96" i="10"/>
  <c r="X97" i="10"/>
  <c r="X98" i="10"/>
  <c r="X99" i="10"/>
  <c r="X100" i="10"/>
  <c r="X101" i="10"/>
  <c r="X102" i="10"/>
  <c r="X103" i="10"/>
  <c r="X104" i="10"/>
  <c r="X105" i="10"/>
  <c r="X106" i="10"/>
  <c r="X107" i="10"/>
  <c r="X108" i="10"/>
  <c r="X109" i="10"/>
  <c r="X110" i="10"/>
  <c r="X111" i="10"/>
  <c r="X112" i="10"/>
  <c r="X113" i="10"/>
  <c r="X114" i="10"/>
  <c r="X115" i="10"/>
  <c r="X116" i="10"/>
  <c r="X117" i="10"/>
  <c r="X118" i="10"/>
  <c r="X119" i="10"/>
  <c r="X120" i="10"/>
  <c r="X121" i="10"/>
  <c r="X122" i="10"/>
  <c r="X123" i="10"/>
  <c r="X124" i="10"/>
  <c r="X125" i="10"/>
  <c r="X126" i="10"/>
  <c r="X127" i="10"/>
  <c r="X128" i="10"/>
  <c r="X129" i="10"/>
  <c r="X130" i="10"/>
  <c r="X131" i="10"/>
  <c r="X132" i="10"/>
  <c r="X133" i="10"/>
  <c r="X134" i="10"/>
  <c r="X135" i="10"/>
  <c r="X136" i="10"/>
  <c r="X137" i="10"/>
  <c r="X138" i="10"/>
  <c r="X139" i="10"/>
  <c r="X140" i="10"/>
  <c r="X141" i="10"/>
  <c r="X142" i="10"/>
  <c r="X143" i="10"/>
  <c r="X144" i="10"/>
  <c r="X145" i="10"/>
  <c r="X146" i="10"/>
  <c r="X149" i="10"/>
  <c r="X150" i="10"/>
  <c r="X151" i="10"/>
  <c r="X152" i="10"/>
  <c r="X153" i="10"/>
  <c r="X154" i="10"/>
  <c r="X155" i="10"/>
  <c r="X156" i="10"/>
  <c r="X157" i="10"/>
  <c r="X158" i="10"/>
  <c r="X159" i="10"/>
  <c r="X160" i="10"/>
  <c r="X161" i="10"/>
  <c r="X162" i="10"/>
  <c r="X163" i="10"/>
  <c r="X164" i="10"/>
  <c r="X165" i="10"/>
  <c r="X166" i="10"/>
  <c r="X167" i="10"/>
  <c r="X168" i="10"/>
  <c r="X169" i="10"/>
  <c r="X170" i="10"/>
  <c r="X171" i="10"/>
  <c r="X172" i="10"/>
  <c r="X173" i="10"/>
  <c r="X174" i="10"/>
  <c r="X175" i="10"/>
  <c r="X176" i="10"/>
  <c r="X177" i="10"/>
  <c r="X179" i="10"/>
  <c r="X180" i="10"/>
  <c r="X181" i="10"/>
  <c r="X182" i="10"/>
  <c r="X183" i="10"/>
  <c r="X184" i="10"/>
  <c r="X185" i="10"/>
  <c r="X186" i="10"/>
  <c r="X187" i="10"/>
  <c r="X188" i="10"/>
  <c r="X189" i="10"/>
  <c r="X190" i="10"/>
  <c r="X191" i="10"/>
  <c r="X192" i="10"/>
  <c r="X193" i="10"/>
  <c r="X194" i="10"/>
  <c r="W236" i="10"/>
  <c r="X220" i="10"/>
  <c r="X221" i="10"/>
  <c r="X222" i="10"/>
  <c r="X223" i="10"/>
  <c r="X224" i="10"/>
  <c r="X225" i="10"/>
  <c r="X226" i="10"/>
  <c r="X227" i="10"/>
  <c r="X228" i="10"/>
  <c r="X229" i="10"/>
  <c r="H230" i="10"/>
  <c r="I230" i="10"/>
  <c r="J230" i="10"/>
  <c r="K230" i="10"/>
  <c r="L230" i="10"/>
  <c r="M230" i="10"/>
  <c r="N230" i="10"/>
  <c r="O230" i="10"/>
  <c r="O235" i="10" s="1"/>
  <c r="P230" i="10"/>
  <c r="Q230" i="10"/>
  <c r="R230" i="10"/>
  <c r="S230" i="10"/>
  <c r="T230" i="10"/>
  <c r="U230" i="10"/>
  <c r="V230" i="10"/>
  <c r="W230" i="10"/>
  <c r="W235" i="10" s="1"/>
  <c r="H231" i="10"/>
  <c r="I231" i="10"/>
  <c r="I232" i="10" s="1"/>
  <c r="J231" i="10"/>
  <c r="K231" i="10"/>
  <c r="L231" i="10"/>
  <c r="M231" i="10"/>
  <c r="M232" i="10" s="1"/>
  <c r="N231" i="10"/>
  <c r="O231" i="10"/>
  <c r="O236" i="10" s="1"/>
  <c r="P231" i="10"/>
  <c r="Q231" i="10"/>
  <c r="Q232" i="10" s="1"/>
  <c r="R231" i="10"/>
  <c r="S231" i="10"/>
  <c r="S232" i="10" s="1"/>
  <c r="T231" i="10"/>
  <c r="U231" i="10"/>
  <c r="U232" i="10" s="1"/>
  <c r="V231" i="10"/>
  <c r="W231" i="10"/>
  <c r="F238" i="10"/>
  <c r="X212" i="10" l="1"/>
  <c r="X213" i="10" s="1"/>
  <c r="H232" i="10"/>
  <c r="T232" i="10"/>
  <c r="P232" i="10"/>
  <c r="L232" i="10"/>
  <c r="V213" i="10"/>
  <c r="V214" i="10" s="1"/>
  <c r="S213" i="10"/>
  <c r="S214" i="10" s="1"/>
  <c r="T216" i="10"/>
  <c r="R213" i="10"/>
  <c r="R214" i="10" s="1"/>
  <c r="P216" i="10"/>
  <c r="S235" i="10"/>
  <c r="V236" i="10"/>
  <c r="W213" i="10"/>
  <c r="W214" i="10" s="1"/>
  <c r="S216" i="10"/>
  <c r="T235" i="10"/>
  <c r="N213" i="10"/>
  <c r="N214" i="10" s="1"/>
  <c r="K236" i="10"/>
  <c r="K213" i="10"/>
  <c r="K214" i="10" s="1"/>
  <c r="O213" i="10"/>
  <c r="O214" i="10" s="1"/>
  <c r="W232" i="10"/>
  <c r="O232" i="10"/>
  <c r="N236" i="10"/>
  <c r="O216" i="10"/>
  <c r="P213" i="10"/>
  <c r="P214" i="10" s="1"/>
  <c r="I213" i="10"/>
  <c r="I214" i="10" s="1"/>
  <c r="P235" i="10"/>
  <c r="S236" i="10"/>
  <c r="S237" i="10" s="1"/>
  <c r="S238" i="10" s="1"/>
  <c r="K235" i="10"/>
  <c r="X231" i="10"/>
  <c r="K232" i="10"/>
  <c r="K216" i="10"/>
  <c r="T213" i="10"/>
  <c r="T214" i="10" s="1"/>
  <c r="J213" i="10"/>
  <c r="J214" i="10" s="1"/>
  <c r="U213" i="10"/>
  <c r="U214" i="10" s="1"/>
  <c r="M213" i="10"/>
  <c r="M214" i="10" s="1"/>
  <c r="R232" i="10"/>
  <c r="Q236" i="10"/>
  <c r="M216" i="10"/>
  <c r="J232" i="10"/>
  <c r="R236" i="10"/>
  <c r="J236" i="10"/>
  <c r="L236" i="10"/>
  <c r="H235" i="10"/>
  <c r="V232" i="10"/>
  <c r="N232" i="10"/>
  <c r="X230" i="10"/>
  <c r="W237" i="10"/>
  <c r="W238" i="10" s="1"/>
  <c r="O237" i="10"/>
  <c r="O238" i="10" s="1"/>
  <c r="H213" i="10"/>
  <c r="H214" i="10" s="1"/>
  <c r="U236" i="10"/>
  <c r="M236" i="10"/>
  <c r="I236" i="10"/>
  <c r="V235" i="10"/>
  <c r="R235" i="10"/>
  <c r="N235" i="10"/>
  <c r="J235" i="10"/>
  <c r="V216" i="10"/>
  <c r="R216" i="10"/>
  <c r="N216" i="10"/>
  <c r="J216" i="10"/>
  <c r="T236" i="10"/>
  <c r="P236" i="10"/>
  <c r="H236" i="10"/>
  <c r="U235" i="10"/>
  <c r="Q235" i="10"/>
  <c r="M235" i="10"/>
  <c r="I235" i="10"/>
  <c r="U216" i="10"/>
  <c r="Q216" i="10"/>
  <c r="I216" i="10"/>
  <c r="E47" i="1"/>
  <c r="D46" i="1"/>
  <c r="C46" i="1"/>
  <c r="X232" i="10" l="1"/>
  <c r="V237" i="10"/>
  <c r="V238" i="10" s="1"/>
  <c r="U237" i="10"/>
  <c r="U238" i="10" s="1"/>
  <c r="K237" i="10"/>
  <c r="K238" i="10" s="1"/>
  <c r="T237" i="10"/>
  <c r="T238" i="10" s="1"/>
  <c r="J237" i="10"/>
  <c r="J238" i="10" s="1"/>
  <c r="M237" i="10"/>
  <c r="M238" i="10" s="1"/>
  <c r="E46" i="1"/>
  <c r="Q213" i="10"/>
  <c r="Q214" i="10" s="1"/>
  <c r="N237" i="10"/>
  <c r="N238" i="10" s="1"/>
  <c r="Q237" i="10"/>
  <c r="Q238" i="10" s="1"/>
  <c r="P237" i="10"/>
  <c r="P238" i="10" s="1"/>
  <c r="R237" i="10"/>
  <c r="R238" i="10" s="1"/>
  <c r="L216" i="10"/>
  <c r="L235" i="10"/>
  <c r="L237" i="10" s="1"/>
  <c r="L238" i="10" s="1"/>
  <c r="L213" i="10"/>
  <c r="L214" i="10" s="1"/>
  <c r="I237" i="10"/>
  <c r="I238" i="10" s="1"/>
  <c r="X236" i="10"/>
  <c r="H237" i="10"/>
  <c r="H238" i="10" s="1"/>
  <c r="L142" i="3"/>
  <c r="K142" i="3"/>
  <c r="J142" i="3"/>
  <c r="I142" i="3"/>
  <c r="H142" i="3"/>
  <c r="G142" i="3"/>
  <c r="F142" i="3"/>
  <c r="E142" i="3"/>
  <c r="D142" i="3"/>
  <c r="C146" i="3"/>
  <c r="D121" i="3"/>
  <c r="L43" i="3"/>
  <c r="K43" i="3"/>
  <c r="J43" i="3"/>
  <c r="I43" i="3"/>
  <c r="H43" i="3"/>
  <c r="G43" i="3"/>
  <c r="F43" i="3"/>
  <c r="E43" i="3"/>
  <c r="D43" i="3"/>
  <c r="C47" i="3"/>
  <c r="L128" i="3"/>
  <c r="K128" i="3"/>
  <c r="J128" i="3"/>
  <c r="I128" i="3"/>
  <c r="H128" i="3"/>
  <c r="G128" i="3"/>
  <c r="F128" i="3"/>
  <c r="E128" i="3"/>
  <c r="D128" i="3"/>
  <c r="C131" i="3"/>
  <c r="D117" i="3"/>
  <c r="L132" i="3"/>
  <c r="K132" i="3"/>
  <c r="J132" i="3"/>
  <c r="I132" i="3"/>
  <c r="H132" i="3"/>
  <c r="G132" i="3"/>
  <c r="F132" i="3"/>
  <c r="E132" i="3"/>
  <c r="D132" i="3"/>
  <c r="C138" i="3"/>
  <c r="D61" i="3"/>
  <c r="L48" i="3"/>
  <c r="K48" i="3"/>
  <c r="J48" i="3"/>
  <c r="I48" i="3"/>
  <c r="H48" i="3"/>
  <c r="G48" i="3"/>
  <c r="F48" i="3"/>
  <c r="E48" i="3"/>
  <c r="D48" i="3"/>
  <c r="C51" i="3"/>
  <c r="C50" i="3"/>
  <c r="C49" i="3"/>
  <c r="X235" i="10" l="1"/>
  <c r="X237" i="10" s="1"/>
  <c r="C48" i="3"/>
  <c r="C179" i="3"/>
  <c r="C178" i="3"/>
  <c r="E106" i="3"/>
  <c r="F106" i="3"/>
  <c r="G106" i="3"/>
  <c r="H106" i="3"/>
  <c r="I106" i="3"/>
  <c r="J106" i="3"/>
  <c r="K106" i="3"/>
  <c r="L106" i="3"/>
  <c r="D106" i="3"/>
  <c r="C109" i="3"/>
  <c r="F85" i="3"/>
  <c r="G85" i="3"/>
  <c r="H85" i="3"/>
  <c r="J85" i="3"/>
  <c r="K85" i="3"/>
  <c r="L85" i="3"/>
  <c r="C89" i="3"/>
  <c r="E69" i="3" l="1"/>
  <c r="F69" i="3"/>
  <c r="G69" i="3"/>
  <c r="H69" i="3"/>
  <c r="I69" i="3"/>
  <c r="J69" i="3"/>
  <c r="K69" i="3"/>
  <c r="L69" i="3"/>
  <c r="D69" i="3"/>
  <c r="D66" i="3" s="1"/>
  <c r="D68" i="1"/>
  <c r="D74" i="1"/>
  <c r="C74" i="1"/>
  <c r="E76" i="1"/>
  <c r="E75" i="1"/>
  <c r="E121" i="3"/>
  <c r="F121" i="3"/>
  <c r="G121" i="3"/>
  <c r="H121" i="3"/>
  <c r="I121" i="3"/>
  <c r="J121" i="3"/>
  <c r="K121" i="3"/>
  <c r="L121" i="3"/>
  <c r="E61" i="3"/>
  <c r="F61" i="3"/>
  <c r="G61" i="3"/>
  <c r="H61" i="3"/>
  <c r="I61" i="3"/>
  <c r="J61" i="3"/>
  <c r="K61" i="3"/>
  <c r="L61" i="3"/>
  <c r="E74" i="1" l="1"/>
  <c r="C68" i="1" l="1"/>
  <c r="G66" i="3" l="1"/>
  <c r="C76" i="3"/>
  <c r="D28" i="2" l="1"/>
  <c r="E33" i="3" l="1"/>
  <c r="F33" i="3"/>
  <c r="G33" i="3"/>
  <c r="H33" i="3"/>
  <c r="I33" i="3"/>
  <c r="J33" i="3"/>
  <c r="K33" i="3"/>
  <c r="L33" i="3"/>
  <c r="D33" i="3"/>
  <c r="C35" i="3"/>
  <c r="C36" i="3"/>
  <c r="E38" i="3" l="1"/>
  <c r="F38" i="3"/>
  <c r="G38" i="3"/>
  <c r="H38" i="3"/>
  <c r="I38" i="3"/>
  <c r="J38" i="3"/>
  <c r="K38" i="3"/>
  <c r="L38" i="3"/>
  <c r="C42" i="3"/>
  <c r="C46" i="3"/>
  <c r="E45" i="1" l="1"/>
  <c r="E44" i="1" s="1"/>
  <c r="D44" i="1"/>
  <c r="C44" i="1"/>
  <c r="D38" i="3" l="1"/>
  <c r="C65" i="1"/>
  <c r="D65" i="1" l="1"/>
  <c r="E67" i="1"/>
  <c r="L21" i="3" l="1"/>
  <c r="K21" i="3"/>
  <c r="J21" i="3"/>
  <c r="I21" i="3"/>
  <c r="H21" i="3"/>
  <c r="G21" i="3"/>
  <c r="F21" i="3"/>
  <c r="E21" i="3"/>
  <c r="D21" i="3"/>
  <c r="C23" i="3"/>
  <c r="C22" i="3"/>
  <c r="L93" i="3" l="1"/>
  <c r="K93" i="3"/>
  <c r="J93" i="3"/>
  <c r="I93" i="3"/>
  <c r="H93" i="3"/>
  <c r="G93" i="3"/>
  <c r="F93" i="3"/>
  <c r="E93" i="3"/>
  <c r="D93" i="3"/>
  <c r="C96" i="3"/>
  <c r="L117" i="3"/>
  <c r="K117" i="3"/>
  <c r="J117" i="3"/>
  <c r="I117" i="3"/>
  <c r="H117" i="3"/>
  <c r="G117" i="3"/>
  <c r="E117" i="3"/>
  <c r="C119" i="3"/>
  <c r="L77" i="3"/>
  <c r="F16" i="2"/>
  <c r="C82" i="3"/>
  <c r="C45" i="3"/>
  <c r="F117" i="3" l="1"/>
  <c r="H13" i="3"/>
  <c r="I13" i="3"/>
  <c r="E66" i="1" l="1"/>
  <c r="C137" i="3" l="1"/>
  <c r="C127" i="3"/>
  <c r="C75" i="3"/>
  <c r="C69" i="3" l="1"/>
  <c r="C41" i="3" l="1"/>
  <c r="E51" i="1"/>
  <c r="D48" i="1"/>
  <c r="C48" i="1"/>
  <c r="C53" i="1" l="1"/>
  <c r="D53" i="1"/>
  <c r="C158" i="3" l="1"/>
  <c r="C145" i="3"/>
  <c r="E54" i="1" l="1"/>
  <c r="E53" i="1" s="1"/>
  <c r="C182" i="3" l="1"/>
  <c r="C65" i="3"/>
  <c r="G28" i="2" l="1"/>
  <c r="F28" i="2"/>
  <c r="E28" i="2"/>
  <c r="E24" i="2"/>
  <c r="F24" i="2"/>
  <c r="G24" i="2"/>
  <c r="E25" i="2"/>
  <c r="F25" i="2"/>
  <c r="G25" i="2"/>
  <c r="D26" i="2"/>
  <c r="E26" i="2"/>
  <c r="F26" i="2"/>
  <c r="G26" i="2"/>
  <c r="D27" i="2"/>
  <c r="E27" i="2"/>
  <c r="F27" i="2"/>
  <c r="G27" i="2"/>
  <c r="G23" i="2"/>
  <c r="F23" i="2"/>
  <c r="E23" i="2"/>
  <c r="D23" i="2"/>
  <c r="G21" i="2"/>
  <c r="F21" i="2"/>
  <c r="E21" i="2"/>
  <c r="D21" i="2"/>
  <c r="E183" i="3"/>
  <c r="E181" i="3" s="1"/>
  <c r="F183" i="3"/>
  <c r="F181" i="3" s="1"/>
  <c r="G183" i="3"/>
  <c r="G181" i="3" s="1"/>
  <c r="H183" i="3"/>
  <c r="H181" i="3" s="1"/>
  <c r="I183" i="3"/>
  <c r="I181" i="3" s="1"/>
  <c r="J183" i="3"/>
  <c r="J181" i="3" s="1"/>
  <c r="K183" i="3"/>
  <c r="K181" i="3" s="1"/>
  <c r="L183" i="3"/>
  <c r="L181" i="3" s="1"/>
  <c r="C188" i="3"/>
  <c r="C187" i="3"/>
  <c r="C186" i="3"/>
  <c r="C185" i="3"/>
  <c r="C184" i="3"/>
  <c r="C181" i="3" l="1"/>
  <c r="H28" i="2"/>
  <c r="C183" i="3"/>
  <c r="E176" i="3" l="1"/>
  <c r="F176" i="3"/>
  <c r="G176" i="3"/>
  <c r="H176" i="3"/>
  <c r="I176" i="3"/>
  <c r="J176" i="3"/>
  <c r="K176" i="3"/>
  <c r="L176" i="3"/>
  <c r="D176" i="3"/>
  <c r="C180" i="3"/>
  <c r="C177" i="3"/>
  <c r="E169" i="3"/>
  <c r="F169" i="3"/>
  <c r="G169" i="3"/>
  <c r="H169" i="3"/>
  <c r="I169" i="3"/>
  <c r="J169" i="3"/>
  <c r="K169" i="3"/>
  <c r="L169" i="3"/>
  <c r="D169" i="3"/>
  <c r="C171" i="3"/>
  <c r="C172" i="3"/>
  <c r="C173" i="3"/>
  <c r="C174" i="3"/>
  <c r="C175" i="3"/>
  <c r="C170" i="3"/>
  <c r="C168" i="3"/>
  <c r="C167" i="3"/>
  <c r="E163" i="3"/>
  <c r="F163" i="3"/>
  <c r="G163" i="3"/>
  <c r="H163" i="3"/>
  <c r="I163" i="3"/>
  <c r="J163" i="3"/>
  <c r="K163" i="3"/>
  <c r="L163" i="3"/>
  <c r="D163" i="3"/>
  <c r="C165" i="3"/>
  <c r="C166" i="3"/>
  <c r="C164" i="3"/>
  <c r="E160" i="3"/>
  <c r="F160" i="3"/>
  <c r="G160" i="3"/>
  <c r="H160" i="3"/>
  <c r="I160" i="3"/>
  <c r="J160" i="3"/>
  <c r="K160" i="3"/>
  <c r="L160" i="3"/>
  <c r="D160" i="3"/>
  <c r="C162" i="3"/>
  <c r="C161" i="3"/>
  <c r="C154" i="3"/>
  <c r="C155" i="3"/>
  <c r="C156" i="3"/>
  <c r="C157" i="3"/>
  <c r="C153" i="3"/>
  <c r="J151" i="3" l="1"/>
  <c r="K151" i="3"/>
  <c r="G19" i="2" s="1"/>
  <c r="G151" i="3"/>
  <c r="E19" i="2" s="1"/>
  <c r="E151" i="3"/>
  <c r="D19" i="2" s="1"/>
  <c r="I151" i="3"/>
  <c r="F19" i="2" s="1"/>
  <c r="H151" i="3"/>
  <c r="L151" i="3"/>
  <c r="F151" i="3"/>
  <c r="C176" i="3"/>
  <c r="C169" i="3"/>
  <c r="C163" i="3"/>
  <c r="C160" i="3"/>
  <c r="E147" i="3"/>
  <c r="F147" i="3"/>
  <c r="G147" i="3"/>
  <c r="H147" i="3"/>
  <c r="I147" i="3"/>
  <c r="J147" i="3"/>
  <c r="K147" i="3"/>
  <c r="L147" i="3"/>
  <c r="D147" i="3"/>
  <c r="C150" i="3"/>
  <c r="C149" i="3"/>
  <c r="C148" i="3"/>
  <c r="C144" i="3"/>
  <c r="C143" i="3"/>
  <c r="C141" i="3"/>
  <c r="C140" i="3"/>
  <c r="E139" i="3"/>
  <c r="F139" i="3"/>
  <c r="G139" i="3"/>
  <c r="H139" i="3"/>
  <c r="I139" i="3"/>
  <c r="J139" i="3"/>
  <c r="K139" i="3"/>
  <c r="L139" i="3"/>
  <c r="D139" i="3"/>
  <c r="C136" i="3"/>
  <c r="C135" i="3"/>
  <c r="C134" i="3"/>
  <c r="C133" i="3"/>
  <c r="C130" i="3"/>
  <c r="C129" i="3"/>
  <c r="C123" i="3"/>
  <c r="C124" i="3"/>
  <c r="C125" i="3"/>
  <c r="C126" i="3"/>
  <c r="C122" i="3"/>
  <c r="C118" i="3"/>
  <c r="E111" i="3"/>
  <c r="F111" i="3"/>
  <c r="G111" i="3"/>
  <c r="H111" i="3"/>
  <c r="I111" i="3"/>
  <c r="J111" i="3"/>
  <c r="K111" i="3"/>
  <c r="L111" i="3"/>
  <c r="D111" i="3"/>
  <c r="C113" i="3"/>
  <c r="C114" i="3"/>
  <c r="C115" i="3"/>
  <c r="C112" i="3"/>
  <c r="C110" i="3"/>
  <c r="C108" i="3"/>
  <c r="C107" i="3"/>
  <c r="E102" i="3"/>
  <c r="F102" i="3"/>
  <c r="G102" i="3"/>
  <c r="H102" i="3"/>
  <c r="I102" i="3"/>
  <c r="J102" i="3"/>
  <c r="K102" i="3"/>
  <c r="L102" i="3"/>
  <c r="D102" i="3"/>
  <c r="C105" i="3"/>
  <c r="C104" i="3"/>
  <c r="C103" i="3"/>
  <c r="E99" i="3"/>
  <c r="F99" i="3"/>
  <c r="G99" i="3"/>
  <c r="H99" i="3"/>
  <c r="I99" i="3"/>
  <c r="J99" i="3"/>
  <c r="K99" i="3"/>
  <c r="L99" i="3"/>
  <c r="D99" i="3"/>
  <c r="C101" i="3"/>
  <c r="C100" i="3"/>
  <c r="E97" i="3"/>
  <c r="F97" i="3"/>
  <c r="G97" i="3"/>
  <c r="H97" i="3"/>
  <c r="I97" i="3"/>
  <c r="J97" i="3"/>
  <c r="K97" i="3"/>
  <c r="L97" i="3"/>
  <c r="D97" i="3"/>
  <c r="C98" i="3"/>
  <c r="C95" i="3"/>
  <c r="C94" i="3"/>
  <c r="C88" i="3"/>
  <c r="C87" i="3"/>
  <c r="C86" i="3"/>
  <c r="F92" i="3" l="1"/>
  <c r="J120" i="3"/>
  <c r="J116" i="3" s="1"/>
  <c r="F120" i="3"/>
  <c r="F116" i="3" s="1"/>
  <c r="K120" i="3"/>
  <c r="K116" i="3" s="1"/>
  <c r="G18" i="2" s="1"/>
  <c r="G120" i="3"/>
  <c r="G116" i="3" s="1"/>
  <c r="E18" i="2" s="1"/>
  <c r="L92" i="3"/>
  <c r="L84" i="3" s="1"/>
  <c r="H92" i="3"/>
  <c r="H84" i="3" s="1"/>
  <c r="J92" i="3"/>
  <c r="J84" i="3" s="1"/>
  <c r="F84" i="3"/>
  <c r="C99" i="3"/>
  <c r="C128" i="3"/>
  <c r="K92" i="3"/>
  <c r="K84" i="3" s="1"/>
  <c r="G17" i="2" s="1"/>
  <c r="G92" i="3"/>
  <c r="G84" i="3" s="1"/>
  <c r="E17" i="2" s="1"/>
  <c r="L120" i="3"/>
  <c r="L116" i="3" s="1"/>
  <c r="H120" i="3"/>
  <c r="H116" i="3" s="1"/>
  <c r="D120" i="3"/>
  <c r="D116" i="3" s="1"/>
  <c r="I120" i="3"/>
  <c r="I116" i="3" s="1"/>
  <c r="F18" i="2" s="1"/>
  <c r="E120" i="3"/>
  <c r="E116" i="3" s="1"/>
  <c r="D18" i="2" s="1"/>
  <c r="C106" i="3"/>
  <c r="C97" i="3"/>
  <c r="C139" i="3"/>
  <c r="C147" i="3"/>
  <c r="D92" i="3"/>
  <c r="D84" i="3" s="1"/>
  <c r="I92" i="3"/>
  <c r="I84" i="3" s="1"/>
  <c r="F17" i="2" s="1"/>
  <c r="E92" i="3"/>
  <c r="C142" i="3"/>
  <c r="C132" i="3"/>
  <c r="C121" i="3"/>
  <c r="C117" i="3"/>
  <c r="C85" i="3"/>
  <c r="C102" i="3"/>
  <c r="C111" i="3"/>
  <c r="C93" i="3"/>
  <c r="C79" i="3"/>
  <c r="C80" i="3"/>
  <c r="C81" i="3"/>
  <c r="C78" i="3"/>
  <c r="D16" i="2"/>
  <c r="E16" i="2"/>
  <c r="G16" i="2"/>
  <c r="E66" i="3"/>
  <c r="F66" i="3"/>
  <c r="E15" i="2"/>
  <c r="H66" i="3"/>
  <c r="I66" i="3"/>
  <c r="F15" i="2" s="1"/>
  <c r="J66" i="3"/>
  <c r="K66" i="3"/>
  <c r="G15" i="2" s="1"/>
  <c r="L66" i="3"/>
  <c r="C71" i="3"/>
  <c r="C72" i="3"/>
  <c r="C73" i="3"/>
  <c r="C74" i="3"/>
  <c r="C70" i="3"/>
  <c r="C68" i="3"/>
  <c r="C67" i="3"/>
  <c r="D15" i="2" l="1"/>
  <c r="C66" i="3"/>
  <c r="C116" i="3"/>
  <c r="C120" i="3"/>
  <c r="C92" i="3"/>
  <c r="E84" i="3"/>
  <c r="D17" i="2" s="1"/>
  <c r="C77" i="3"/>
  <c r="C84" i="3" l="1"/>
  <c r="E57" i="3"/>
  <c r="F57" i="3"/>
  <c r="G57" i="3"/>
  <c r="H57" i="3"/>
  <c r="I57" i="3"/>
  <c r="J57" i="3"/>
  <c r="K57" i="3"/>
  <c r="L57" i="3"/>
  <c r="D57" i="3"/>
  <c r="E63" i="3"/>
  <c r="F63" i="3"/>
  <c r="G63" i="3"/>
  <c r="H63" i="3"/>
  <c r="I63" i="3"/>
  <c r="J63" i="3"/>
  <c r="K63" i="3"/>
  <c r="L63" i="3"/>
  <c r="D63" i="3"/>
  <c r="C64" i="3"/>
  <c r="C62" i="3"/>
  <c r="C60" i="3"/>
  <c r="C59" i="3"/>
  <c r="C58" i="3"/>
  <c r="E52" i="3"/>
  <c r="E37" i="3" s="1"/>
  <c r="F52" i="3"/>
  <c r="F37" i="3" s="1"/>
  <c r="G52" i="3"/>
  <c r="G37" i="3" s="1"/>
  <c r="H52" i="3"/>
  <c r="H37" i="3" s="1"/>
  <c r="I52" i="3"/>
  <c r="I37" i="3" s="1"/>
  <c r="F13" i="2" s="1"/>
  <c r="J52" i="3"/>
  <c r="J37" i="3" s="1"/>
  <c r="K52" i="3"/>
  <c r="K37" i="3" s="1"/>
  <c r="L52" i="3"/>
  <c r="L37" i="3" s="1"/>
  <c r="D52" i="3"/>
  <c r="D37" i="3" s="1"/>
  <c r="C54" i="3"/>
  <c r="C55" i="3"/>
  <c r="C53" i="3"/>
  <c r="C44" i="3"/>
  <c r="C40" i="3"/>
  <c r="C39" i="3"/>
  <c r="C34" i="3"/>
  <c r="E31" i="3"/>
  <c r="F31" i="3"/>
  <c r="G31" i="3"/>
  <c r="E12" i="2" s="1"/>
  <c r="H31" i="3"/>
  <c r="I31" i="3"/>
  <c r="F12" i="2" s="1"/>
  <c r="J31" i="3"/>
  <c r="K31" i="3"/>
  <c r="G12" i="2" s="1"/>
  <c r="L31" i="3"/>
  <c r="D31" i="3"/>
  <c r="C32" i="3"/>
  <c r="C30" i="3"/>
  <c r="E26" i="3"/>
  <c r="F26" i="3"/>
  <c r="G26" i="3"/>
  <c r="H26" i="3"/>
  <c r="I26" i="3"/>
  <c r="J26" i="3"/>
  <c r="K26" i="3"/>
  <c r="L26" i="3"/>
  <c r="D26" i="3"/>
  <c r="C28" i="3"/>
  <c r="C29" i="3"/>
  <c r="C27" i="3"/>
  <c r="C24" i="3"/>
  <c r="C25" i="3"/>
  <c r="C21" i="3"/>
  <c r="E17" i="3"/>
  <c r="F17" i="3"/>
  <c r="G17" i="3"/>
  <c r="H17" i="3"/>
  <c r="I17" i="3"/>
  <c r="J17" i="3"/>
  <c r="K17" i="3"/>
  <c r="L17" i="3"/>
  <c r="D17" i="3"/>
  <c r="C19" i="3"/>
  <c r="C20" i="3"/>
  <c r="C18" i="3"/>
  <c r="D12" i="2" l="1"/>
  <c r="C17" i="3"/>
  <c r="J56" i="3"/>
  <c r="F56" i="3"/>
  <c r="D56" i="3"/>
  <c r="E56" i="3"/>
  <c r="D14" i="2" s="1"/>
  <c r="C38" i="3"/>
  <c r="D13" i="2"/>
  <c r="C63" i="3"/>
  <c r="K56" i="3"/>
  <c r="G14" i="2" s="1"/>
  <c r="L56" i="3"/>
  <c r="H56" i="3"/>
  <c r="C43" i="3"/>
  <c r="I56" i="3"/>
  <c r="F14" i="2" s="1"/>
  <c r="G56" i="3"/>
  <c r="E14" i="2" s="1"/>
  <c r="C57" i="3"/>
  <c r="C61" i="3"/>
  <c r="C52" i="3"/>
  <c r="C31" i="3"/>
  <c r="C33" i="3"/>
  <c r="C26" i="3"/>
  <c r="C15" i="3"/>
  <c r="C16" i="3"/>
  <c r="C14" i="3"/>
  <c r="E13" i="3"/>
  <c r="F13" i="3"/>
  <c r="F12" i="3" s="1"/>
  <c r="G13" i="3"/>
  <c r="G12" i="3" s="1"/>
  <c r="E11" i="2" s="1"/>
  <c r="H12" i="3"/>
  <c r="I12" i="3"/>
  <c r="F11" i="2" s="1"/>
  <c r="J13" i="3"/>
  <c r="J12" i="3" s="1"/>
  <c r="K13" i="3"/>
  <c r="K12" i="3" s="1"/>
  <c r="G11" i="2" s="1"/>
  <c r="L13" i="3"/>
  <c r="L12" i="3" s="1"/>
  <c r="D13" i="3"/>
  <c r="L11" i="3" l="1"/>
  <c r="L190" i="3" s="1"/>
  <c r="E12" i="3"/>
  <c r="J11" i="3"/>
  <c r="J190" i="3" s="1"/>
  <c r="G13" i="2"/>
  <c r="G10" i="2" s="1"/>
  <c r="K11" i="3"/>
  <c r="K190" i="3" s="1"/>
  <c r="F10" i="2"/>
  <c r="I11" i="3"/>
  <c r="I190" i="3" s="1"/>
  <c r="G11" i="3"/>
  <c r="G190" i="3" s="1"/>
  <c r="E13" i="2"/>
  <c r="E10" i="2" s="1"/>
  <c r="H11" i="3"/>
  <c r="H190" i="3" s="1"/>
  <c r="F11" i="3"/>
  <c r="F190" i="3" s="1"/>
  <c r="C37" i="3"/>
  <c r="C56" i="3"/>
  <c r="C13" i="3"/>
  <c r="D12" i="3"/>
  <c r="D22" i="2"/>
  <c r="D20" i="2" s="1"/>
  <c r="E22" i="2"/>
  <c r="E20" i="2" s="1"/>
  <c r="F22" i="2"/>
  <c r="F20" i="2" s="1"/>
  <c r="G22" i="2"/>
  <c r="G20" i="2" s="1"/>
  <c r="C22" i="2"/>
  <c r="C20" i="2" s="1"/>
  <c r="C10" i="2"/>
  <c r="H12" i="2"/>
  <c r="H14" i="2"/>
  <c r="H15" i="2"/>
  <c r="H16" i="2"/>
  <c r="H17" i="2"/>
  <c r="H18" i="2"/>
  <c r="H19" i="2"/>
  <c r="H21" i="2"/>
  <c r="H23" i="2"/>
  <c r="H24" i="2"/>
  <c r="H25" i="2"/>
  <c r="H26" i="2"/>
  <c r="H27" i="2"/>
  <c r="E79" i="1"/>
  <c r="E78" i="1"/>
  <c r="D77" i="1"/>
  <c r="C77" i="1"/>
  <c r="E70" i="1"/>
  <c r="E71" i="1"/>
  <c r="E72" i="1"/>
  <c r="E73" i="1"/>
  <c r="E69" i="1"/>
  <c r="E65" i="1"/>
  <c r="D64" i="1"/>
  <c r="D63" i="1" s="1"/>
  <c r="E68" i="1" l="1"/>
  <c r="E64" i="1" s="1"/>
  <c r="E63" i="1" s="1"/>
  <c r="E11" i="3"/>
  <c r="E190" i="3" s="1"/>
  <c r="D11" i="2"/>
  <c r="C64" i="1"/>
  <c r="C63" i="1" s="1"/>
  <c r="C29" i="2"/>
  <c r="H13" i="2"/>
  <c r="C12" i="3"/>
  <c r="G29" i="2"/>
  <c r="F29" i="2"/>
  <c r="E29" i="2"/>
  <c r="H22" i="2"/>
  <c r="H20" i="2"/>
  <c r="E77" i="1"/>
  <c r="E58" i="1"/>
  <c r="E59" i="1"/>
  <c r="E60" i="1"/>
  <c r="E57" i="1"/>
  <c r="D56" i="1"/>
  <c r="D55" i="1" s="1"/>
  <c r="C56" i="1"/>
  <c r="C55" i="1" s="1"/>
  <c r="E62" i="1"/>
  <c r="E61" i="1" s="1"/>
  <c r="D61" i="1"/>
  <c r="C61" i="1"/>
  <c r="E50" i="1"/>
  <c r="E49" i="1"/>
  <c r="E42" i="1"/>
  <c r="E43" i="1"/>
  <c r="E41" i="1"/>
  <c r="D40" i="1"/>
  <c r="D39" i="1" s="1"/>
  <c r="C40" i="1"/>
  <c r="C39" i="1" s="1"/>
  <c r="E38" i="1"/>
  <c r="E37" i="1"/>
  <c r="D36" i="1"/>
  <c r="D35" i="1" s="1"/>
  <c r="C36" i="1"/>
  <c r="C35" i="1" s="1"/>
  <c r="E29" i="1"/>
  <c r="E30" i="1"/>
  <c r="E31" i="1"/>
  <c r="E32" i="1"/>
  <c r="E33" i="1"/>
  <c r="E34" i="1"/>
  <c r="E28" i="1"/>
  <c r="E25" i="1"/>
  <c r="E26" i="1"/>
  <c r="E24" i="1"/>
  <c r="E21" i="1"/>
  <c r="E20" i="1" s="1"/>
  <c r="E18" i="1"/>
  <c r="E17" i="1"/>
  <c r="E16" i="1"/>
  <c r="E15" i="1"/>
  <c r="E13" i="1"/>
  <c r="E12" i="1"/>
  <c r="D23" i="1"/>
  <c r="C23" i="1"/>
  <c r="D27" i="1"/>
  <c r="C27" i="1"/>
  <c r="D20" i="1"/>
  <c r="C20" i="1"/>
  <c r="D14" i="1"/>
  <c r="C14" i="1"/>
  <c r="D11" i="1"/>
  <c r="C11" i="1"/>
  <c r="E48" i="1" l="1"/>
  <c r="H11" i="2"/>
  <c r="D10" i="2"/>
  <c r="C52" i="1"/>
  <c r="D52" i="1"/>
  <c r="D10" i="1"/>
  <c r="D22" i="1"/>
  <c r="D19" i="1" s="1"/>
  <c r="E56" i="1"/>
  <c r="E55" i="1" s="1"/>
  <c r="E52" i="1" s="1"/>
  <c r="C22" i="1"/>
  <c r="C19" i="1" s="1"/>
  <c r="E27" i="1"/>
  <c r="E23" i="1"/>
  <c r="C10" i="1"/>
  <c r="E11" i="1"/>
  <c r="E40" i="1"/>
  <c r="E39" i="1" s="1"/>
  <c r="E36" i="1"/>
  <c r="E35" i="1" s="1"/>
  <c r="E14" i="1"/>
  <c r="D29" i="2" l="1"/>
  <c r="H29" i="2" s="1"/>
  <c r="H10" i="2"/>
  <c r="D9" i="1"/>
  <c r="D80" i="1" s="1"/>
  <c r="E22" i="1"/>
  <c r="E19" i="1" s="1"/>
  <c r="C9" i="1"/>
  <c r="C80" i="1" s="1"/>
  <c r="E10" i="1"/>
  <c r="E9" i="1" l="1"/>
  <c r="E80" i="1" s="1"/>
  <c r="C152" i="3" l="1"/>
  <c r="D151" i="3"/>
  <c r="C151" i="3" l="1"/>
  <c r="D11" i="3"/>
  <c r="C11" i="3" s="1"/>
  <c r="C190" i="3" s="1"/>
  <c r="D190" i="3" l="1"/>
</calcChain>
</file>

<file path=xl/sharedStrings.xml><?xml version="1.0" encoding="utf-8"?>
<sst xmlns="http://schemas.openxmlformats.org/spreadsheetml/2006/main" count="1865" uniqueCount="1025">
  <si>
    <t>PROJEKTS</t>
  </si>
  <si>
    <t>1.pielikums</t>
  </si>
  <si>
    <t>Pamatbudžeta ieņēmumi</t>
  </si>
  <si>
    <t>Rādītāju nosaukums</t>
  </si>
  <si>
    <t>Grozījumi</t>
  </si>
  <si>
    <t>Klasifikā-cijas kods</t>
  </si>
  <si>
    <t>01.110.</t>
  </si>
  <si>
    <t>Iedzīvotāju ienākuma nodoklis</t>
  </si>
  <si>
    <t>01.111.</t>
  </si>
  <si>
    <t>Saņemts no Valsts kases sadales konta iepriekšējā gada nesadalītais iedzīvotāju ienākuma nodokļa atlikums</t>
  </si>
  <si>
    <t>01.112.</t>
  </si>
  <si>
    <t>Saņemts no Valsts kases sadales konta pārskata gadā ieskaitītais iedzīvotāju ienākuma nodoklis</t>
  </si>
  <si>
    <t>EUR</t>
  </si>
  <si>
    <t>04.100.</t>
  </si>
  <si>
    <t>Nekustamā īpašuma nodoklis</t>
  </si>
  <si>
    <t>04.110.</t>
  </si>
  <si>
    <t>Nekustamā īpašuma nodoklis par zemi</t>
  </si>
  <si>
    <t>04.120.</t>
  </si>
  <si>
    <t>Nekustamā īpašuma nodoklis par ēkām</t>
  </si>
  <si>
    <t>04.130.</t>
  </si>
  <si>
    <t>Nekustamā īpašuma nodoklis par mājokļiem</t>
  </si>
  <si>
    <t>05.410.</t>
  </si>
  <si>
    <t>Azartspēļu nodoklis</t>
  </si>
  <si>
    <t>I. IEŅĒMUMI KOPĀ (1+2+3+4)</t>
  </si>
  <si>
    <t>1. Nodokļu ieņēmumi</t>
  </si>
  <si>
    <t>2. Nenodokļu ieņēmumi</t>
  </si>
  <si>
    <t>08.000.</t>
  </si>
  <si>
    <t>Ieņēmumi no uzņēmējdarbības un īpašuma</t>
  </si>
  <si>
    <t>08.620.</t>
  </si>
  <si>
    <t>Procentu ieņēmumi no kontu atlikumiem</t>
  </si>
  <si>
    <t>09.000.</t>
  </si>
  <si>
    <t>Valsts (pašvaldību) nodevas un kancelejas nodevas</t>
  </si>
  <si>
    <t>09.400.</t>
  </si>
  <si>
    <t>Valsts nodevas, kuras ieskaita pašvaldību budžetā</t>
  </si>
  <si>
    <t>09.430.</t>
  </si>
  <si>
    <t>Valsts nodeva par uzvārda, vārda un tautības ieraksta maiņu personu apliecinošos dokumentos</t>
  </si>
  <si>
    <t>09.450.</t>
  </si>
  <si>
    <t>Valsts nodevas par laulības reģistrāciju, civilstāvokļa akta reģistra ieraksta aktualizēšanu vai atjaunošanu un atkārtotas civilstāvokļa aktu reģistrācijas apliecības izsniegšanu</t>
  </si>
  <si>
    <t>09.490.</t>
  </si>
  <si>
    <t>Pārējās valsts nodevas, kuras ieskaita pašvaldību budžetā</t>
  </si>
  <si>
    <t>09.500.</t>
  </si>
  <si>
    <t>Pašvaldību nodevas</t>
  </si>
  <si>
    <t>09.511.</t>
  </si>
  <si>
    <t>Pašvaldību nodeva par domes izstrādāto oficiālo dokumentu un apliecinātu to kopiju saņemšanu</t>
  </si>
  <si>
    <t>09.512.</t>
  </si>
  <si>
    <t>09.514.</t>
  </si>
  <si>
    <t>09.515.</t>
  </si>
  <si>
    <t>09.517.</t>
  </si>
  <si>
    <t>09.521.</t>
  </si>
  <si>
    <t>09.529.</t>
  </si>
  <si>
    <t>Pašvaldības nodeva par izklaidējoša rakstura pasākumu sarīkošanu publiskās vietās</t>
  </si>
  <si>
    <t>Pašvaldības nodeva par tirdzniecību publiskās vietās</t>
  </si>
  <si>
    <t>Pašvaldības nodeva par dzīvnieku turēšanu</t>
  </si>
  <si>
    <t>Pašvaldības nodeva par reklāmas, afišu un sludinājumu izvietošanu publiskās vietās</t>
  </si>
  <si>
    <t>Pašvaldības nodeva par būvatļaujas saņemšanu</t>
  </si>
  <si>
    <t>Pārējās nodevas, ko uzliek pašvaldības</t>
  </si>
  <si>
    <t>10.000.</t>
  </si>
  <si>
    <t>Naudas sodi un sankcijas</t>
  </si>
  <si>
    <t>10.140.</t>
  </si>
  <si>
    <t>Naudas sodi, ko uzliek pašvaldības</t>
  </si>
  <si>
    <t>10.100.</t>
  </si>
  <si>
    <t>Naudas sodi</t>
  </si>
  <si>
    <t>10.154.</t>
  </si>
  <si>
    <t>Naudas sodi, ko uzliek pašvaldību institūcijas par pārkāpumiem ceļu satiksmē</t>
  </si>
  <si>
    <t>12.000.</t>
  </si>
  <si>
    <t>Pārējie nenodokļu ieņēmumi</t>
  </si>
  <si>
    <t>12.310.</t>
  </si>
  <si>
    <t>Ieņēmumi no privatizācijas</t>
  </si>
  <si>
    <t>12.311.</t>
  </si>
  <si>
    <t>Ieņēmumi no apbūvēta zemesgabala privatizācijas</t>
  </si>
  <si>
    <t>12.312.</t>
  </si>
  <si>
    <t>12.313.</t>
  </si>
  <si>
    <t>Ieņēmumi no dzīvojamo māju privatizācijas</t>
  </si>
  <si>
    <t>12.390.</t>
  </si>
  <si>
    <t>Citi dažādi  nenodokļu ieņēmumi</t>
  </si>
  <si>
    <t>13.000.</t>
  </si>
  <si>
    <t>13.100.</t>
  </si>
  <si>
    <t>13.200.</t>
  </si>
  <si>
    <t>Ieņēmumi no ēku un būvju īpašuma pārdošanas</t>
  </si>
  <si>
    <t>Ieņēmumi no zemes, meža īpašuma pārdošanas</t>
  </si>
  <si>
    <t>Ieņēmumi no (valsts) pašvaldību īpašuma iznomāšanas, pārdošanas un no nodokļu pamatparāda kapitalizācijas</t>
  </si>
  <si>
    <t>3. Transferti</t>
  </si>
  <si>
    <t>18.000.</t>
  </si>
  <si>
    <t>Valsts budžeta transferti</t>
  </si>
  <si>
    <t>18.600.</t>
  </si>
  <si>
    <t>18.620.</t>
  </si>
  <si>
    <t>18.630.</t>
  </si>
  <si>
    <t>18.640.</t>
  </si>
  <si>
    <t>18.690.</t>
  </si>
  <si>
    <t>Pašvaldību saņemtie valsts budžeta transferti noteiktam mērķim</t>
  </si>
  <si>
    <t>Pašvaldību no valsts budžeta iestādēm saņemtie transferti Eiropas Savienības politiku instrumentu un pārējās ārvalstu finanšu palīdzības līdzfinansētajiem projektiem (pasākumiem)</t>
  </si>
  <si>
    <t>Pārējie pašvaldību saņemtie valsts budžeta iestāžu transferti</t>
  </si>
  <si>
    <t>Pašvaldību budžetā saņemtā dotācija no pašvaldību finanšu izlīdzināšanas fonda</t>
  </si>
  <si>
    <t>19.000.</t>
  </si>
  <si>
    <t>19.200.</t>
  </si>
  <si>
    <t>Pašvaldību saņemtie transferti no citām pašvaldībām</t>
  </si>
  <si>
    <t>4. Maksas pakalpojumi un citi pašu ieņēmumi</t>
  </si>
  <si>
    <t>21.000.</t>
  </si>
  <si>
    <t>Iestādes ieņēmumi</t>
  </si>
  <si>
    <t>21.100.</t>
  </si>
  <si>
    <t>Iestādes ieņēmumi no ārvalstu finanšu palīdzības</t>
  </si>
  <si>
    <t>21.300.</t>
  </si>
  <si>
    <t>Ieņēmumi no iestāžu sniegtajiem maksas pakalpojumiem un citi pašu ieņēmumi</t>
  </si>
  <si>
    <t>21.340.</t>
  </si>
  <si>
    <t>21.350.</t>
  </si>
  <si>
    <t>21.370.</t>
  </si>
  <si>
    <t>21.380.</t>
  </si>
  <si>
    <t>21.390.</t>
  </si>
  <si>
    <t>Procentu ieņēmumi par maksas pakalpojumu un citu pašu ieņēmumu ieguldījumiem depozītā vai kontu atlikumiem</t>
  </si>
  <si>
    <t>Maksa par izglītības pakalpojumiem</t>
  </si>
  <si>
    <t>Ieņēmumi par nomu un īri</t>
  </si>
  <si>
    <t>Ieņēmumi par dokumentu izsniegšanu un kancelejas pakalpojumiem</t>
  </si>
  <si>
    <t>II. FINANSĒŠANA</t>
  </si>
  <si>
    <t>F21010000</t>
  </si>
  <si>
    <t>F40020000</t>
  </si>
  <si>
    <t>Naudas līdzekļi uz perioda sākumu</t>
  </si>
  <si>
    <t>Aizņēmumi</t>
  </si>
  <si>
    <t>PAVISAM RESURSI (I+II)</t>
  </si>
  <si>
    <t>Grozījumi         + vai -</t>
  </si>
  <si>
    <t>Valdības funkcija</t>
  </si>
  <si>
    <t>Resursi izdevumu segšanai</t>
  </si>
  <si>
    <t>Dotācija no vispārējiem ieņēmumiem</t>
  </si>
  <si>
    <t>Budžeta iestāžu ieņēmumi</t>
  </si>
  <si>
    <t>Domes priekšsēdētājs</t>
  </si>
  <si>
    <t>A.Rāviņš</t>
  </si>
  <si>
    <t>I. Izdevumi atbilstoši funkcionālajām kategorijām</t>
  </si>
  <si>
    <t>Pamatbudžeta izdevumu grozījumi</t>
  </si>
  <si>
    <t>01.000.</t>
  </si>
  <si>
    <t>03.000.</t>
  </si>
  <si>
    <t>04.000.</t>
  </si>
  <si>
    <t>05.000.</t>
  </si>
  <si>
    <t>06.000.</t>
  </si>
  <si>
    <t>07.000.</t>
  </si>
  <si>
    <t>II. Finansēšana</t>
  </si>
  <si>
    <t>F40320020</t>
  </si>
  <si>
    <t>F50010000</t>
  </si>
  <si>
    <t>Vispārējie valdības dienesti</t>
  </si>
  <si>
    <t>Sabiedriskā kārtība un drošība</t>
  </si>
  <si>
    <t>Ekonomiskā darbība</t>
  </si>
  <si>
    <t>Vides aizsardzība</t>
  </si>
  <si>
    <t>Teritoriju un mājokļu apsaimniekošana</t>
  </si>
  <si>
    <t>Veselība</t>
  </si>
  <si>
    <t>Atpūta, kultūra un reliģija</t>
  </si>
  <si>
    <t>Izglītība</t>
  </si>
  <si>
    <t>Sociālā aizsardzība</t>
  </si>
  <si>
    <t>Saņemto ilgtermiņa aizņēmumu atmaksa</t>
  </si>
  <si>
    <t>Akcijas un cita līdzdalība komersantu pašu kapitālā</t>
  </si>
  <si>
    <t>PAVISAM IZDEVUMI (I+II)</t>
  </si>
  <si>
    <t>Naudas līdzekļu atlikums uz perioda beigām</t>
  </si>
  <si>
    <t>2.pielikums</t>
  </si>
  <si>
    <t>Pamatbudžeta izdevumu atšifrējums pa programmām</t>
  </si>
  <si>
    <t>Grozījumi dotācijai no vispārējiem ieņēmumiem</t>
  </si>
  <si>
    <t>Grozījumi valsts budžeta transfertiem</t>
  </si>
  <si>
    <t>Pašvaldību budžeta transferti</t>
  </si>
  <si>
    <t>3.pielikums</t>
  </si>
  <si>
    <t>Grozījumi pašvaldību budžeta transfertiem</t>
  </si>
  <si>
    <t>Grozījumi budžeta iestāžu ieņēmumiem</t>
  </si>
  <si>
    <t>Izpildvaras un likumdošanas varas institūcijas</t>
  </si>
  <si>
    <t>Izpildvaras institūcija</t>
  </si>
  <si>
    <t>01.113.</t>
  </si>
  <si>
    <t>01.114.</t>
  </si>
  <si>
    <t>01.120.</t>
  </si>
  <si>
    <t>01.122.</t>
  </si>
  <si>
    <t>01.123.</t>
  </si>
  <si>
    <t>01.124.</t>
  </si>
  <si>
    <t>01.330.</t>
  </si>
  <si>
    <t>01.600.</t>
  </si>
  <si>
    <t>01.720.</t>
  </si>
  <si>
    <t>01.830.</t>
  </si>
  <si>
    <t>01.831.</t>
  </si>
  <si>
    <t>01.832.</t>
  </si>
  <si>
    <t>01.833.</t>
  </si>
  <si>
    <t>01.890.</t>
  </si>
  <si>
    <t>Projekts "Komunikācija ar sabiedrību tās iesaistei pašvaldību lēmumu pieņemšanā"</t>
  </si>
  <si>
    <t>Finanšu un fiskālā vadība</t>
  </si>
  <si>
    <t>Nekustamā īpašuma nodokļa un citu pašvaldības ieņēmumu administrēšana</t>
  </si>
  <si>
    <t>Zvērināto auditoru pakalpojumi un grāmatvedības programmas "Horizon" uzturēšana</t>
  </si>
  <si>
    <t>Vēlēšanu organizēšana</t>
  </si>
  <si>
    <t>Parāda procentu nomaksa</t>
  </si>
  <si>
    <t>Vispārēja rakstura transferti no pašvaldību budžeta pašvaldību budžetam</t>
  </si>
  <si>
    <t>Iemaksas pašvaldību finanšu izlīdzināšanas fondā</t>
  </si>
  <si>
    <t>Izdevumi neparedzētiem gadījumiem</t>
  </si>
  <si>
    <t>Centralizēto datoru un datortīkla uzturēšana</t>
  </si>
  <si>
    <t>03.110.</t>
  </si>
  <si>
    <t>03.200.</t>
  </si>
  <si>
    <t>03.202.</t>
  </si>
  <si>
    <t>03.205.</t>
  </si>
  <si>
    <t>Ugunsdrošības, ugunsdzēsības, glābšanas un civilās drošības dienesti</t>
  </si>
  <si>
    <t>Projekts "Ikdienas negadījumu un katastrofu novēršana"</t>
  </si>
  <si>
    <t>04.510.</t>
  </si>
  <si>
    <t>04.511.</t>
  </si>
  <si>
    <t>04.515.</t>
  </si>
  <si>
    <t>04.730.</t>
  </si>
  <si>
    <t>04.733.</t>
  </si>
  <si>
    <t>04.900.</t>
  </si>
  <si>
    <t>04.901.</t>
  </si>
  <si>
    <t>04.905.</t>
  </si>
  <si>
    <t>04.909.</t>
  </si>
  <si>
    <t>Autotransports</t>
  </si>
  <si>
    <t>Zaudējumu kompensācija pašvaldības SIA "Jelgavas autobusu parks"</t>
  </si>
  <si>
    <t>Tūrisms</t>
  </si>
  <si>
    <t>Pārējā nekur citur neklasificētā ekonomiskā darbība</t>
  </si>
  <si>
    <t>Zemes reformas darbība, zemes īpašuma un lietošanas tiesību pārveidošana</t>
  </si>
  <si>
    <t>Dotācija "Zemgales plānošanas reģions"</t>
  </si>
  <si>
    <t>Pašvaldības līdzfinansējums biedrībai "Zemgales reģionālās enerģētikas aģentūra"</t>
  </si>
  <si>
    <t>05.100.</t>
  </si>
  <si>
    <t>05.101.</t>
  </si>
  <si>
    <t>05.102.</t>
  </si>
  <si>
    <t>05.202.</t>
  </si>
  <si>
    <t>05.300.</t>
  </si>
  <si>
    <t>05.600.</t>
  </si>
  <si>
    <t>05.602.</t>
  </si>
  <si>
    <t>Atkritumu apsaimniekošana</t>
  </si>
  <si>
    <t>Notekūdeņu apsaimniekošana</t>
  </si>
  <si>
    <t>Vides piesārņojuma novēršana un mazināšana</t>
  </si>
  <si>
    <t>Pārējā nekur citur neklasificētā vides aizsardzība</t>
  </si>
  <si>
    <t>Pilsētas sanitārā tīrīšana (SIA "Zemgales EKO" funkcija)</t>
  </si>
  <si>
    <t>Ielu, laukumu, publisko dārzu un parku tīrīšana un atkritumu savākšana</t>
  </si>
  <si>
    <t>06.201.</t>
  </si>
  <si>
    <t>06.401.</t>
  </si>
  <si>
    <t>06.600.</t>
  </si>
  <si>
    <t>06.601.</t>
  </si>
  <si>
    <t>06.602.</t>
  </si>
  <si>
    <t>06.603.</t>
  </si>
  <si>
    <t>06.604.</t>
  </si>
  <si>
    <t>06.606.</t>
  </si>
  <si>
    <t>Ielu apgaismošana</t>
  </si>
  <si>
    <t>Pārējā citur neklasificētā pašvaldības teritoriju un mājokļu apsaimniekošanas darbība</t>
  </si>
  <si>
    <t>Pašvaldības dzīvokļu pārvaldīšana, remonts un veco māju nojaukšana</t>
  </si>
  <si>
    <t>Projektu sagatavošana, izstrāde un teritoriju attīstība</t>
  </si>
  <si>
    <t>07.100.</t>
  </si>
  <si>
    <t>07.200.</t>
  </si>
  <si>
    <t>07.300.</t>
  </si>
  <si>
    <t>07.450.</t>
  </si>
  <si>
    <t>Ārstniecības līdzekļi</t>
  </si>
  <si>
    <t>Ambulatoru ārstniecības iestāžu darbība un pakalpojumi</t>
  </si>
  <si>
    <t>Slimnīcu pakalpojumi</t>
  </si>
  <si>
    <t>Veselības veicināšanas pasākumi</t>
  </si>
  <si>
    <t>08.100.</t>
  </si>
  <si>
    <t>08.101.</t>
  </si>
  <si>
    <t>08.103.</t>
  </si>
  <si>
    <t>08.105.</t>
  </si>
  <si>
    <t>08.200.</t>
  </si>
  <si>
    <t>08.210.</t>
  </si>
  <si>
    <t>08.211.</t>
  </si>
  <si>
    <t>08.212.</t>
  </si>
  <si>
    <t>08.220.</t>
  </si>
  <si>
    <t>08.221.</t>
  </si>
  <si>
    <t>08.230.</t>
  </si>
  <si>
    <t>08.231.</t>
  </si>
  <si>
    <t>08.232.</t>
  </si>
  <si>
    <t>08.240.</t>
  </si>
  <si>
    <t>08.241.</t>
  </si>
  <si>
    <t>08.242.</t>
  </si>
  <si>
    <t>08.243.</t>
  </si>
  <si>
    <t>08.290.</t>
  </si>
  <si>
    <t>08.291.</t>
  </si>
  <si>
    <t>08.292.</t>
  </si>
  <si>
    <t>08.331.</t>
  </si>
  <si>
    <t>08.400.</t>
  </si>
  <si>
    <t>08.401.</t>
  </si>
  <si>
    <t>08.402.</t>
  </si>
  <si>
    <t>08.403.</t>
  </si>
  <si>
    <t>08.405.</t>
  </si>
  <si>
    <t>Atpūtas un sporta pasākumi</t>
  </si>
  <si>
    <t>Dotācijas sporta pasākumiem</t>
  </si>
  <si>
    <t>Kultūra</t>
  </si>
  <si>
    <t>Bibliotēkas</t>
  </si>
  <si>
    <t>Muzeji un izstādes</t>
  </si>
  <si>
    <t>Kultūras centri, nami un klubi</t>
  </si>
  <si>
    <t>Teātri, izrādes un koncertdarbība</t>
  </si>
  <si>
    <t>Jelgavas kamerorķestra darbības nodrošināšana</t>
  </si>
  <si>
    <t>Jelgavas Ā.Alunāna teātra darbības nodrošināšana</t>
  </si>
  <si>
    <t>Pārējā citur neklasificētā kultūra</t>
  </si>
  <si>
    <t>Tautas mākslas kolektīvu darbības nodrošināšana</t>
  </si>
  <si>
    <t>Pilsētas nozīmes pasākumi</t>
  </si>
  <si>
    <t>Reliģisko organizāciju un citu biedrību un nodibinājumu pakalpojumi</t>
  </si>
  <si>
    <t>Dotācijas projektu realizācijai NVO</t>
  </si>
  <si>
    <t>Kultūras padomes finansētie pasākumi</t>
  </si>
  <si>
    <t>Subsīdija nodibinājumam "Kultūras tālākizglītības atbalsta fonds"</t>
  </si>
  <si>
    <t>Dotācijas reliģiskajām un citām biedrībām, nodibinājumiem</t>
  </si>
  <si>
    <t>09.100.</t>
  </si>
  <si>
    <t>Pirmsskolas izglītība</t>
  </si>
  <si>
    <t>09.200.</t>
  </si>
  <si>
    <t>09.210.</t>
  </si>
  <si>
    <t>09.219.1.</t>
  </si>
  <si>
    <t>09.219.2.</t>
  </si>
  <si>
    <t>09.219.3.</t>
  </si>
  <si>
    <t>09.222.2.</t>
  </si>
  <si>
    <t>09.222.3.</t>
  </si>
  <si>
    <t>09.510.</t>
  </si>
  <si>
    <t>09.513.</t>
  </si>
  <si>
    <t>09.518.</t>
  </si>
  <si>
    <t>09.530.</t>
  </si>
  <si>
    <t>09.531.</t>
  </si>
  <si>
    <t>09.532.</t>
  </si>
  <si>
    <t>09.520.</t>
  </si>
  <si>
    <t>09.522.</t>
  </si>
  <si>
    <t>09.810.</t>
  </si>
  <si>
    <t>09.811.</t>
  </si>
  <si>
    <t>09.812.</t>
  </si>
  <si>
    <t>09.812.3.</t>
  </si>
  <si>
    <t>09.101.</t>
  </si>
  <si>
    <t>Vispārējā izglītība</t>
  </si>
  <si>
    <t>Internātpamatskolas un šo skolu projektu īstenošana</t>
  </si>
  <si>
    <t>Jelgavas vispārizglītojošo skolu projektu īstenošana</t>
  </si>
  <si>
    <t>Profesionālā vidējā izglītība</t>
  </si>
  <si>
    <t>Interešu un profesionālās ievirzes izglītība</t>
  </si>
  <si>
    <t>Pamatizglītība, vispārējā un profesionālā izglītība</t>
  </si>
  <si>
    <t>09.222.</t>
  </si>
  <si>
    <t>Jelgavas Amatu vidusskolas projektu īstenošana</t>
  </si>
  <si>
    <t>Citi interešu pasākumi, t.sk. Bērnu un jauniešu izglītības centrs "Junda"</t>
  </si>
  <si>
    <t>Bērnu un jauniešu izglītības centra "Junda" projektu īstenošana</t>
  </si>
  <si>
    <t>Atbalsta fondi</t>
  </si>
  <si>
    <t>Subsīdija nodibinājumam "Izglītības atbalsta fonds"</t>
  </si>
  <si>
    <t>Līmeņos nedefinētā izglītība pieaugušajiem</t>
  </si>
  <si>
    <t>Pārējā izglītības vadība</t>
  </si>
  <si>
    <t>Pirmsskolas izglītības iestāžu darbības nodrošināšana</t>
  </si>
  <si>
    <t>Subsīdija nodibinājumam "J.Bisenieka fonds"</t>
  </si>
  <si>
    <t>10.120.</t>
  </si>
  <si>
    <t>10.121.</t>
  </si>
  <si>
    <t>10.122.</t>
  </si>
  <si>
    <t>10.123.</t>
  </si>
  <si>
    <t>10.124.</t>
  </si>
  <si>
    <t>10.125.</t>
  </si>
  <si>
    <t>10.200.</t>
  </si>
  <si>
    <t>10.201.</t>
  </si>
  <si>
    <t>10.202.</t>
  </si>
  <si>
    <t>10.400.</t>
  </si>
  <si>
    <t>10.402.</t>
  </si>
  <si>
    <t>10.403.</t>
  </si>
  <si>
    <t>10.407.</t>
  </si>
  <si>
    <t>10.504.</t>
  </si>
  <si>
    <t>10.601.</t>
  </si>
  <si>
    <t>10.700.</t>
  </si>
  <si>
    <t>10.701.</t>
  </si>
  <si>
    <t>10.704.</t>
  </si>
  <si>
    <t>10.705.2.</t>
  </si>
  <si>
    <t>10.706.</t>
  </si>
  <si>
    <t>10.707.</t>
  </si>
  <si>
    <t>10.709.</t>
  </si>
  <si>
    <t>10.900.</t>
  </si>
  <si>
    <t>10.921.</t>
  </si>
  <si>
    <t>10.922.</t>
  </si>
  <si>
    <t>Dienas centrs "Integra"</t>
  </si>
  <si>
    <t>Dienas centrs "Atbalsts"</t>
  </si>
  <si>
    <t>Grupu dzīvokļi</t>
  </si>
  <si>
    <t>Sociālās un medicīniskās aprūpes centrs</t>
  </si>
  <si>
    <t>Palīdzība veciem cilvēkiem</t>
  </si>
  <si>
    <t>Atbalsts ģimenēm ar bērniem</t>
  </si>
  <si>
    <t>Sociālā palīdzība ģimenēm ar bērniem un vardarbībā cietušo bērnu rehabilitācija</t>
  </si>
  <si>
    <t>Atbalsts bezdarba gadījumā</t>
  </si>
  <si>
    <t>Dzīvokļa pabalsts un pabalsts individuālās apkures nodrošināšanai</t>
  </si>
  <si>
    <t>Pārējais citur neklasificētais atbalsts sociāli atstumtām personām</t>
  </si>
  <si>
    <t>Sociālā māja un sociālie dzīvokļi</t>
  </si>
  <si>
    <t>JSLP Naktspatversme</t>
  </si>
  <si>
    <t>Higiēnas centrs</t>
  </si>
  <si>
    <t>Pārējā citur neklasificētā sociālā aizsardzība</t>
  </si>
  <si>
    <t>10.911.</t>
  </si>
  <si>
    <t>Braukšanas maksas atvieglojumi skolēniem sabiedriskajā transportā</t>
  </si>
  <si>
    <t>Sociālā aizsardzība invaliditātes gadījumā</t>
  </si>
  <si>
    <t>PAVISAM IZDEVUMI ( I+II)</t>
  </si>
  <si>
    <t>Ieņēmumi no neapbūvēta zemesgabala privatizācijas</t>
  </si>
  <si>
    <t>Pašvaldību budžetu transferti</t>
  </si>
  <si>
    <t>Ieņēmumi par pārējiem sniegtajiem maksas pakalpojumiem</t>
  </si>
  <si>
    <t>Transferti citām pašvaldībām izglītības funkciju nodrošināšanai</t>
  </si>
  <si>
    <t>Transferti citām pašvaldībām sociālās aizsardzības funkciju nodrošināšanai</t>
  </si>
  <si>
    <t>Ceļu un ielu infrastruktūras funkcionēšana, izmantošana, būvniecība un uzturēšana</t>
  </si>
  <si>
    <t>Pašvaldības teritorijas, kapsētu un mežu apsaimniekošana, klaiņojošo dzīvnieku likvidācija</t>
  </si>
  <si>
    <t>Ar pašvaldības teritoriju saistīto normatīvo aktu un standartu sagatavošana un ieviešana</t>
  </si>
  <si>
    <t>Jelgavas bigbenda darbības nodrošināšana</t>
  </si>
  <si>
    <t>Atbalsts gados veciem cilvēkiem</t>
  </si>
  <si>
    <t>Pabalsti ārkārtas gadījumos, citi pabalsti un kompensācijas</t>
  </si>
  <si>
    <t>No valsts budžeta daļēji finansēto atvasināto publisko personu un budžeta nefinansēto iestāžu transferti</t>
  </si>
  <si>
    <t>Pašvaldību saņemtie transferti no valsts budžeta daļēji finansētām atvasinātām publiskām personām un no budžeta nefinansētām iestādēm</t>
  </si>
  <si>
    <t>09.533.</t>
  </si>
  <si>
    <t>10.127.</t>
  </si>
  <si>
    <t>SAISTOŠAJIEM NOTEIKUMIEM Nr.___-___</t>
  </si>
  <si>
    <t>13.400.</t>
  </si>
  <si>
    <t>Ieņēmumi no valsts un pašvaldību kustamā īpašuma un mantas realizācijas</t>
  </si>
  <si>
    <t>SIA "Jelgavas pilsētas slimnīca"</t>
  </si>
  <si>
    <t>SIA "Jelgavas poliklīnika"</t>
  </si>
  <si>
    <t xml:space="preserve"> SIA "Jelgavas ūdens"</t>
  </si>
  <si>
    <t>SIA "Zemgales olimpiskais centrs"</t>
  </si>
  <si>
    <t>SIA "Jelgavas ūdens"</t>
  </si>
  <si>
    <t>06.607.</t>
  </si>
  <si>
    <t>Pašvaldības līdzfinansējums energoefektivitātes paaugstināšanas pasākumu veikšanai daudzdzīvokļu dzīvojamās mājās</t>
  </si>
  <si>
    <t>09.219.5.</t>
  </si>
  <si>
    <t>21.150.</t>
  </si>
  <si>
    <t xml:space="preserve">Eiropas Savienības līdzfinansējums Kohēzijas un Eiropas Savienības struktūrfondu projektu īstenošanai </t>
  </si>
  <si>
    <t>PI "Pašvaldības iestāžu centralizētā grāmatvedība" darbības nodrošināšana</t>
  </si>
  <si>
    <t>PI "Jelgavas pilsētas pašvaldības policija" darbības nodrošināšana</t>
  </si>
  <si>
    <t>PI "Pašvaldības operatīvās informācijas centrs" darbības nodrošināšana</t>
  </si>
  <si>
    <t>PI "Jelgavas reģionālais tūrisma centrs" darbības nodrošināšana</t>
  </si>
  <si>
    <t>PI "Pilsētsaimniecība" darbības nodrošināšana</t>
  </si>
  <si>
    <t>PI "Sporta servisa centrs" darbības nodrošināšana</t>
  </si>
  <si>
    <t>PI "Jelgavas pilsētas bibliotēka" darbības nodrošināšana</t>
  </si>
  <si>
    <t>Projekts "Andragoģija: Tālmācības sistēma bibliotekāriem"</t>
  </si>
  <si>
    <t>PI "Ģ.Eliasa Jelgavas Vēstures un mākslas muzejs" darbības nodrošināšana</t>
  </si>
  <si>
    <t>PI "Kultūra" darbības nodrošināšana</t>
  </si>
  <si>
    <t>PI "Kultūra" pasākumi</t>
  </si>
  <si>
    <t>PI "Zemgales INFO" darbības nodrošināšana</t>
  </si>
  <si>
    <t>PI "Zemgales reģionālais kompetenču attīstības centrs" darbības nodrošināšana</t>
  </si>
  <si>
    <t>PI "Zemgales reģionālais kompetenču attīstības centrs" projektu īstenošana</t>
  </si>
  <si>
    <t>PI "Jelgavas izglītības pārvalde" darbības nodrošināšana</t>
  </si>
  <si>
    <t>PI "Jelgavas izglītības pārvalde" projektu īstenošana</t>
  </si>
  <si>
    <t>PI "Jelgavas izglītības pārvalde" iekļaujošas izglītības atbalsta centrs</t>
  </si>
  <si>
    <t>PI "Jelgavas pilsētas bāriņtiesa" darbības nodrošināšana</t>
  </si>
  <si>
    <t>PI "Jelgavas bērnu sociālās aprūpes centrs" darbības nodrošināšana</t>
  </si>
  <si>
    <t>PI "Jelgavas bērnu sociālās aprūpes centrs" str. Krīzes centrs</t>
  </si>
  <si>
    <t>PI "Jelgavas sociālo lietu pārvalde" darbības nodrošināšana</t>
  </si>
  <si>
    <t>SIA "Medicīnas sabiedrība OPTIMA -1"</t>
  </si>
  <si>
    <t>SIA "Medicīnas sabiedrība OPTIMA - 1"</t>
  </si>
  <si>
    <t>GMI pabalsts, mirušo apbedīšanas izdevumi un citi naudas maksājumi maznodrošinātām un neaizsargātām personām</t>
  </si>
  <si>
    <t>Invalīdu rehabilitācijas pasākumi, invalīdu transports u.c. kompensācijas</t>
  </si>
  <si>
    <t>Pašvaldības īpašumu apsaimniekošana - finansējums SIA "Jelgavas nekustamā īpašuma pārvalde"</t>
  </si>
  <si>
    <t>Jelgavas vispārizglītojošo skolu darbības nodrošināšana</t>
  </si>
  <si>
    <t>Jelgavas Amatu vidusskolas darbības nodrošināšana</t>
  </si>
  <si>
    <t>Jelgavas Mākslas skolas darbības nodrošināšana</t>
  </si>
  <si>
    <t>Jelgavas sporta skolu darbības nodrošināšana</t>
  </si>
  <si>
    <t>Subsīdija nodibinājumam "Sporta tālākizglītības atbalsta fonds"</t>
  </si>
  <si>
    <t>04.735.</t>
  </si>
  <si>
    <t>07.452.</t>
  </si>
  <si>
    <t>Projekts "Inovatīvu bibliotēku darbības risinājumu izveide dažādām paaudzēm pierobežas reģionā"</t>
  </si>
  <si>
    <t>08.213.</t>
  </si>
  <si>
    <t>01.331.</t>
  </si>
  <si>
    <t>Pārējo vispārējas nozīmes dienestu darbība un pakalpojumi</t>
  </si>
  <si>
    <t>01.332.</t>
  </si>
  <si>
    <t>05.603.</t>
  </si>
  <si>
    <t>21.190.</t>
  </si>
  <si>
    <t>Ieņēmumi no citu Eiropas Savienības politiku instrumentu līdzfinansēto projektu un pasākumu īstenošanas un citu valstu finanšu palīdzības programmu īstenošanas, saņemtā ārvalstu finanšu palīdzība</t>
  </si>
  <si>
    <t>12.340.</t>
  </si>
  <si>
    <t>12.349.</t>
  </si>
  <si>
    <t>Ieņēmumi no budžeta iestādēm atmaksātiem pārējiem debitoru parādiem</t>
  </si>
  <si>
    <t>Ieņēmumi no budžeta iestāžu saņemto un iepriekšējos gados neizlietoto budžeta līdzekļu atmaksāšanas</t>
  </si>
  <si>
    <t>04.736.</t>
  </si>
  <si>
    <t>03.206.</t>
  </si>
  <si>
    <t>06.608.</t>
  </si>
  <si>
    <t>21.400.</t>
  </si>
  <si>
    <t>JELGAVAS PILSĒTAS PAŠVALDĪBAS 2018.GADA BUDŽETS</t>
  </si>
  <si>
    <t>Plāns 2018.gadam</t>
  </si>
  <si>
    <t>Naudas līdzekļu atlikums uz 31.12.2017.</t>
  </si>
  <si>
    <t>21.420.</t>
  </si>
  <si>
    <t>21.490.</t>
  </si>
  <si>
    <t>Pārējie šajā klasifikācijā iepriekš neklasificētie ieņēmumi</t>
  </si>
  <si>
    <t>Citi iepriekš neklasificētie ieņēmumi</t>
  </si>
  <si>
    <t>08.107.</t>
  </si>
  <si>
    <t>Projekts "Atklātas publiskās slidotavas slēgtā jumta konstrukcijas izbūve, ūdenssaimniecības tīklu pārbūve"</t>
  </si>
  <si>
    <t>08.295.</t>
  </si>
  <si>
    <t>04.740.</t>
  </si>
  <si>
    <t>Vairāku mērķu attīstības projekti</t>
  </si>
  <si>
    <t>Projekts "Tematiskā plānojuma "Publisko ūdeņu teritoriju izmantošana Jelgavas pilsētas administratīvajās robežās" izstrāde"</t>
  </si>
  <si>
    <t>04.741.</t>
  </si>
  <si>
    <t>04.742.</t>
  </si>
  <si>
    <t>ERAF projekts "Kompleksu pasākumu īstenošana Svētes upes caurplūdes atjaunošanai un plūdu apdraudējuma samazināšanai piegulošajās teritorijās"</t>
  </si>
  <si>
    <t>04.743.</t>
  </si>
  <si>
    <t>ERAF projekts "Jelgavas lidlauka poldera dambja pārbūve plūdu draudu novēršanai"</t>
  </si>
  <si>
    <t>05.306.</t>
  </si>
  <si>
    <t>Eiropas Kohēzijas fonda projekts "Videi draudzīgas sabiedriskā transporta infrastruktūras attīstība Jelgavā"</t>
  </si>
  <si>
    <t>Pašvaldības izglītības iestāžu investīciju projekts "Jelgavas pilsētas pašvaldības ēkas Zemgales prospekts 7 pārbūve un jaunais būvapjoms (piebūve)", I un III kārta</t>
  </si>
  <si>
    <t>09.519.02.</t>
  </si>
  <si>
    <t>ERAF projekts "Jelgavas pilsētas pašvaldības ēkas Zemgales prospekts 7 energoefektivitātes paaugstināšana", II kārta</t>
  </si>
  <si>
    <t>09.519.03.</t>
  </si>
  <si>
    <t>09.110.</t>
  </si>
  <si>
    <t>ERAF projekts "Jelgavas pilsētas pašvaldības pirmsskolas izglītības iestādes "Sprīdītis" energoefektivitātes paaugstināšana"</t>
  </si>
  <si>
    <t>09.222.7.</t>
  </si>
  <si>
    <t>Eiropas Kohēzijas fonda projekts "Loka maģistrāles pārbūve posmā no Kalnciema ceļa līdz Jelgavas pilsētas administratīvajai robežai"</t>
  </si>
  <si>
    <t>04.510.526.</t>
  </si>
  <si>
    <t>04.737.</t>
  </si>
  <si>
    <t>ERAF projekts "Nozīmīga kultūrvēsturiskā mantojuma saglabāšana un attīstība kultūras tūrisma piedāvājuma pilnveidošanai Zemgales reģionā"</t>
  </si>
  <si>
    <t>09.219.7.</t>
  </si>
  <si>
    <t>Pašvaldības izglītības iestāžu investīciju projekts "Jelgavas 2.internātpamatskolas rekonstrukcija 2.kārta"</t>
  </si>
  <si>
    <t>09.534.</t>
  </si>
  <si>
    <t xml:space="preserve">ESF projekts “Nodarbināto personu profesionālās kompetences pilnveide” </t>
  </si>
  <si>
    <t>ESF projekts "Kompleksu veselības veicināšanas un slimību profilakses pasākumu īstenošana Jelgavas pilsētā, 1.kārta"</t>
  </si>
  <si>
    <t>ESF projekts "Atver sirdi Zemgalē"</t>
  </si>
  <si>
    <t>ESF projekts "Proti un dari"</t>
  </si>
  <si>
    <t>ERAF projekts "Integrētu teritoriālo investīciju projektu iesniegumu atlases nodrošināšana Jelgavas pilsētas pašvaldībā"</t>
  </si>
  <si>
    <t>ERAF projekts "Pilssalas infrastruktūras attīstība tūrisma un veselības aktivitāšu veicināšanai Jelgavā"</t>
  </si>
  <si>
    <t>Centrālās Baltijas jūras reģiona programmas projekts "Integrēta lietusūdens pārvaldība"</t>
  </si>
  <si>
    <t>Interreg V-A Latvijas - Lietuvas programmas projekts "Pilsētas iedzīvotāju kartes pieejamo pakalpojumu pilnveidošana Jelgavā un Šauļos"</t>
  </si>
  <si>
    <t>Interreg V-A Latvijas - Lietuvas programmas projekts "Vides risku pārvaldības resursu pilnveidošana pierobežas reģionā, lai efektīvi veiktu vides aizsardzības pasākumus"</t>
  </si>
  <si>
    <t xml:space="preserve">Interreg V-A Latvijas - Lietuvas programmas projekts "Starptautiskais kultūras tūrisma maršruts "Baltu ceļš"" </t>
  </si>
  <si>
    <t>Interreg V-A Latvijas - Lietuvas programmas projekts "Civilās aizsardzības sistēmas pilnveidošana Jelgavā un Šauļos"</t>
  </si>
  <si>
    <t>ES Horizon 2020 programmas projekts  "THERMOS - termālās enerģijas resursu modelēšanas un optimizācijas sistēma"</t>
  </si>
  <si>
    <t>ES Nodarbinātības un sociālās inovācijas programmas projekts "Elastīga bērnu uzraudzības pakalpojuma nodrošināšana darbiniekiem, kas strādā nestandarta darba laiku"</t>
  </si>
  <si>
    <t>12.399.</t>
  </si>
  <si>
    <t>Pārējie 21.300.grupā neklasificētie iestāžu ieņēmumi par iestāžu sniegtajiem maksas pakalpojumiem un citu pašu ieņēmumi</t>
  </si>
  <si>
    <t>%</t>
  </si>
  <si>
    <t>Pašu ieņēmumi</t>
  </si>
  <si>
    <t xml:space="preserve"> Saistību īpatsvars</t>
  </si>
  <si>
    <t>KOPĀ</t>
  </si>
  <si>
    <t xml:space="preserve">Kopā procentu maksājumi         </t>
  </si>
  <si>
    <t xml:space="preserve"> Kopā pamatsummas                  </t>
  </si>
  <si>
    <t>PAVISAM KOPĀ:</t>
  </si>
  <si>
    <t>Galvojumu saistības kopā</t>
  </si>
  <si>
    <t xml:space="preserve">  Kopā pamatsummas                  </t>
  </si>
  <si>
    <t>G/15/580</t>
  </si>
  <si>
    <t>Pamatsumma</t>
  </si>
  <si>
    <t>16.10.2015 - 20.09.2025</t>
  </si>
  <si>
    <t>Valsts kase</t>
  </si>
  <si>
    <t>G/13/1206</t>
  </si>
  <si>
    <t>18.12.2013. - 20.12.2030.</t>
  </si>
  <si>
    <t xml:space="preserve">SIA Jelgavas ūdens - "Ūdenssaimniecības pakalpojumu attīstība Jelgavā, III kārta" </t>
  </si>
  <si>
    <t>12-022694-IN/1</t>
  </si>
  <si>
    <t>12.09.2012. - 12.09.2019.</t>
  </si>
  <si>
    <t>SIA Komunālie pakalpojumi</t>
  </si>
  <si>
    <t>Swdbank</t>
  </si>
  <si>
    <t>A/1/10/1025</t>
  </si>
  <si>
    <t>03.12.2010. - 20.12.2030.</t>
  </si>
  <si>
    <t xml:space="preserve">SIA Jelgavas ūdens - "Ūdenssaimniecības pakalpojumu attīstība Jelgavā, II kārta" </t>
  </si>
  <si>
    <t>Galvojumi:</t>
  </si>
  <si>
    <t>Pamatsummu izmaiņas pret iepriekšējo gadu</t>
  </si>
  <si>
    <t>Aizņēmumu saistības kopā</t>
  </si>
  <si>
    <t>Projekts</t>
  </si>
  <si>
    <t>Asfaltbetona seguma izbūve Romas ielas posmā no Zemeņu ielas līdz Turaidas ielai</t>
  </si>
  <si>
    <t>A2/1/18/93</t>
  </si>
  <si>
    <t>08.03.2018.-20.11.2027.</t>
  </si>
  <si>
    <t>A2/1/18/92</t>
  </si>
  <si>
    <t>08.03.2018.-20.11.2037.</t>
  </si>
  <si>
    <t>MUZEJA jumta skārda seguma nomaiņa un bēniņu pārseguma siltināšana</t>
  </si>
  <si>
    <t>A2/1/17/842</t>
  </si>
  <si>
    <t>24.11.2017.-20.11.2022.</t>
  </si>
  <si>
    <t>Latvijas - Lietuvas pārrobežu sadarbības programmas projekts "Pilsētas iedzīvotāju kartes pieejamo pakalpojumu pilnveidošana Jelgavā un Šauļos"</t>
  </si>
  <si>
    <t>A2/1/17/774</t>
  </si>
  <si>
    <t>25.10.2017.-20.10.2037.</t>
  </si>
  <si>
    <t>Asfaltbetona seguma atjaunošana Akadēmijas ielas posmā</t>
  </si>
  <si>
    <t>A2/1/17/633</t>
  </si>
  <si>
    <t>31.08.2017.-20.08.2037.</t>
  </si>
  <si>
    <t>Izglītības iestāžu invest.pr. "Jelgavas PII "Rotaļa" ēkas rekonstrukcija"</t>
  </si>
  <si>
    <t>A2/1/17/632</t>
  </si>
  <si>
    <t>31.08.2017.-20.03.2047.</t>
  </si>
  <si>
    <t>SIA "Jelgavas ūdens" pamatkapitāla palielināšanai projekta "Ūdenssaimniecības pakalpojumu attīstība Jelgavā, V kārta" īstenošanai</t>
  </si>
  <si>
    <t>A2/1/17/588</t>
  </si>
  <si>
    <t>10.08.2017.-20.11.2036.</t>
  </si>
  <si>
    <t xml:space="preserve">Izglītības iestāžu invest.projekts  "Jelgavas 1.internātpamatskolas jumta konstrukciju nomaiņa" </t>
  </si>
  <si>
    <t>A2/1/17/465</t>
  </si>
  <si>
    <t>03.07.2017.-20.11.2036.</t>
  </si>
  <si>
    <t>Izglītības iestāžu invest.pr. "Jelgavas pilsētas PII "Zemenīte" telpu pārbūve"</t>
  </si>
  <si>
    <t>A2/1/17/467</t>
  </si>
  <si>
    <t>Atmodas ielas posmu asfalta seguma atjaunošana</t>
  </si>
  <si>
    <t>A2/1/17/365</t>
  </si>
  <si>
    <t>07.06.2017.-20.11.2036.</t>
  </si>
  <si>
    <t>Prioritārais proj. "Jelgavas kultūras nama iekšējo komunikāciju atjaunošana"</t>
  </si>
  <si>
    <t>A2/1/17/364</t>
  </si>
  <si>
    <t>07.06.2017.-20.03.2047.</t>
  </si>
  <si>
    <t>A2/1/15/569</t>
  </si>
  <si>
    <t>02.10.2015.-20.09.2035.</t>
  </si>
  <si>
    <t>Energoefektīvu risinājumu piemērošana ilgtspējīgām ēkām Jelgavā - sporta halle</t>
  </si>
  <si>
    <t>A2/1/15/322</t>
  </si>
  <si>
    <t>18.06.2015.- 20.06.2035.</t>
  </si>
  <si>
    <t xml:space="preserve"> Jelgavas izglītības pārvaldes ēkas jumta rekonstrukcija” </t>
  </si>
  <si>
    <t>Valsts Kase</t>
  </si>
  <si>
    <t>A2/1/15/241</t>
  </si>
  <si>
    <t>20.05.2015. - 20.05.2035.</t>
  </si>
  <si>
    <t>Siltumnīcefektu gāzu emisiju samazināšana - Pilsētsaimniecība</t>
  </si>
  <si>
    <t>A2/1/15/14</t>
  </si>
  <si>
    <t>23.01.2015. - 20.01.2035.</t>
  </si>
  <si>
    <t>JPPII Skautu ielā 1 rekonstrukcijas darbi</t>
  </si>
  <si>
    <t>A2/1/15/13</t>
  </si>
  <si>
    <t>23.01.2015. - 20.01.2035</t>
  </si>
  <si>
    <t>Jelgavas 1.internātpamatskolas rekonstrukcijas darbi</t>
  </si>
  <si>
    <t>A2/1/14/890</t>
  </si>
  <si>
    <t>21.11.2014. - 20.11.2034.</t>
  </si>
  <si>
    <t>Lietuvas šosejas seguma atjaunošana</t>
  </si>
  <si>
    <t>A2/1/14/653</t>
  </si>
  <si>
    <t>12.09.2014. - 20.09.2034.</t>
  </si>
  <si>
    <t>A2/1/14/562</t>
  </si>
  <si>
    <t>19.08.2014. - 20.08.2034.</t>
  </si>
  <si>
    <t>624E</t>
  </si>
  <si>
    <t>Kultūras nama jumta remonts</t>
  </si>
  <si>
    <t>A2/1/14/512</t>
  </si>
  <si>
    <t>31.07.2014. - 20.07.2034.</t>
  </si>
  <si>
    <t xml:space="preserve">JPPPII Skautu ielā 1a rekonstr. </t>
  </si>
  <si>
    <t>A2/1/14/448</t>
  </si>
  <si>
    <t>15.07.2014. - 20.06.2034.</t>
  </si>
  <si>
    <t>JPPPII "Rotaļa" rekonstrukcija</t>
  </si>
  <si>
    <t>A2/1/14/341</t>
  </si>
  <si>
    <t>25.05.2014.-20.05.2034.</t>
  </si>
  <si>
    <t>Satiksmes termināls</t>
  </si>
  <si>
    <t>A2/1/14/330</t>
  </si>
  <si>
    <t>22.05.2014.- 20.05.2034.</t>
  </si>
  <si>
    <t>Transporta infrastruktūras izbūve - Aviācijas iela</t>
  </si>
  <si>
    <t>A2/1/14/185</t>
  </si>
  <si>
    <t>27.03.2014.-20.03.2034.</t>
  </si>
  <si>
    <t>Ganību iela I kārta</t>
  </si>
  <si>
    <t>A2/1/14/124</t>
  </si>
  <si>
    <t>13.03.2014.-20.03.2034.</t>
  </si>
  <si>
    <t>Jāņa kolektora rekonstrukcija plūdu draudu novēršanai</t>
  </si>
  <si>
    <t>A2/1/14/16</t>
  </si>
  <si>
    <t>28.01.2014.- 20.01.2034</t>
  </si>
  <si>
    <t>Ganību iela II kārta</t>
  </si>
  <si>
    <t>A2/1/13/996</t>
  </si>
  <si>
    <t>27.11.2013.- 20.11.2033.</t>
  </si>
  <si>
    <t xml:space="preserve">Pasta salas labiekārtošana </t>
  </si>
  <si>
    <t>A2/1/13/444</t>
  </si>
  <si>
    <t>27.08.2013.- 20.08.2033.</t>
  </si>
  <si>
    <t>PII Ganību ielā 66 rekonstrukcija - II kārta</t>
  </si>
  <si>
    <t>A2/1/13/432</t>
  </si>
  <si>
    <t>27.08.2013.-20.08.2033.</t>
  </si>
  <si>
    <t>Ielu apgaismojums - p/ie "Pilsētsaimniecība"</t>
  </si>
  <si>
    <t>A2/1/13/395</t>
  </si>
  <si>
    <t>07.08.2013. - 20.07.2033.</t>
  </si>
  <si>
    <t>Vides izpratnes veicināšana Jelgavas un Šauļu pilsētās</t>
  </si>
  <si>
    <t>A2/1/13/341</t>
  </si>
  <si>
    <t>10.07.2013.-20.07.2033.</t>
  </si>
  <si>
    <t>PII "Vārpiņa" rekonstrukcija</t>
  </si>
  <si>
    <t>A2/1/13/174</t>
  </si>
  <si>
    <t>14.05.2013. - 20.05.2033.</t>
  </si>
  <si>
    <t>PII Skautu iela 1a iegāde</t>
  </si>
  <si>
    <t>A2/1/12/532</t>
  </si>
  <si>
    <t>25.09.2012. - 20.09.2026.</t>
  </si>
  <si>
    <t>Lietuvas šosejas rekonstrukcija</t>
  </si>
  <si>
    <t>A2/1/12/493</t>
  </si>
  <si>
    <t>06.09.2012-20.09.2012.</t>
  </si>
  <si>
    <t>Hidrotehnisko būvju rekonstrukcija plūdu draudu risku novēršana</t>
  </si>
  <si>
    <t>A2/1/12/690</t>
  </si>
  <si>
    <t>16.11.2012. - 20.11.2026.</t>
  </si>
  <si>
    <t>Pasta salas labiekārtošana un upju kā tūrisma un aktīvās atpūtas produktu veidošana</t>
  </si>
  <si>
    <t>A2/1/12/559</t>
  </si>
  <si>
    <t>04.10.2012 - 20.09.2026.</t>
  </si>
  <si>
    <t>Ielu infrastruktūras un Driksas upes krastmalas sakārtošana</t>
  </si>
  <si>
    <t>A2/1/12/65</t>
  </si>
  <si>
    <t>20.03.2012 - 20.03.2026.</t>
  </si>
  <si>
    <t>Radošo industriju attīstība Latvijas un Lietuvas pierobežas reģionā</t>
  </si>
  <si>
    <t>A2/1/11/761</t>
  </si>
  <si>
    <t>07.12.2011-20.04.2025</t>
  </si>
  <si>
    <t>Energoefektīva un saskaņota darbība pilsētas attīstībā</t>
  </si>
  <si>
    <t>A2/1/11/760</t>
  </si>
  <si>
    <t>Mācību aprīkojuma modernizācija un infrastrukt. uzlab. Amatu vsk.</t>
  </si>
  <si>
    <t>A2/1/11/483</t>
  </si>
  <si>
    <t>23.08.2011-20.04.2025</t>
  </si>
  <si>
    <t>Energoefektivitātes paaugstināšana Amatu vidusskolā</t>
  </si>
  <si>
    <t>A2/1/11/233</t>
  </si>
  <si>
    <t>26.05.2011-20.04.2025</t>
  </si>
  <si>
    <t>Meliorat. sist. rekonstrukc.cukura rūpn. skartajās terit. Jelgavā</t>
  </si>
  <si>
    <t>A2/1/11/204</t>
  </si>
  <si>
    <t>13.05.2011-20.04.2025</t>
  </si>
  <si>
    <t>Šauļu un Jelgavas pils.pašv. sadarb. kult. un sporta dzīves pilnv.</t>
  </si>
  <si>
    <t>A2/1/11/177</t>
  </si>
  <si>
    <t>02.05.2011-20.04.2025</t>
  </si>
  <si>
    <t>Sociālās dzīvojamās mājas siltumnoturības uzlabošana</t>
  </si>
  <si>
    <t>A2/1/10/785</t>
  </si>
  <si>
    <t>24.09.2010-20.03.2024</t>
  </si>
  <si>
    <t>Kvalitatīvai dabaszinātņu apguvei - materiālās bāzes nodrošināšana</t>
  </si>
  <si>
    <t>A2/1/10/783</t>
  </si>
  <si>
    <t>24.09.2010-20.03.2029</t>
  </si>
  <si>
    <t>Energoefektivitātes paaugstināšana izglītības iestāžu ēkās</t>
  </si>
  <si>
    <t>A2/1/10/782</t>
  </si>
  <si>
    <t>Jelgavas pašvaldības PII Pulkveža brieža ielā 23a rekonstrukcija</t>
  </si>
  <si>
    <t>A2/1/10/740</t>
  </si>
  <si>
    <t>13.09.2010-20.03.2024</t>
  </si>
  <si>
    <t>Jelgavas speciālo izglītības iestāžu infrastruktūras sakārtošana</t>
  </si>
  <si>
    <t>A2/1/10/689</t>
  </si>
  <si>
    <t>27.08.2010-20.03.2029</t>
  </si>
  <si>
    <t>Lielupes gultnes tīrīšana un labā krasta aizsargdambja atjaunošana</t>
  </si>
  <si>
    <t>A2/1/10/709</t>
  </si>
  <si>
    <t>01.09.2010-20.03.2024</t>
  </si>
  <si>
    <t>Jelgavas vecpilsētas atjaunošana un pielāgošana</t>
  </si>
  <si>
    <t>A2/1/10/708</t>
  </si>
  <si>
    <t>01.09.2010-20.03.2029</t>
  </si>
  <si>
    <t>Reģiona nozīmes tūrisma un kultur izglītības centra izveide Jelgavā</t>
  </si>
  <si>
    <t>A2/1/10/599</t>
  </si>
  <si>
    <t>29.07.2010-20.03.2024</t>
  </si>
  <si>
    <t>20.09.2029.</t>
  </si>
  <si>
    <t>A2/1/11/34</t>
  </si>
  <si>
    <t>11.10.2010-</t>
  </si>
  <si>
    <t>566E</t>
  </si>
  <si>
    <t>Dobeles šosejas rekonstrukcija</t>
  </si>
  <si>
    <t>20.09.2024.</t>
  </si>
  <si>
    <t>A2/1/11/35</t>
  </si>
  <si>
    <t>22.10.2010-</t>
  </si>
  <si>
    <t>Mācību projekta moderniz. un infrastr. uzlabošana Amatu vsk.</t>
  </si>
  <si>
    <t>20.05.2024.</t>
  </si>
  <si>
    <t>A2/1/10/899</t>
  </si>
  <si>
    <t>Raiņa, Lielās, Čakstes ielu rekonstrukcijas projekta izstrāde</t>
  </si>
  <si>
    <t>A2/1/10/543</t>
  </si>
  <si>
    <t>14.07.2010-</t>
  </si>
  <si>
    <t>A2/1/10/542</t>
  </si>
  <si>
    <t>Transporta infrastruktūras sakārtošana pilsētas centrā</t>
  </si>
  <si>
    <t>A2/1/10/503</t>
  </si>
  <si>
    <t>02.07.2010-</t>
  </si>
  <si>
    <t>Ā.Alunāna memoriālā muzeja pakalpojumu dažādošana</t>
  </si>
  <si>
    <t>20.03.2024.</t>
  </si>
  <si>
    <t>A2/1/10/411</t>
  </si>
  <si>
    <t>11.06.2010-</t>
  </si>
  <si>
    <t>Sadarbība mācību programmu kvalitātes uzlabošana</t>
  </si>
  <si>
    <t>A2/1/10/334</t>
  </si>
  <si>
    <t>20.05.2010-</t>
  </si>
  <si>
    <t>Satiksmes drošības uzlabošana Rūpniecības - Atmodas ielas posmā</t>
  </si>
  <si>
    <t>A2/1/10/221</t>
  </si>
  <si>
    <t>25.03.2010-</t>
  </si>
  <si>
    <t xml:space="preserve">Atraktīvu un pieejamu muzeju attīstība Zemgalē un Ziemeļlietuvā </t>
  </si>
  <si>
    <t>A2/1/10/220</t>
  </si>
  <si>
    <t>Pārrobežu sadarbības iniciatīva riska vadības sistēmas veidošana</t>
  </si>
  <si>
    <t>20.04.2023.</t>
  </si>
  <si>
    <t>A2/1/11/37</t>
  </si>
  <si>
    <t>08.12.2009-</t>
  </si>
  <si>
    <t>Reģiona nozīmes tūrisma un kultur- izglītības centra izveide Jelgavā</t>
  </si>
  <si>
    <t>A2/1/11/38</t>
  </si>
  <si>
    <t>01.12.2009-</t>
  </si>
  <si>
    <t>A2/1/11/39</t>
  </si>
  <si>
    <t>25.08.2009.-</t>
  </si>
  <si>
    <t xml:space="preserve">Transporta, inženierkomunikāciju infrastruktūras izveide Pārlielupē </t>
  </si>
  <si>
    <t>20.07.2023.</t>
  </si>
  <si>
    <t>A2/1/11/43</t>
  </si>
  <si>
    <t>20.09.2028.</t>
  </si>
  <si>
    <t>A2/1/11/40</t>
  </si>
  <si>
    <t>12.08.2009.-</t>
  </si>
  <si>
    <t>4. vidusskolas piebūves celtniecība</t>
  </si>
  <si>
    <t>20.05.2023.</t>
  </si>
  <si>
    <t>A2/1/11/41</t>
  </si>
  <si>
    <t>19.06.2009.-</t>
  </si>
  <si>
    <t>A2/1/11/42</t>
  </si>
  <si>
    <t>21.04.2009.-</t>
  </si>
  <si>
    <t>A2/1/11/36</t>
  </si>
  <si>
    <t>20.09.2027.</t>
  </si>
  <si>
    <t>A2/1/10/464</t>
  </si>
  <si>
    <t>23.10.2008.-</t>
  </si>
  <si>
    <t>Kalnciema ceļa un Tērvetes ielas seguma atjaunošana</t>
  </si>
  <si>
    <t>20.06.2022.</t>
  </si>
  <si>
    <t>A2/1/10/463</t>
  </si>
  <si>
    <t>Luksofori Raiņa/ Akadēmijas, Raiņa/Kalpaka ielu krustojumos</t>
  </si>
  <si>
    <t>A2/1/10/465</t>
  </si>
  <si>
    <t>01.08.2008.-</t>
  </si>
  <si>
    <t>Projekts "Daudzfunkcionālā centra izveide"</t>
  </si>
  <si>
    <t>A2/1/10/484</t>
  </si>
  <si>
    <t xml:space="preserve">Projekts "Publiskās partnerības ieviešana" </t>
  </si>
  <si>
    <t>20.02.2022.</t>
  </si>
  <si>
    <t>A2/1/10/466</t>
  </si>
  <si>
    <t>11.04.2008.-</t>
  </si>
  <si>
    <t>Dzīvojamā fonda iegāde</t>
  </si>
  <si>
    <t>20.03.2027.</t>
  </si>
  <si>
    <t>A2/1/10/467</t>
  </si>
  <si>
    <t>Pilsētas ielu un infrastruktūras objektu renovācija</t>
  </si>
  <si>
    <t>A2/1/10/469</t>
  </si>
  <si>
    <t>Pamatkapitāla palielināšana pašvaldības SIA</t>
  </si>
  <si>
    <t>A2/1/10/468</t>
  </si>
  <si>
    <t>Projekts "Biznesa inkubatora izveide"</t>
  </si>
  <si>
    <t>A2/1/10/470</t>
  </si>
  <si>
    <t>Energoefektivitātes paaugstināšana 4.vsk., 6.vsk, 4.psk, 1.intern.psk.</t>
  </si>
  <si>
    <t>20.03.2022.</t>
  </si>
  <si>
    <t>A2/1/07/306</t>
  </si>
  <si>
    <t>21.06.2007.-</t>
  </si>
  <si>
    <t>ES fondu atbalstīto projektu priekšfinansējums un līdzfinansējums</t>
  </si>
  <si>
    <t>A2/1/07/305</t>
  </si>
  <si>
    <t>Infrastruktūras objektu rekonstrukcija un izbūve</t>
  </si>
  <si>
    <t>A2/1/07/304</t>
  </si>
  <si>
    <t>Pilsētas ielu izbūve, renovācija un remonts</t>
  </si>
  <si>
    <t>A2/1/07/303</t>
  </si>
  <si>
    <t>Pamatkapitāla palielināšana SIA "ZOC"</t>
  </si>
  <si>
    <t>20.01.2017.</t>
  </si>
  <si>
    <t>A2/1/07/301</t>
  </si>
  <si>
    <t>Pašvaldību iestāžu ēku remonts</t>
  </si>
  <si>
    <t>A2/1/10/488</t>
  </si>
  <si>
    <t>13.10.2006.</t>
  </si>
  <si>
    <t>Peldu ielas izbūve</t>
  </si>
  <si>
    <t>20.03.2021.</t>
  </si>
  <si>
    <t>A2/1/10/471</t>
  </si>
  <si>
    <t>27.06.2006.</t>
  </si>
  <si>
    <t>Stāvlaukuma un ielu rekonstrukcija</t>
  </si>
  <si>
    <t>05.05.2027.</t>
  </si>
  <si>
    <t>A2/1/F03/539</t>
  </si>
  <si>
    <t>12.09.2003.</t>
  </si>
  <si>
    <t>Siltumtīklu rehabilitācija</t>
  </si>
  <si>
    <t xml:space="preserve">Valsts kase </t>
  </si>
  <si>
    <t>2033-2047</t>
  </si>
  <si>
    <t>periods</t>
  </si>
  <si>
    <t>summa, EUR</t>
  </si>
  <si>
    <t>SAISTĪBAS</t>
  </si>
  <si>
    <t>Maksājumi</t>
  </si>
  <si>
    <t>Atmaksas</t>
  </si>
  <si>
    <t xml:space="preserve">Aizdevuma </t>
  </si>
  <si>
    <t>Mērķis</t>
  </si>
  <si>
    <t xml:space="preserve">Aizņēmuma līgums </t>
  </si>
  <si>
    <t>Nr. p.k</t>
  </si>
  <si>
    <t xml:space="preserve">         JELGAVAS PILSĒTAS PAŠVALDĪBAS ILGTERMIŅA SAISTĪBAS</t>
  </si>
  <si>
    <t>5.pielikums</t>
  </si>
  <si>
    <t>ERAF projekts "Jelgavas Amatu vidusskolas infrastruktūras uzlabošana un mācību aprīkojuma modernicāzija, 2.kārta"</t>
  </si>
  <si>
    <t>08.108.</t>
  </si>
  <si>
    <t>Nacionālās sporta bāzes SIA "Zemgales olimpiskais centrs"-uzturēšanas izdevumu segšana 2018.gadā</t>
  </si>
  <si>
    <t>Projekts "Atklātā amfiteātra tipa brīvdabas estrādes segtā jumta projektēšana un izbūve"</t>
  </si>
  <si>
    <t>07.623.</t>
  </si>
  <si>
    <t>ERAF projekts "Mācību vides uzlabošana Jelgavas Valsts ģimnāzijā un Jelgavas Tehnoloģiju vidusskolā"</t>
  </si>
  <si>
    <t>10.128.</t>
  </si>
  <si>
    <t>Projekts "Sabiedrībā balstītu sociālo pakalpojumu nodrošināšana bērniem ar funkcionāliem traucējumiem"</t>
  </si>
  <si>
    <t>6.pielikums</t>
  </si>
  <si>
    <t>SAISTOŠAJIEM NOTEIKUMIEM Nr.___</t>
  </si>
  <si>
    <t>Speciālā budžeta resursi</t>
  </si>
  <si>
    <t>Nosaukums</t>
  </si>
  <si>
    <t>Ieņēmumu grozījumi               + vai -</t>
  </si>
  <si>
    <t>05.530.</t>
  </si>
  <si>
    <t>Dabas resursu nodoklis par dabas resursu ieguvi un vides piesārņojumu</t>
  </si>
  <si>
    <t>23.000.</t>
  </si>
  <si>
    <t>Saņemtie ziedojumi un dāvinājumi no fiziskām un juridiskā personām</t>
  </si>
  <si>
    <t>PAVISAM RESURSI KOPĀ</t>
  </si>
  <si>
    <t>Speciālā budžeta izdevumi</t>
  </si>
  <si>
    <t>Kods</t>
  </si>
  <si>
    <t>Speciālā budžeta nosaukums</t>
  </si>
  <si>
    <t>Izdevumu grozījumi          + vai -</t>
  </si>
  <si>
    <t>Nodokļa ieņēmumi</t>
  </si>
  <si>
    <t>Ziedojumi/ dāvinājumi</t>
  </si>
  <si>
    <t>I</t>
  </si>
  <si>
    <t>Dabas resursu nodokļa līdzekļi</t>
  </si>
  <si>
    <t>SIA "Jelgavas nekustamā īpašuma pārvalde" apsaimniekošanā esošo grodu aku dzeramā ūdens kvalitātes laboratoriskā kontrole un nodrošināšana</t>
  </si>
  <si>
    <t>II</t>
  </si>
  <si>
    <t>Autoceļu (ielu) fonda līdzekļi</t>
  </si>
  <si>
    <t>Mērķdotācija autoceļu (ielu) fondam</t>
  </si>
  <si>
    <t>Mērķdotācija pašvaldībām pasažieru regulārajiem pārvadājumiem</t>
  </si>
  <si>
    <t>III</t>
  </si>
  <si>
    <t>Ziedojumu un dāvinājumu līdzekļi</t>
  </si>
  <si>
    <t>IV</t>
  </si>
  <si>
    <t>PAVISAM IZDEVUMI KOPĀ</t>
  </si>
  <si>
    <t>2018.gada ieņēmumu plāns</t>
  </si>
  <si>
    <t xml:space="preserve">Naudas līdzekļu atlikums uz 31.12.2017. </t>
  </si>
  <si>
    <t>2018.gada izdevumu plāns kopā</t>
  </si>
  <si>
    <t>SIA "Jelgavas ūdens" -  programma saimnieciski - fekālās kanalizācijas sistēmas attīstība un pārslēgumi, kanalizācijas sistēmas attīstība un pārslēgumi, vides piesārņojuma samazināšana un centralizēto tīklu pieslēguma izbūve</t>
  </si>
  <si>
    <t>Pašvaldības administrācija - vides aizsardzības semināri, konferences, vides projektu pasākumi, dabas resursu nodokļa ieņēmumu administrēšana</t>
  </si>
  <si>
    <t>PI "Pilsētsaimniecība" - lietus ūdens kanalizācijas pasākumi, naftas produktu piesārņojuma mazināšana</t>
  </si>
  <si>
    <t>x</t>
  </si>
  <si>
    <t>Pārējie dažādi nenodokļu ieņēmumi, kas nav iepriekš klasificēti šajā klasifikācijā</t>
  </si>
  <si>
    <t>2018.gada plāns</t>
  </si>
  <si>
    <t>01. JELGAVAS PILSĒTAS DOME</t>
  </si>
  <si>
    <t>Izdevumi kopā</t>
  </si>
  <si>
    <t>2000. Preces un pakalpojumi</t>
  </si>
  <si>
    <t>01.111. Izpildvaras institūcija</t>
  </si>
  <si>
    <t>02. JELGAVAS PILSĒTAS DOMES FINANŠU NODAĻA</t>
  </si>
  <si>
    <t>3000. Subsīdijas un dotācijas</t>
  </si>
  <si>
    <t>7000. Uzturēšanas izdevumu transferti, pašu resursu maksājumi, starptautiskā sadarbība</t>
  </si>
  <si>
    <t>07. JELGAVAS PILSĒTAS PAŠVALDĪBAS IESTĀDE 'PILSĒTSAIMNIECĪBA'</t>
  </si>
  <si>
    <t>1000. Atlīdzība</t>
  </si>
  <si>
    <t>5000. Pamatkapitāla veidošana</t>
  </si>
  <si>
    <t>04.511. Ceļu un ielu infrastruktūras funkcionēšana, izmantošana, būvniecība un uzturēšana</t>
  </si>
  <si>
    <t>05.202. Notekūdeņu apsaimniekošana</t>
  </si>
  <si>
    <t>06.602. Pašvaldības teritorijas, mežu un kapsētu apsaimniekošana, klaiņojošo dzīvnieku likvidācija</t>
  </si>
  <si>
    <t>08. JELGAVAS PILSĒTAS PAŠVALDĪBAS IESTĀDE 'SPORTA SERVISA CENTRS'</t>
  </si>
  <si>
    <t>08.101. PI 'Sporta servisa centrs' darbības nodrošināšana</t>
  </si>
  <si>
    <t>10. JELGAVAS PILSĒTAS PAŠVALDĪBAS IESTĀDE 'Ģ.ELIASA JELGAVAS VĒSTURES UN MĀKSLAS MUZEJS'</t>
  </si>
  <si>
    <t>08.221. PI 'Ģ.Eliasa Jelgavas Vēstures un mākslas muzejs' darbības nodrošināšana</t>
  </si>
  <si>
    <t>11. JELGAVAS PILSĒTAS PAŠVALDĪBAS IESTĀDE 'KULTŪRA'</t>
  </si>
  <si>
    <t>08.231. PI 'Kultūra' darbības nodrošināšana</t>
  </si>
  <si>
    <t>14. JELGAVAS PILSĒTAS PAŠVALDĪBAS IESTĀDE 'JELGAVAS IZGLĪTĪBAS PĀRVALDE'</t>
  </si>
  <si>
    <t>09.219.1. Jelgavas vispārizglītojošo skolu darbības nodrošināšana - kopsavilkums</t>
  </si>
  <si>
    <t>09.219.2. Jelgavas internātpamatskolas un šo skolu projektu īstenošana - kopsavilkums</t>
  </si>
  <si>
    <t>09.811. PI 'Jelgavas izglītības pārvalde' darbības nodrošināšana</t>
  </si>
  <si>
    <t>16. JELGAVAS PILSĒTAS PAŠVALDĪBAS IESTĀDE 'JELGAVAS SOCIĀLO LIETU PĀRVALDE'</t>
  </si>
  <si>
    <t>07.450. Veselības veicināšanas pasākumi</t>
  </si>
  <si>
    <t>17. JELGAVAS PILSĒTAS PAŠVALDĪBAS IESTĀDE 'JELGAVAS BĒRNU SOCIĀLĀS APRŪPES CENTRS'</t>
  </si>
  <si>
    <t>10.706. PI 'Jelgavas bērnu sociālās aprūpes centrs' darbības nodrošināšana</t>
  </si>
  <si>
    <t>PAVISAM KOPĀ</t>
  </si>
  <si>
    <t>JELGAVAS PILSĒTAS PAŠVALDĪBAS 2018.GADA PAMATBUDŽETS ATŠIFRĒJUMĀ PA PROGRAMMĀM UN EKONOMISKĀS KLASIFIKĀCIJAS KODIEM</t>
  </si>
  <si>
    <t>01.113. Projekts - 'Komunikācija ar sabiedrību tās iesaistei pašvaldības lēmumu pieņemšanā'</t>
  </si>
  <si>
    <t>01.114. ERAF Projekts - 'Integrētu teritoriālo investīciju projektu iesniegumu atlases nodrošināšana Jelgavas pilsētas pašvaldībā'</t>
  </si>
  <si>
    <t>01.124. Zvērināto auditoru pakalpojumi un grāmatvedības programmas Horizon uzturēšana</t>
  </si>
  <si>
    <t>01.331. Centralizēto datoru un datortīklu uzturēšana</t>
  </si>
  <si>
    <t>01.332. Interreg V-A Latvijas - Lietuvas programmas projekts - 'Pilsētas iedzīvotāju kartes pieejamo pakalpojumu pilnveidošana Jelgavā un Šauļos'</t>
  </si>
  <si>
    <t>04.510.526. Eiropas Kohēzijas fonda projekts - 'Loka maģistrāles pārbūve posmā no Kalnciema ceļa līdz Jelgavas pilsētas administratīvajai robežai'</t>
  </si>
  <si>
    <t>04.735. Interreg V-A Latvijas -Lietuvas programmas projekts - 'Starptautiskais kultūras tūrisma maršruts 'Baltu ceļš''</t>
  </si>
  <si>
    <t>04.736. ERAF projekts - 'Pilssalas infrastruktūras attīstība tūrisma un veselības aktivitāšu veicināšanai Jelgavā'</t>
  </si>
  <si>
    <t>04.737. ERAF projekts - 'Nozīmīga kultūrvēsturiskā mantojuma saglabāšana un attīstība kultūras tūrisma piedāvājuma pilnveidošanai Zemgales reģionā'</t>
  </si>
  <si>
    <t>04.741. Projekts - 'Tematiskā plānojuma 'Publisko ūdeņu teritoriju izmantošana Jelgavas pilsētas administratīvajās robežās' izstrāde'</t>
  </si>
  <si>
    <t>04.901. Zemes reformas darbība, zemes īpašuma un lietošanas tiesību pārveidošana</t>
  </si>
  <si>
    <t>05.602. Centrālās Baltijas jūras reģiona programmas projekts - 'Integrēta lietusūdens pārvaldība'</t>
  </si>
  <si>
    <t>05.603. Interreg V-A Latvijas - Lietuvas programmas projekts - 'Vides risku pārvaldības resursu pilnveidošana pierobežas reģionā, lai efektīvi veiktu vides aizsardzības pasākumus'</t>
  </si>
  <si>
    <t>06.201. Projektu sagatavošana un teritoriju attīstība</t>
  </si>
  <si>
    <t>06.604. Pašvaldības dzīvokļu pārvaldīšana, remonts, veco māju nojaukšana</t>
  </si>
  <si>
    <t>06.606. Ar pašvaldības teritoriju saistīto normatīvo aktu un standartu sagatavošana un ieviešana</t>
  </si>
  <si>
    <t>06.607. Pašvaldības līdzfinansējums energoefektivitātes paaugstināšanas pasākumu veikšanai daudzdzīvokļu dzīvojamās mājās</t>
  </si>
  <si>
    <t>06.608. ES Horizon 2020 programmas projekts - 'THERMOS - termālās enerģijas resursu modelēšanas un optimizācijas sistēma'</t>
  </si>
  <si>
    <t>07.452. ESF projekts - 'Kompleksu veselības veicināšanas un slimību profilakses pasākumu īstenošana Jelgavas pilsētā, 1.kārta'</t>
  </si>
  <si>
    <t>08.107. Projekts- 'Atklātas publiskās slidotavas slēgtā jumta konstrukcijas izbūve, ūdenssaimniecības tīklu pārbūve'</t>
  </si>
  <si>
    <t>08.292. Pilsētas nozīmes pasākumi</t>
  </si>
  <si>
    <t>08.295. Projekts- 'Atklātā amfiteātra tipa brīvdabas estrādes segtā jumta projektēšana un izbūve'</t>
  </si>
  <si>
    <t>08.401. Dotācijas projektu realizācijai NVO</t>
  </si>
  <si>
    <t>09.110. ERAF projekts - 'Jelgavas pilsētas pašvaldības pirmsskolas izglītības iestādes 'Sprīdītis' energoefektivitātes paaugstināšana'</t>
  </si>
  <si>
    <t>09.222.7. ERAF projekts 'Jelgavas Amatu vidusskolas infrastruktūras uzlabošana un mācību aprīkojuma modernizācija, 2.kārta'</t>
  </si>
  <si>
    <t>09.519.02. Pašvaldības izglītības iestāžu investīciju projekts 'Jelgavas pilsētas pašvaldības ēkas Zemgales prospekts 7 pārbūve un jaunais būvapjoms (piebūve)', I un III kārta</t>
  </si>
  <si>
    <t>09.519.03. ERAF projekts 'Jelgavas pilsētas pašvaldības ēkas Zemgales prospekts 7 energoefektivitātes paaugstināšana', II kārta</t>
  </si>
  <si>
    <t>09.533. ESF projekts - 'Proti un dari'</t>
  </si>
  <si>
    <t>09.534. ESF projekts - 'Nodarbināto personu profesionālās kompetences pilnveide'</t>
  </si>
  <si>
    <t>10.127. ESF projekts - 'Atver sirdi Zemgalē'</t>
  </si>
  <si>
    <t>4000. Procentu izdevumi</t>
  </si>
  <si>
    <t>01.122. Nekustamā īpašuma nodokļa u.c. pašvaldības ieņēmumu administrēšana</t>
  </si>
  <si>
    <t>01.721. Parāda procentu nomaksa</t>
  </si>
  <si>
    <t>01.890.  Izdevumi neparedzētiem gadījumiem</t>
  </si>
  <si>
    <t>04.515. Dotācija zaudējumu kompensācijai pašvaldības SIA 'Jelgavas autobusu parks'</t>
  </si>
  <si>
    <t>04.909. Dotācija Zemgales plānošanas reģionam</t>
  </si>
  <si>
    <t>05.102.  Pilsētas sanitārā tīrīšana - SIA 'Zemgales EKO' funkcija</t>
  </si>
  <si>
    <t>06.603. Pašvaldības īpašumu apsaimniekošana - finansējums SIA 'Jelgavas nekustamā īpašuma pārvalde'</t>
  </si>
  <si>
    <t>08.105. Subsīdija nodibinājumam 'Sporta tālākizglītības atbalsta fonds'</t>
  </si>
  <si>
    <t>08.108. Nacionālās sporta bāzes SIA 'Zemgales olimpiskais centrs' uzturēšanas izdevumu segšanai</t>
  </si>
  <si>
    <t>08.403. Subsīdija nodibinājumam 'Atbalsts kultūrai Jelgavā'</t>
  </si>
  <si>
    <t>08.405. Dotācijas reliģiskajām un citām biedrībām un nodibinājumiem- fin.nod.</t>
  </si>
  <si>
    <t>09.521. Subsīdija Izglītības atbalsta fondam</t>
  </si>
  <si>
    <t>09.522. Subsīdija J.Bisenieka atbalsta fondam</t>
  </si>
  <si>
    <t>03. JELGAVAS PILSĒTAS PAŠVALDĪBAS IESTĀDE 'PAŠVALDĪBAS IESTĀŽU CENTRALIZĒTĀ GRĀMATVEDĪBA'</t>
  </si>
  <si>
    <t>01.123. PI 'Pašvaldības iestāžu centralizētā grāmatvedība' darbības nodrošināšana</t>
  </si>
  <si>
    <t>04. JELGAVAS PILSĒTAS PAŠVALDĪBAS IESTĀDE 'JELGAVAS PILSĒTAS PAŠVALDĪBAS POLICIJA'</t>
  </si>
  <si>
    <t>03.111. PI 'Jelgavas pilsētas pašvaldības policija' darbības nodrošināšana</t>
  </si>
  <si>
    <t>05. JELGAVAS PILSĒTAS PAŠVALDĪBAS IESTĀDE 'JELGAVAS PAŠVALDĪBAS OPERATĪVĀS INFORMĀCIJAS CENTRS'</t>
  </si>
  <si>
    <t>03.202. PI 'Pašvaldības operatīvās informācijas centrs' darbības nodrošināšana</t>
  </si>
  <si>
    <t>03.206. Interreg V-A Latvijas - Lietuvas programmas projekts  - 'Civilās aizsardzības saistēmas pilnveidošana Jelgavas un Šauļu pilsētās'</t>
  </si>
  <si>
    <t>06. JELGAVAS PILSĒTAS PAŠVALDĪBAS IESTĀDE 'JELGAVAS REĢIONĀLAIS TŪRISMA CENTRS'</t>
  </si>
  <si>
    <t>04.733. PI 'Jelgavas reģionālais tūrisma centrs' darbības nodrošināšana</t>
  </si>
  <si>
    <t>6000. Sociālie pabalsti</t>
  </si>
  <si>
    <t>05.101. Ielu, laukumu, publisko dārzu un parku tīrīšana, atkritumu savākšana</t>
  </si>
  <si>
    <t>06.401. Ielu apgaismošana</t>
  </si>
  <si>
    <t>06.601. PI 'Pilsētsaimniecība' darbības nodrošināšana</t>
  </si>
  <si>
    <t>10.504. Atbalsts Bezdarba gadījumā</t>
  </si>
  <si>
    <t>08.103. Dotācijas sporta pasākumiem</t>
  </si>
  <si>
    <t>09.513. Jelgavas sporta skolu darbības nodrošināšana - kopsavilkums</t>
  </si>
  <si>
    <t>09. JELGAVAS PILSĒTAS PAŠVALDĪBAS IESTĀDE 'JELGAVAS PILSĒTAS BIBLIOTĒKA'</t>
  </si>
  <si>
    <t>08.211. PI 'Jelgavas pilsētas bibliotēka' darbības nodrošināšana</t>
  </si>
  <si>
    <t>08.213. Projekts - 'Inovatīvu bibliotēku darbības risinājumu izveide dažādām paaudzēm pierobežas reģionā'</t>
  </si>
  <si>
    <t>08.232. PI 'Kultūra' pasākumi</t>
  </si>
  <si>
    <t>08.241.Jelgavas Kamerorķestra darbības nodrošināšana</t>
  </si>
  <si>
    <t>08.242. Jelgavas bigbenda darbības nodrošināšana</t>
  </si>
  <si>
    <t>08.243. Dotācija Jelgavas Ā.Alunāna teātra darbības nodrošināšanai</t>
  </si>
  <si>
    <t>08.291. Dotācija Tautas mākslas kolektīvu darbības nodrošināšanai</t>
  </si>
  <si>
    <t>08.402. Kultūras padomes finansētie pasākumi</t>
  </si>
  <si>
    <t>12. JELGAVAS PILSĒTAS PAŠVALDĪBAS IESTĀDE 'ZEMGALES INFO'</t>
  </si>
  <si>
    <t>08.331. PI 'Zemgales INFO' darbības nodrošināšana</t>
  </si>
  <si>
    <t>13. JELGAVAS PILSĒTAS PAŠVALDĪBAS IESTĀDE 'ZEMGALES REĢIONA KOMPETENČU ATTĪSTĪBAS CENTRS'</t>
  </si>
  <si>
    <t>09.531. PI 'Zemgales reģiona kompetenču attīstības centrs' darbības nodrošināšana</t>
  </si>
  <si>
    <t>09.532. PI 'Zemgales reģiona kompetenču attīstības centrs' projektu īstenošana</t>
  </si>
  <si>
    <t>01.831. Transferti citām pašvaldībām izglītības funkciju nodrošināšanai</t>
  </si>
  <si>
    <t>09.101. Jelgavas pirmsskolas izglītības iestāžu darbības nodrošināšana - kopsavilkums</t>
  </si>
  <si>
    <t>09.219.3. Jelgavas vispārizglītojošo skolu projektu īstenošana</t>
  </si>
  <si>
    <t>09.219.7. Pašvaldības izglītības iestāžu investīciju projekts 'Jelgavas 2.internātpamatskolas rekonstrukcija 2.kārta'</t>
  </si>
  <si>
    <t>09.222.2. Jelgavas Amatu vidusskolas darbības nodrošināšana</t>
  </si>
  <si>
    <t>09.222.3.Jelgavas Amatu vidusskolas projektu īstenošana - kopsavilkums</t>
  </si>
  <si>
    <t>09.511. Pārējie interešu izglītības pasākumi, t.sk. BJIC 'Junda' darbības nodrošināšana</t>
  </si>
  <si>
    <t>09.512. Jelgavas Mākslas skolas darbības nodrošināšana</t>
  </si>
  <si>
    <t>09.518. Bērnu un jauniešu centra 'JUNDA' projektu īstenošana</t>
  </si>
  <si>
    <t>09.812. PI 'Jelgavas izglītības pārvalde' projektu īstenošana</t>
  </si>
  <si>
    <t>09.812.3. PI 'Jelgavas izglītības pārvalde' iekļaujošas izglītības atbalsta centrs</t>
  </si>
  <si>
    <t>10.922. Braukšanas maksas atvieglojumi skolēniem sabiedriskajā transportā</t>
  </si>
  <si>
    <t>15. JELGAVAS PILSĒTAS PAŠVALDIBAS IESTĀDE 'JELGAVAS PILSĒTAS BĀRIŅTIESA'</t>
  </si>
  <si>
    <t>10.403. PI 'Jelgavas pilsētas bāriņtiesa' darbības nodrošināšana</t>
  </si>
  <si>
    <t>01.832. Transferti citām pašvaldībām sociālās aizsardzības funkciju nodrošināšanai</t>
  </si>
  <si>
    <t>07.100. Ārstniecības līdzekļi</t>
  </si>
  <si>
    <t>07.200. Ambulatoro ārstniecības iestāžu darbība un pakalpojumi</t>
  </si>
  <si>
    <t>07.300. Slimnīcu pakalpojumi</t>
  </si>
  <si>
    <t>10.121. Invalīdu rehabilitācijas pasākumi, invalīdu transporta izdevumi u.c. kompensācijas</t>
  </si>
  <si>
    <t>10.123. Dienas centrs 'Integra'</t>
  </si>
  <si>
    <t>10.124. Dienas centrs 'Atbalsts'</t>
  </si>
  <si>
    <t>10.125. Grupu dzīvokļi</t>
  </si>
  <si>
    <t>10.128. Projekts 'Sabiedrībā balstītu sociālo pakalpojumu nodrošināšana bērniem ar funkcionāliem traucējumiem'</t>
  </si>
  <si>
    <t>10.201. Sociālās un medicīniskās aprūpes centrs</t>
  </si>
  <si>
    <t>10.202. Palīdzība veciem cilvēkiem</t>
  </si>
  <si>
    <t>10.402. Sociālā palīdzība ģimenēm ar bērniem un vardarbībā cietušo bērnu rehabilitācija</t>
  </si>
  <si>
    <t>10.407. ES Nodarbinātības un sociālās inovācijas programmas projekts - 'Elastīga bērnu uzraudzības pakalpojuma nodrošināšana darbiniekiem, kas strādā nestandarta darba laiku'</t>
  </si>
  <si>
    <t>10.601. Dzīvokļa pabalsts un pabalsts individuālās apkures nodrošināšanai</t>
  </si>
  <si>
    <t>10.701. Sociālā māja un sociālie dzīvokļi</t>
  </si>
  <si>
    <t>10.704. GMI pabalsts, mirušo apbedīšanas izdevumi un citi naudas maksājumi maznodrošinātām un neaizsargātām personām</t>
  </si>
  <si>
    <t>10.705.2. JSLP Naktspatversme</t>
  </si>
  <si>
    <t>10.707. Higiēnas centrs</t>
  </si>
  <si>
    <t>10.911. PI 'Jelgavas sociālo lietu pārvalde' darbības nodrošināšana</t>
  </si>
  <si>
    <t>10.921. Pabalsti ārkārtas gadījumos, citi pabalsti un maksājumi</t>
  </si>
  <si>
    <t>10.709. PI 'Jelgavas bērnu sociālās aprūpes centrs' str. Krīzes centrs</t>
  </si>
  <si>
    <t>18. FINANSĒŠANA</t>
  </si>
  <si>
    <t>F40020000 Aizdevumu pamatsummu atmaksa</t>
  </si>
  <si>
    <t>F50020000. Akcijas un cita līdzdalība komersantu pašu kapitālā</t>
  </si>
  <si>
    <t>F21010000. Naudas līdzekļu atlikums uz perioda beigām</t>
  </si>
  <si>
    <t>F40320020 Saņemto ilgtermiņa aizņēmumu atmaksa</t>
  </si>
  <si>
    <t>F50010000 Akcijas un cita līdzdalība komersantu pašu kapitālā</t>
  </si>
  <si>
    <t>A2/1/18/441</t>
  </si>
  <si>
    <t>Saistību pārjaunojums investīciju projektu īstenošanai</t>
  </si>
  <si>
    <t>06.07.2018.-20.11.2034.</t>
  </si>
  <si>
    <t>A2/1/18/296</t>
  </si>
  <si>
    <t>01.06.2018.-20.03.2048.</t>
  </si>
  <si>
    <t>A2/1/18/434</t>
  </si>
  <si>
    <t>05.07.2018.-20.03.2038.</t>
  </si>
  <si>
    <t>05.07.2018.-20.03.2048.</t>
  </si>
  <si>
    <t>A2/1/18/435</t>
  </si>
  <si>
    <t>A2/1/18/436</t>
  </si>
  <si>
    <t>A2/1/18/541</t>
  </si>
  <si>
    <t>07.08.2018.-20.06.2048.</t>
  </si>
  <si>
    <t>A2/1/18/542</t>
  </si>
  <si>
    <t>07.08.2018.-20.03.2048.</t>
  </si>
  <si>
    <t>A2/1/18/543</t>
  </si>
  <si>
    <t>07.08.2018.-20.03.2038.</t>
  </si>
  <si>
    <t>Jelgavas Valsts ģimnāzijas pārbūves papilddarbi</t>
  </si>
  <si>
    <t>SIA Jelgavas ūdens - "Ūdenssaimniecības pakalpojumu attīstība Jelgavā, IV kārta" (Atmaksāts 23.01.2018.)</t>
  </si>
  <si>
    <t>4.pielikums</t>
  </si>
  <si>
    <t>Grozījumi          + vai -</t>
  </si>
  <si>
    <t>Jelgavas pilsētas pašvaldības 2018.gada speciālais budžets</t>
  </si>
  <si>
    <t>PI "Kultūra" - kanalizācijas tīklu pārbūve, drenāžas izbūve</t>
  </si>
  <si>
    <t>Nodibinājums "Jelgavnieku veselības veicināšanas fonds"</t>
  </si>
  <si>
    <t>A2/1/18/602</t>
  </si>
  <si>
    <t>30.08.2018. -20.03.2038.</t>
  </si>
  <si>
    <t>A2/1/18/603</t>
  </si>
  <si>
    <t>Latvijas-Lietuvas pārrobežu sadarbības projekts "Civilās aizsardzības sistēmas pilnveidošana Jelgavas un Šauļu pilsētās (C-System)"</t>
  </si>
  <si>
    <t>30.08.2018.- 20.06.2028.</t>
  </si>
  <si>
    <t>A2/1/18/604</t>
  </si>
  <si>
    <t>Izglītības iestādes investīciju projekts "Jelgavas pilsētas pašvaldības PII "Gaismiņa" telpu vienkāršota atjaunošana"</t>
  </si>
  <si>
    <t>30.08.2018. - 20.06.2038.</t>
  </si>
  <si>
    <t xml:space="preserve">ERAF projekts "Jelgavas pilsētas pašvaldības ēkas Zemgales prospekts 7 energoefektivitātes paaugstināšana", II kārta </t>
  </si>
  <si>
    <t>ERAF projekts "Jelgavas pilsētas pašvaldības PII "Sprīdītis" energoefektivitātes paaugstināšana"</t>
  </si>
  <si>
    <t>Pārrēķinātas % likmes</t>
  </si>
  <si>
    <t>25.10.2018.prot.Nr.___/___</t>
  </si>
  <si>
    <t>Precizētais plāns uz 25.10.2018.</t>
  </si>
  <si>
    <t>25.10.2018.prot. Nr.___/___</t>
  </si>
  <si>
    <t>Precizētais resursu plāns uz 25.10.2018.</t>
  </si>
  <si>
    <t>Precizētais izdevumu plāns uz 25.10.2018.</t>
  </si>
  <si>
    <t>08.109.</t>
  </si>
  <si>
    <t>Airēšanas bāzes būvniecība</t>
  </si>
  <si>
    <t>Latvijas - Lietuvas pārrobežu sadarbības programmas projekts "Vides risku pārvaldības resursu pilnveidošana pierobežas reģionā (DERMR)" (papildus aizņēmums 7260 euro)</t>
  </si>
  <si>
    <t>Pašvaldības izglītības iestāžu investīciju projekts "Jelgavas pilsētas pašvaldības ēkas Zemgales prospekts 7 pārbūve un jaunais būvapjoms (piebūve)", I un III kārta (BJIC "Junda" izveidošanai) (papildus aizņēmums 31 089 euro)</t>
  </si>
  <si>
    <t>Prioritārais investīciju projekts "Jelgavas Kultūras nama ēkas fasādes, pamatu vertikālās hidroizolācijas atjaunošana un teritorijas sakārtošana"</t>
  </si>
  <si>
    <t>Kultūras iestāžu investīciju projekts "Jelgavas Kultūras nama ēkas fasādes, pamatu vertikālās hidroizolācijas atjaunošana un teritorijas sakārtošana"</t>
  </si>
  <si>
    <t>01.601. Vēlēšanu organizēšana</t>
  </si>
  <si>
    <t>08.109. Airēšanas bāzes būvniecība</t>
  </si>
  <si>
    <t>09.219.5. ERAF projekts - 'Mācību vides uzlabošana Jelgavas Valsts ģimnāzijā un Jelgavas Tehnoloģiju vidusskolā'</t>
  </si>
  <si>
    <t>07.623. Fonds 'Jelgavnieku veselības veicināšanas fonds'</t>
  </si>
  <si>
    <t>04.743. ERAF projekts - 'Jelgavas lidlauka poldera dambja pārbūve plūdu draudu novēršanai'</t>
  </si>
  <si>
    <t>09.513.1. Jelgavas Bērnu un jaunatnes sporta skola</t>
  </si>
  <si>
    <t>09.513.2. Jelgavas Specializētā peldēšanas skola</t>
  </si>
  <si>
    <t>09.513.3. Jelgavas Ledus sporta skola</t>
  </si>
  <si>
    <t>10.122. Dienas centrs 'Harmonija'</t>
  </si>
  <si>
    <t>Valsts budžeta līdzfinansēta kultūras iestādes investīciju projekta "Publiskās slidotavas un brīvdabas estrādes Pasta salā jumtu pārsegumu projektēšana, izbūve un autoruzraudzība" pabeigšanai (papildus aizņēmums 775000 euro)</t>
  </si>
  <si>
    <t>Kultūras iestāžu investīciju projekts "Miezītes bibliotēkas pārbūve"</t>
  </si>
  <si>
    <t>A2/1/18/709</t>
  </si>
  <si>
    <t>10.10.2018.-20.09.2038.</t>
  </si>
  <si>
    <t>Dienas centrs "Harmonija"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</si>
</sst>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00"/>
    <numFmt numFmtId="165" formatCode="_-* #,##0\ _L_s_-;\-* #,##0\ _L_s_-;_-* &quot;-&quot;??\ _L_s_-;_-@_-"/>
    <numFmt numFmtId="166" formatCode="0.000%"/>
    <numFmt numFmtId="167" formatCode="#,##0.00_ ;\-#,##0.00\ "/>
  </numFmts>
  <fonts count="6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i/>
      <sz val="9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4"/>
      <name val="Times New Roman"/>
      <family val="1"/>
      <charset val="186"/>
    </font>
    <font>
      <i/>
      <sz val="8"/>
      <name val="Arial"/>
      <family val="2"/>
      <charset val="186"/>
    </font>
    <font>
      <i/>
      <sz val="10"/>
      <name val="Arial"/>
      <family val="2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Arial"/>
      <family val="2"/>
      <charset val="186"/>
    </font>
    <font>
      <i/>
      <sz val="8"/>
      <name val="Times New Roman"/>
      <family val="1"/>
      <charset val="186"/>
    </font>
    <font>
      <sz val="8"/>
      <name val="Arial"/>
      <family val="2"/>
      <charset val="186"/>
    </font>
    <font>
      <sz val="8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8"/>
      <color theme="3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19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0" fontId="18" fillId="0" borderId="0"/>
    <xf numFmtId="0" fontId="21" fillId="0" borderId="0"/>
    <xf numFmtId="0" fontId="19" fillId="0" borderId="0"/>
    <xf numFmtId="0" fontId="18" fillId="0" borderId="0"/>
    <xf numFmtId="9" fontId="19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6" applyNumberFormat="0" applyAlignment="0" applyProtection="0"/>
    <xf numFmtId="0" fontId="33" fillId="10" borderId="7" applyNumberFormat="0" applyAlignment="0" applyProtection="0"/>
    <xf numFmtId="0" fontId="34" fillId="10" borderId="6" applyNumberFormat="0" applyAlignment="0" applyProtection="0"/>
    <xf numFmtId="0" fontId="35" fillId="0" borderId="8" applyNumberFormat="0" applyFill="0" applyAlignment="0" applyProtection="0"/>
    <xf numFmtId="0" fontId="36" fillId="11" borderId="9" applyNumberFormat="0" applyAlignment="0" applyProtection="0"/>
    <xf numFmtId="0" fontId="37" fillId="0" borderId="0" applyNumberFormat="0" applyFill="0" applyBorder="0" applyAlignment="0" applyProtection="0"/>
    <xf numFmtId="0" fontId="18" fillId="12" borderId="10" applyNumberFormat="0" applyFont="0" applyAlignment="0" applyProtection="0"/>
    <xf numFmtId="0" fontId="38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3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39" fillId="36" borderId="0" applyNumberFormat="0" applyBorder="0" applyAlignment="0" applyProtection="0"/>
    <xf numFmtId="0" fontId="19" fillId="0" borderId="0"/>
    <xf numFmtId="0" fontId="41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0" fontId="18" fillId="0" borderId="0"/>
  </cellStyleXfs>
  <cellXfs count="63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2" fillId="3" borderId="1" xfId="0" applyFont="1" applyFill="1" applyBorder="1"/>
    <xf numFmtId="0" fontId="1" fillId="0" borderId="1" xfId="0" applyFont="1" applyBorder="1"/>
    <xf numFmtId="0" fontId="1" fillId="0" borderId="0" xfId="0" applyFont="1" applyFill="1" applyAlignment="1"/>
    <xf numFmtId="0" fontId="5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10" fillId="0" borderId="1" xfId="0" applyFont="1" applyBorder="1" applyAlignment="1">
      <alignment horizontal="left" wrapText="1" indent="2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2"/>
    </xf>
    <xf numFmtId="3" fontId="2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1" fillId="5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16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3" fontId="6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17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/>
    </xf>
    <xf numFmtId="3" fontId="16" fillId="2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 indent="2"/>
    </xf>
    <xf numFmtId="0" fontId="10" fillId="5" borderId="1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left" vertical="center" wrapText="1" indent="2"/>
    </xf>
    <xf numFmtId="3" fontId="6" fillId="5" borderId="1" xfId="0" applyNumberFormat="1" applyFont="1" applyFill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3" fontId="7" fillId="5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 indent="2"/>
    </xf>
    <xf numFmtId="3" fontId="1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 indent="2"/>
    </xf>
    <xf numFmtId="3" fontId="6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left" vertical="center" wrapText="1" indent="2"/>
    </xf>
    <xf numFmtId="3" fontId="6" fillId="4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12" fillId="5" borderId="1" xfId="0" applyNumberFormat="1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10" fillId="37" borderId="1" xfId="0" applyFont="1" applyFill="1" applyBorder="1" applyAlignment="1">
      <alignment horizontal="right" vertical="center"/>
    </xf>
    <xf numFmtId="0" fontId="10" fillId="37" borderId="1" xfId="0" applyFont="1" applyFill="1" applyBorder="1" applyAlignment="1">
      <alignment horizontal="left" vertical="center" wrapText="1" indent="2"/>
    </xf>
    <xf numFmtId="3" fontId="7" fillId="37" borderId="1" xfId="0" applyNumberFormat="1" applyFont="1" applyFill="1" applyBorder="1" applyAlignment="1">
      <alignment vertical="center"/>
    </xf>
    <xf numFmtId="3" fontId="6" fillId="37" borderId="1" xfId="0" applyNumberFormat="1" applyFont="1" applyFill="1" applyBorder="1" applyAlignment="1">
      <alignment vertical="center"/>
    </xf>
    <xf numFmtId="3" fontId="10" fillId="37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vertical="center"/>
    </xf>
    <xf numFmtId="0" fontId="1" fillId="0" borderId="0" xfId="0" applyFont="1" applyFill="1"/>
    <xf numFmtId="164" fontId="14" fillId="0" borderId="2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left" vertical="center" wrapText="1" indent="2"/>
    </xf>
    <xf numFmtId="3" fontId="15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wrapText="1" indent="2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19" fillId="0" borderId="0" xfId="56"/>
    <xf numFmtId="0" fontId="19" fillId="0" borderId="0" xfId="56" applyAlignment="1">
      <alignment vertical="center"/>
    </xf>
    <xf numFmtId="0" fontId="19" fillId="0" borderId="0" xfId="56" applyFill="1"/>
    <xf numFmtId="3" fontId="15" fillId="0" borderId="0" xfId="56" applyNumberFormat="1" applyFont="1"/>
    <xf numFmtId="0" fontId="42" fillId="0" borderId="0" xfId="56" applyFont="1"/>
    <xf numFmtId="0" fontId="15" fillId="0" borderId="0" xfId="56" applyFont="1"/>
    <xf numFmtId="0" fontId="19" fillId="0" borderId="0" xfId="56" applyFill="1" applyBorder="1"/>
    <xf numFmtId="14" fontId="42" fillId="0" borderId="0" xfId="57" applyNumberFormat="1" applyFont="1" applyProtection="1"/>
    <xf numFmtId="0" fontId="43" fillId="0" borderId="0" xfId="57" applyFont="1" applyBorder="1" applyProtection="1">
      <protection locked="0"/>
    </xf>
    <xf numFmtId="0" fontId="43" fillId="0" borderId="0" xfId="57" applyFont="1" applyProtection="1">
      <protection locked="0"/>
    </xf>
    <xf numFmtId="0" fontId="17" fillId="0" borderId="0" xfId="56" applyFont="1"/>
    <xf numFmtId="0" fontId="44" fillId="0" borderId="0" xfId="56" applyFont="1" applyAlignment="1">
      <alignment horizontal="right"/>
    </xf>
    <xf numFmtId="0" fontId="44" fillId="0" borderId="0" xfId="54" applyFont="1" applyAlignment="1">
      <alignment horizontal="right"/>
    </xf>
    <xf numFmtId="0" fontId="19" fillId="0" borderId="0" xfId="54"/>
    <xf numFmtId="0" fontId="44" fillId="0" borderId="0" xfId="54" applyFont="1" applyAlignment="1">
      <alignment horizontal="center"/>
    </xf>
    <xf numFmtId="3" fontId="44" fillId="0" borderId="0" xfId="54" applyNumberFormat="1" applyFont="1"/>
    <xf numFmtId="0" fontId="44" fillId="0" borderId="0" xfId="54" applyFont="1" applyBorder="1"/>
    <xf numFmtId="43" fontId="45" fillId="0" borderId="0" xfId="56" applyNumberFormat="1" applyFont="1"/>
    <xf numFmtId="0" fontId="45" fillId="0" borderId="0" xfId="57" applyFont="1" applyProtection="1">
      <protection locked="0"/>
    </xf>
    <xf numFmtId="0" fontId="46" fillId="0" borderId="0" xfId="56" applyFont="1"/>
    <xf numFmtId="4" fontId="45" fillId="0" borderId="0" xfId="56" applyNumberFormat="1" applyFont="1"/>
    <xf numFmtId="10" fontId="47" fillId="38" borderId="12" xfId="11" applyNumberFormat="1" applyFont="1" applyFill="1" applyBorder="1" applyAlignment="1">
      <alignment horizontal="center"/>
    </xf>
    <xf numFmtId="10" fontId="47" fillId="38" borderId="13" xfId="11" applyNumberFormat="1" applyFont="1" applyFill="1" applyBorder="1" applyAlignment="1">
      <alignment horizontal="center"/>
    </xf>
    <xf numFmtId="10" fontId="47" fillId="38" borderId="14" xfId="11" applyNumberFormat="1" applyFont="1" applyFill="1" applyBorder="1" applyAlignment="1">
      <alignment horizontal="center"/>
    </xf>
    <xf numFmtId="0" fontId="22" fillId="38" borderId="14" xfId="56" applyFont="1" applyFill="1" applyBorder="1" applyAlignment="1">
      <alignment horizontal="center"/>
    </xf>
    <xf numFmtId="0" fontId="42" fillId="39" borderId="17" xfId="56" applyFont="1" applyFill="1" applyBorder="1" applyAlignment="1"/>
    <xf numFmtId="4" fontId="48" fillId="38" borderId="18" xfId="56" applyNumberFormat="1" applyFont="1" applyFill="1" applyBorder="1" applyAlignment="1">
      <alignment horizontal="center" vertical="center"/>
    </xf>
    <xf numFmtId="4" fontId="48" fillId="38" borderId="19" xfId="56" applyNumberFormat="1" applyFont="1" applyFill="1" applyBorder="1" applyAlignment="1">
      <alignment horizontal="center"/>
    </xf>
    <xf numFmtId="0" fontId="48" fillId="38" borderId="19" xfId="56" applyFont="1" applyFill="1" applyBorder="1" applyAlignment="1">
      <alignment horizontal="center"/>
    </xf>
    <xf numFmtId="0" fontId="48" fillId="38" borderId="20" xfId="56" applyFont="1" applyFill="1" applyBorder="1" applyAlignment="1">
      <alignment horizontal="center"/>
    </xf>
    <xf numFmtId="4" fontId="48" fillId="38" borderId="21" xfId="56" applyNumberFormat="1" applyFont="1" applyFill="1" applyBorder="1" applyAlignment="1">
      <alignment horizontal="center" vertical="center"/>
    </xf>
    <xf numFmtId="4" fontId="48" fillId="38" borderId="22" xfId="56" applyNumberFormat="1" applyFont="1" applyFill="1" applyBorder="1" applyAlignment="1">
      <alignment horizontal="center" vertical="center"/>
    </xf>
    <xf numFmtId="0" fontId="22" fillId="38" borderId="22" xfId="56" applyFont="1" applyFill="1" applyBorder="1" applyAlignment="1">
      <alignment horizontal="center"/>
    </xf>
    <xf numFmtId="0" fontId="49" fillId="38" borderId="23" xfId="56" applyFont="1" applyFill="1" applyBorder="1" applyAlignment="1">
      <alignment horizontal="center"/>
    </xf>
    <xf numFmtId="4" fontId="48" fillId="38" borderId="24" xfId="56" applyNumberFormat="1" applyFont="1" applyFill="1" applyBorder="1" applyAlignment="1">
      <alignment horizontal="center" vertical="center"/>
    </xf>
    <xf numFmtId="4" fontId="48" fillId="38" borderId="25" xfId="56" applyNumberFormat="1" applyFont="1" applyFill="1" applyBorder="1" applyAlignment="1">
      <alignment horizontal="center" vertical="center"/>
    </xf>
    <xf numFmtId="165" fontId="48" fillId="38" borderId="25" xfId="56" applyNumberFormat="1" applyFont="1" applyFill="1" applyBorder="1" applyAlignment="1">
      <alignment horizontal="center"/>
    </xf>
    <xf numFmtId="0" fontId="49" fillId="38" borderId="28" xfId="56" applyFont="1" applyFill="1" applyBorder="1" applyAlignment="1"/>
    <xf numFmtId="0" fontId="50" fillId="0" borderId="0" xfId="56" applyFont="1" applyAlignment="1">
      <alignment vertical="center"/>
    </xf>
    <xf numFmtId="4" fontId="19" fillId="0" borderId="0" xfId="56" applyNumberFormat="1"/>
    <xf numFmtId="3" fontId="48" fillId="38" borderId="31" xfId="56" applyNumberFormat="1" applyFont="1" applyFill="1" applyBorder="1" applyAlignment="1">
      <alignment horizontal="center"/>
    </xf>
    <xf numFmtId="3" fontId="48" fillId="38" borderId="32" xfId="56" applyNumberFormat="1" applyFont="1" applyFill="1" applyBorder="1" applyAlignment="1">
      <alignment horizontal="center"/>
    </xf>
    <xf numFmtId="0" fontId="48" fillId="38" borderId="32" xfId="56" applyFont="1" applyFill="1" applyBorder="1" applyAlignment="1">
      <alignment horizontal="center"/>
    </xf>
    <xf numFmtId="0" fontId="48" fillId="38" borderId="33" xfId="56" applyFont="1" applyFill="1" applyBorder="1" applyAlignment="1">
      <alignment horizontal="center"/>
    </xf>
    <xf numFmtId="4" fontId="48" fillId="38" borderId="21" xfId="56" applyNumberFormat="1" applyFont="1" applyFill="1" applyBorder="1" applyAlignment="1">
      <alignment horizontal="center"/>
    </xf>
    <xf numFmtId="4" fontId="48" fillId="38" borderId="22" xfId="56" applyNumberFormat="1" applyFont="1" applyFill="1" applyBorder="1" applyAlignment="1">
      <alignment horizontal="center"/>
    </xf>
    <xf numFmtId="4" fontId="48" fillId="38" borderId="34" xfId="56" applyNumberFormat="1" applyFont="1" applyFill="1" applyBorder="1" applyAlignment="1">
      <alignment horizontal="center"/>
    </xf>
    <xf numFmtId="4" fontId="48" fillId="38" borderId="25" xfId="56" applyNumberFormat="1" applyFont="1" applyFill="1" applyBorder="1" applyAlignment="1">
      <alignment horizontal="center"/>
    </xf>
    <xf numFmtId="4" fontId="49" fillId="0" borderId="35" xfId="9" applyNumberFormat="1" applyFont="1" applyFill="1" applyBorder="1"/>
    <xf numFmtId="4" fontId="51" fillId="0" borderId="36" xfId="9" applyNumberFormat="1" applyFont="1" applyFill="1" applyBorder="1"/>
    <xf numFmtId="4" fontId="51" fillId="0" borderId="37" xfId="9" applyNumberFormat="1" applyFont="1" applyFill="1" applyBorder="1"/>
    <xf numFmtId="166" fontId="49" fillId="0" borderId="37" xfId="56" applyNumberFormat="1" applyFont="1" applyFill="1" applyBorder="1" applyAlignment="1">
      <alignment horizontal="center"/>
    </xf>
    <xf numFmtId="0" fontId="49" fillId="0" borderId="37" xfId="56" applyFont="1" applyFill="1" applyBorder="1" applyAlignment="1">
      <alignment horizontal="center" vertical="center" wrapText="1"/>
    </xf>
    <xf numFmtId="0" fontId="49" fillId="0" borderId="37" xfId="56" applyFont="1" applyFill="1" applyBorder="1" applyAlignment="1">
      <alignment horizontal="center" wrapText="1"/>
    </xf>
    <xf numFmtId="4" fontId="49" fillId="0" borderId="34" xfId="9" applyNumberFormat="1" applyFont="1" applyFill="1" applyBorder="1"/>
    <xf numFmtId="4" fontId="51" fillId="0" borderId="39" xfId="9" applyNumberFormat="1" applyFont="1" applyFill="1" applyBorder="1"/>
    <xf numFmtId="4" fontId="51" fillId="0" borderId="25" xfId="9" applyNumberFormat="1" applyFont="1" applyFill="1" applyBorder="1"/>
    <xf numFmtId="10" fontId="49" fillId="0" borderId="25" xfId="56" applyNumberFormat="1" applyFont="1" applyFill="1" applyBorder="1" applyAlignment="1">
      <alignment horizontal="center"/>
    </xf>
    <xf numFmtId="0" fontId="49" fillId="0" borderId="25" xfId="56" applyFont="1" applyFill="1" applyBorder="1" applyAlignment="1">
      <alignment horizontal="center" vertical="center" wrapText="1"/>
    </xf>
    <xf numFmtId="0" fontId="49" fillId="0" borderId="25" xfId="56" applyFont="1" applyFill="1" applyBorder="1" applyAlignment="1">
      <alignment horizontal="center" wrapText="1"/>
    </xf>
    <xf numFmtId="4" fontId="49" fillId="37" borderId="35" xfId="9" applyNumberFormat="1" applyFont="1" applyFill="1" applyBorder="1"/>
    <xf numFmtId="166" fontId="49" fillId="0" borderId="37" xfId="59" applyNumberFormat="1" applyFont="1" applyFill="1" applyBorder="1" applyAlignment="1">
      <alignment horizontal="center"/>
    </xf>
    <xf numFmtId="4" fontId="49" fillId="37" borderId="34" xfId="9" applyNumberFormat="1" applyFont="1" applyFill="1" applyBorder="1"/>
    <xf numFmtId="10" fontId="49" fillId="0" borderId="25" xfId="59" applyNumberFormat="1" applyFont="1" applyFill="1" applyBorder="1" applyAlignment="1">
      <alignment horizontal="center"/>
    </xf>
    <xf numFmtId="0" fontId="49" fillId="0" borderId="37" xfId="56" applyFont="1" applyFill="1" applyBorder="1" applyAlignment="1">
      <alignment horizontal="center"/>
    </xf>
    <xf numFmtId="165" fontId="52" fillId="0" borderId="0" xfId="56" applyNumberFormat="1" applyFont="1"/>
    <xf numFmtId="0" fontId="52" fillId="0" borderId="0" xfId="56" applyFont="1"/>
    <xf numFmtId="0" fontId="19" fillId="0" borderId="0" xfId="56" applyAlignment="1"/>
    <xf numFmtId="0" fontId="49" fillId="0" borderId="0" xfId="56" applyFont="1"/>
    <xf numFmtId="0" fontId="49" fillId="0" borderId="0" xfId="56" applyFont="1" applyAlignment="1">
      <alignment horizontal="right"/>
    </xf>
    <xf numFmtId="0" fontId="49" fillId="0" borderId="0" xfId="56" applyFont="1" applyAlignment="1">
      <alignment horizontal="center"/>
    </xf>
    <xf numFmtId="3" fontId="49" fillId="0" borderId="0" xfId="56" applyNumberFormat="1" applyFont="1"/>
    <xf numFmtId="0" fontId="49" fillId="0" borderId="0" xfId="56" applyFont="1" applyBorder="1"/>
    <xf numFmtId="4" fontId="49" fillId="0" borderId="0" xfId="56" applyNumberFormat="1" applyFont="1" applyBorder="1"/>
    <xf numFmtId="4" fontId="49" fillId="0" borderId="0" xfId="56" applyNumberFormat="1" applyFont="1"/>
    <xf numFmtId="4" fontId="49" fillId="0" borderId="0" xfId="56" applyNumberFormat="1" applyFont="1" applyFill="1" applyAlignment="1">
      <alignment vertical="center"/>
    </xf>
    <xf numFmtId="0" fontId="49" fillId="0" borderId="0" xfId="56" applyFont="1" applyAlignment="1">
      <alignment vertical="center"/>
    </xf>
    <xf numFmtId="0" fontId="49" fillId="0" borderId="0" xfId="56" applyFont="1" applyFill="1"/>
    <xf numFmtId="0" fontId="49" fillId="0" borderId="0" xfId="56" applyFont="1" applyFill="1" applyAlignment="1">
      <alignment vertical="center" wrapText="1"/>
    </xf>
    <xf numFmtId="0" fontId="49" fillId="0" borderId="0" xfId="56" applyFont="1" applyAlignment="1">
      <alignment horizontal="right" vertical="center"/>
    </xf>
    <xf numFmtId="3" fontId="49" fillId="0" borderId="0" xfId="56" applyNumberFormat="1" applyFont="1" applyAlignment="1">
      <alignment vertical="center"/>
    </xf>
    <xf numFmtId="0" fontId="49" fillId="0" borderId="0" xfId="56" applyFont="1" applyFill="1" applyAlignment="1">
      <alignment vertical="center"/>
    </xf>
    <xf numFmtId="10" fontId="47" fillId="38" borderId="42" xfId="11" applyNumberFormat="1" applyFont="1" applyFill="1" applyBorder="1" applyAlignment="1">
      <alignment horizontal="center"/>
    </xf>
    <xf numFmtId="4" fontId="48" fillId="38" borderId="43" xfId="56" applyNumberFormat="1" applyFont="1" applyFill="1" applyBorder="1" applyAlignment="1">
      <alignment horizontal="center" vertical="center"/>
    </xf>
    <xf numFmtId="0" fontId="22" fillId="38" borderId="22" xfId="56" applyFont="1" applyFill="1" applyBorder="1" applyAlignment="1">
      <alignment horizontal="right"/>
    </xf>
    <xf numFmtId="0" fontId="49" fillId="38" borderId="44" xfId="56" applyFont="1" applyFill="1" applyBorder="1" applyAlignment="1">
      <alignment horizontal="center"/>
    </xf>
    <xf numFmtId="0" fontId="49" fillId="38" borderId="45" xfId="56" applyFont="1" applyFill="1" applyBorder="1" applyAlignment="1"/>
    <xf numFmtId="4" fontId="51" fillId="37" borderId="35" xfId="9" applyNumberFormat="1" applyFont="1" applyFill="1" applyBorder="1"/>
    <xf numFmtId="3" fontId="51" fillId="0" borderId="37" xfId="59" applyNumberFormat="1" applyFont="1" applyFill="1" applyBorder="1"/>
    <xf numFmtId="4" fontId="51" fillId="37" borderId="34" xfId="9" applyNumberFormat="1" applyFont="1" applyFill="1" applyBorder="1"/>
    <xf numFmtId="3" fontId="51" fillId="0" borderId="25" xfId="59" applyNumberFormat="1" applyFont="1" applyFill="1" applyBorder="1"/>
    <xf numFmtId="0" fontId="51" fillId="0" borderId="25" xfId="9" applyFont="1" applyFill="1" applyBorder="1" applyAlignment="1">
      <alignment horizontal="center" wrapText="1"/>
    </xf>
    <xf numFmtId="10" fontId="49" fillId="0" borderId="37" xfId="9" applyNumberFormat="1" applyFont="1" applyFill="1" applyBorder="1" applyAlignment="1">
      <alignment horizontal="center" vertical="center"/>
    </xf>
    <xf numFmtId="10" fontId="49" fillId="0" borderId="25" xfId="59" applyNumberFormat="1" applyFont="1" applyFill="1" applyBorder="1" applyAlignment="1">
      <alignment horizontal="center" vertical="center"/>
    </xf>
    <xf numFmtId="0" fontId="49" fillId="0" borderId="25" xfId="9" applyFont="1" applyFill="1" applyBorder="1" applyAlignment="1">
      <alignment horizontal="center" wrapText="1"/>
    </xf>
    <xf numFmtId="3" fontId="49" fillId="0" borderId="37" xfId="59" applyNumberFormat="1" applyFont="1" applyFill="1" applyBorder="1"/>
    <xf numFmtId="3" fontId="49" fillId="0" borderId="25" xfId="59" applyNumberFormat="1" applyFont="1" applyFill="1" applyBorder="1"/>
    <xf numFmtId="3" fontId="49" fillId="0" borderId="37" xfId="1" applyNumberFormat="1" applyFont="1" applyFill="1" applyBorder="1"/>
    <xf numFmtId="0" fontId="49" fillId="0" borderId="37" xfId="9" applyFont="1" applyFill="1" applyBorder="1" applyAlignment="1">
      <alignment horizontal="center" wrapText="1"/>
    </xf>
    <xf numFmtId="3" fontId="49" fillId="0" borderId="36" xfId="56" applyNumberFormat="1" applyFont="1" applyFill="1" applyBorder="1"/>
    <xf numFmtId="3" fontId="49" fillId="0" borderId="37" xfId="56" applyNumberFormat="1" applyFont="1" applyFill="1" applyBorder="1"/>
    <xf numFmtId="4" fontId="49" fillId="0" borderId="39" xfId="56" applyNumberFormat="1" applyFont="1" applyFill="1" applyBorder="1"/>
    <xf numFmtId="4" fontId="49" fillId="0" borderId="25" xfId="56" applyNumberFormat="1" applyFont="1" applyFill="1" applyBorder="1"/>
    <xf numFmtId="10" fontId="49" fillId="0" borderId="37" xfId="9" applyNumberFormat="1" applyFont="1" applyFill="1" applyBorder="1" applyAlignment="1">
      <alignment horizontal="center"/>
    </xf>
    <xf numFmtId="3" fontId="49" fillId="0" borderId="29" xfId="1" applyNumberFormat="1" applyFont="1" applyFill="1" applyBorder="1"/>
    <xf numFmtId="3" fontId="49" fillId="0" borderId="48" xfId="1" applyNumberFormat="1" applyFont="1" applyFill="1" applyBorder="1"/>
    <xf numFmtId="10" fontId="49" fillId="0" borderId="25" xfId="1" applyNumberFormat="1" applyFont="1" applyFill="1" applyBorder="1" applyAlignment="1">
      <alignment horizontal="center"/>
    </xf>
    <xf numFmtId="0" fontId="49" fillId="0" borderId="50" xfId="9" applyFont="1" applyFill="1" applyBorder="1" applyAlignment="1">
      <alignment horizontal="center" wrapText="1"/>
    </xf>
    <xf numFmtId="4" fontId="49" fillId="0" borderId="0" xfId="1" applyNumberFormat="1" applyFont="1" applyFill="1" applyBorder="1"/>
    <xf numFmtId="3" fontId="49" fillId="0" borderId="48" xfId="56" applyNumberFormat="1" applyFont="1" applyFill="1" applyBorder="1"/>
    <xf numFmtId="3" fontId="49" fillId="0" borderId="52" xfId="1" applyNumberFormat="1" applyFont="1" applyFill="1" applyBorder="1"/>
    <xf numFmtId="3" fontId="49" fillId="0" borderId="53" xfId="1" applyNumberFormat="1" applyFont="1" applyFill="1" applyBorder="1"/>
    <xf numFmtId="4" fontId="49" fillId="0" borderId="55" xfId="1" applyNumberFormat="1" applyFont="1" applyFill="1" applyBorder="1"/>
    <xf numFmtId="3" fontId="49" fillId="0" borderId="37" xfId="58" applyNumberFormat="1" applyFont="1" applyFill="1" applyBorder="1" applyAlignment="1">
      <alignment horizontal="right" vertical="center"/>
    </xf>
    <xf numFmtId="4" fontId="49" fillId="0" borderId="39" xfId="58" applyNumberFormat="1" applyFont="1" applyFill="1" applyBorder="1" applyAlignment="1">
      <alignment horizontal="right" vertical="center"/>
    </xf>
    <xf numFmtId="4" fontId="49" fillId="0" borderId="25" xfId="58" applyNumberFormat="1" applyFont="1" applyFill="1" applyBorder="1" applyAlignment="1">
      <alignment horizontal="right" vertical="center"/>
    </xf>
    <xf numFmtId="3" fontId="49" fillId="0" borderId="52" xfId="58" applyNumberFormat="1" applyFont="1" applyFill="1" applyBorder="1" applyAlignment="1">
      <alignment horizontal="right" vertical="center"/>
    </xf>
    <xf numFmtId="3" fontId="49" fillId="0" borderId="53" xfId="58" applyNumberFormat="1" applyFont="1" applyFill="1" applyBorder="1" applyAlignment="1">
      <alignment horizontal="right" vertical="center"/>
    </xf>
    <xf numFmtId="0" fontId="49" fillId="0" borderId="53" xfId="9" applyFont="1" applyFill="1" applyBorder="1" applyAlignment="1">
      <alignment horizontal="center" wrapText="1"/>
    </xf>
    <xf numFmtId="10" fontId="49" fillId="4" borderId="50" xfId="1" applyNumberFormat="1" applyFont="1" applyFill="1" applyBorder="1" applyAlignment="1">
      <alignment horizontal="center"/>
    </xf>
    <xf numFmtId="0" fontId="49" fillId="4" borderId="50" xfId="9" applyFont="1" applyFill="1" applyBorder="1" applyAlignment="1">
      <alignment horizontal="center" wrapText="1"/>
    </xf>
    <xf numFmtId="3" fontId="49" fillId="0" borderId="36" xfId="1" applyNumberFormat="1" applyFont="1" applyFill="1" applyBorder="1"/>
    <xf numFmtId="4" fontId="49" fillId="0" borderId="39" xfId="1" applyNumberFormat="1" applyFont="1" applyFill="1" applyBorder="1"/>
    <xf numFmtId="4" fontId="49" fillId="0" borderId="25" xfId="1" applyNumberFormat="1" applyFont="1" applyFill="1" applyBorder="1"/>
    <xf numFmtId="4" fontId="49" fillId="0" borderId="25" xfId="59" applyNumberFormat="1" applyFont="1" applyFill="1" applyBorder="1"/>
    <xf numFmtId="10" fontId="49" fillId="0" borderId="50" xfId="1" applyNumberFormat="1" applyFont="1" applyFill="1" applyBorder="1" applyAlignment="1">
      <alignment horizontal="center"/>
    </xf>
    <xf numFmtId="0" fontId="19" fillId="0" borderId="0" xfId="9" applyFill="1"/>
    <xf numFmtId="10" fontId="49" fillId="0" borderId="50" xfId="9" applyNumberFormat="1" applyFont="1" applyFill="1" applyBorder="1" applyAlignment="1">
      <alignment horizontal="center"/>
    </xf>
    <xf numFmtId="3" fontId="49" fillId="0" borderId="37" xfId="9" applyNumberFormat="1" applyFont="1" applyFill="1" applyBorder="1"/>
    <xf numFmtId="4" fontId="49" fillId="0" borderId="25" xfId="9" applyNumberFormat="1" applyFont="1" applyFill="1" applyBorder="1"/>
    <xf numFmtId="10" fontId="49" fillId="0" borderId="25" xfId="9" applyNumberFormat="1" applyFont="1" applyFill="1" applyBorder="1" applyAlignment="1">
      <alignment horizontal="center"/>
    </xf>
    <xf numFmtId="0" fontId="49" fillId="0" borderId="37" xfId="1" applyFont="1" applyFill="1" applyBorder="1" applyAlignment="1">
      <alignment horizontal="center" wrapText="1"/>
    </xf>
    <xf numFmtId="4" fontId="49" fillId="0" borderId="50" xfId="9" applyNumberFormat="1" applyFont="1" applyFill="1" applyBorder="1"/>
    <xf numFmtId="0" fontId="49" fillId="0" borderId="25" xfId="1" applyFont="1" applyFill="1" applyBorder="1" applyAlignment="1">
      <alignment horizontal="center" wrapText="1"/>
    </xf>
    <xf numFmtId="4" fontId="49" fillId="0" borderId="53" xfId="9" applyNumberFormat="1" applyFont="1" applyFill="1" applyBorder="1"/>
    <xf numFmtId="4" fontId="49" fillId="0" borderId="37" xfId="9" applyNumberFormat="1" applyFont="1" applyFill="1" applyBorder="1"/>
    <xf numFmtId="10" fontId="51" fillId="0" borderId="37" xfId="9" applyNumberFormat="1" applyFont="1" applyFill="1" applyBorder="1" applyAlignment="1">
      <alignment horizontal="center"/>
    </xf>
    <xf numFmtId="0" fontId="51" fillId="0" borderId="53" xfId="9" applyFont="1" applyFill="1" applyBorder="1" applyAlignment="1">
      <alignment horizontal="center" wrapText="1"/>
    </xf>
    <xf numFmtId="10" fontId="51" fillId="0" borderId="50" xfId="9" applyNumberFormat="1" applyFont="1" applyFill="1" applyBorder="1" applyAlignment="1">
      <alignment horizontal="center"/>
    </xf>
    <xf numFmtId="0" fontId="51" fillId="0" borderId="50" xfId="9" applyFont="1" applyFill="1" applyBorder="1" applyAlignment="1">
      <alignment horizontal="center" wrapText="1"/>
    </xf>
    <xf numFmtId="0" fontId="51" fillId="0" borderId="37" xfId="9" applyFont="1" applyFill="1" applyBorder="1" applyAlignment="1">
      <alignment horizontal="center" wrapText="1"/>
    </xf>
    <xf numFmtId="10" fontId="51" fillId="0" borderId="25" xfId="9" applyNumberFormat="1" applyFont="1" applyFill="1" applyBorder="1" applyAlignment="1">
      <alignment horizontal="center"/>
    </xf>
    <xf numFmtId="3" fontId="53" fillId="0" borderId="37" xfId="9" applyNumberFormat="1" applyFont="1" applyFill="1" applyBorder="1"/>
    <xf numFmtId="4" fontId="53" fillId="0" borderId="25" xfId="9" applyNumberFormat="1" applyFont="1" applyFill="1" applyBorder="1"/>
    <xf numFmtId="4" fontId="53" fillId="0" borderId="37" xfId="9" applyNumberFormat="1" applyFont="1" applyFill="1" applyBorder="1"/>
    <xf numFmtId="3" fontId="53" fillId="0" borderId="53" xfId="9" applyNumberFormat="1" applyFont="1" applyFill="1" applyBorder="1"/>
    <xf numFmtId="4" fontId="53" fillId="0" borderId="50" xfId="9" applyNumberFormat="1" applyFont="1" applyFill="1" applyBorder="1"/>
    <xf numFmtId="0" fontId="49" fillId="0" borderId="53" xfId="9" applyFont="1" applyFill="1" applyBorder="1" applyAlignment="1">
      <alignment horizontal="center"/>
    </xf>
    <xf numFmtId="0" fontId="49" fillId="0" borderId="50" xfId="9" applyFont="1" applyFill="1" applyBorder="1" applyAlignment="1">
      <alignment horizontal="center"/>
    </xf>
    <xf numFmtId="0" fontId="49" fillId="0" borderId="37" xfId="9" applyFont="1" applyFill="1" applyBorder="1" applyAlignment="1">
      <alignment horizontal="center"/>
    </xf>
    <xf numFmtId="0" fontId="49" fillId="0" borderId="25" xfId="9" applyFont="1" applyFill="1" applyBorder="1" applyAlignment="1">
      <alignment horizontal="center"/>
    </xf>
    <xf numFmtId="4" fontId="54" fillId="0" borderId="53" xfId="9" applyNumberFormat="1" applyFont="1" applyFill="1" applyBorder="1"/>
    <xf numFmtId="0" fontId="51" fillId="0" borderId="53" xfId="9" applyFont="1" applyFill="1" applyBorder="1" applyAlignment="1">
      <alignment horizontal="center"/>
    </xf>
    <xf numFmtId="4" fontId="54" fillId="0" borderId="50" xfId="9" applyNumberFormat="1" applyFont="1" applyFill="1" applyBorder="1"/>
    <xf numFmtId="10" fontId="51" fillId="0" borderId="50" xfId="9" applyNumberFormat="1" applyFont="1" applyFill="1" applyBorder="1" applyAlignment="1">
      <alignment horizontal="center" wrapText="1"/>
    </xf>
    <xf numFmtId="0" fontId="51" fillId="0" borderId="50" xfId="9" applyFont="1" applyFill="1" applyBorder="1" applyAlignment="1">
      <alignment horizontal="center"/>
    </xf>
    <xf numFmtId="14" fontId="49" fillId="0" borderId="37" xfId="9" applyNumberFormat="1" applyFont="1" applyFill="1" applyBorder="1" applyAlignment="1">
      <alignment horizontal="center"/>
    </xf>
    <xf numFmtId="10" fontId="49" fillId="0" borderId="25" xfId="9" applyNumberFormat="1" applyFont="1" applyFill="1" applyBorder="1" applyAlignment="1">
      <alignment horizontal="center" wrapText="1"/>
    </xf>
    <xf numFmtId="14" fontId="49" fillId="0" borderId="25" xfId="9" applyNumberFormat="1" applyFont="1" applyFill="1" applyBorder="1" applyAlignment="1">
      <alignment horizontal="center"/>
    </xf>
    <xf numFmtId="14" fontId="49" fillId="0" borderId="53" xfId="9" applyNumberFormat="1" applyFont="1" applyFill="1" applyBorder="1" applyAlignment="1">
      <alignment horizontal="center"/>
    </xf>
    <xf numFmtId="10" fontId="49" fillId="0" borderId="50" xfId="9" applyNumberFormat="1" applyFont="1" applyFill="1" applyBorder="1" applyAlignment="1">
      <alignment horizontal="center" wrapText="1"/>
    </xf>
    <xf numFmtId="14" fontId="49" fillId="0" borderId="50" xfId="9" applyNumberFormat="1" applyFont="1" applyFill="1" applyBorder="1" applyAlignment="1">
      <alignment horizontal="center"/>
    </xf>
    <xf numFmtId="0" fontId="19" fillId="0" borderId="0" xfId="9" applyFont="1" applyFill="1"/>
    <xf numFmtId="0" fontId="51" fillId="0" borderId="37" xfId="9" applyFont="1" applyFill="1" applyBorder="1" applyAlignment="1">
      <alignment horizontal="center"/>
    </xf>
    <xf numFmtId="10" fontId="51" fillId="0" borderId="25" xfId="9" applyNumberFormat="1" applyFont="1" applyFill="1" applyBorder="1" applyAlignment="1">
      <alignment horizontal="center" wrapText="1"/>
    </xf>
    <xf numFmtId="0" fontId="51" fillId="0" borderId="25" xfId="9" applyFont="1" applyFill="1" applyBorder="1" applyAlignment="1">
      <alignment horizontal="center"/>
    </xf>
    <xf numFmtId="0" fontId="49" fillId="0" borderId="37" xfId="9" applyFont="1" applyFill="1" applyBorder="1"/>
    <xf numFmtId="0" fontId="49" fillId="0" borderId="25" xfId="9" applyFont="1" applyFill="1" applyBorder="1"/>
    <xf numFmtId="0" fontId="55" fillId="40" borderId="57" xfId="56" applyFont="1" applyFill="1" applyBorder="1" applyAlignment="1">
      <alignment horizontal="center" vertical="center"/>
    </xf>
    <xf numFmtId="0" fontId="55" fillId="2" borderId="58" xfId="56" applyFont="1" applyFill="1" applyBorder="1" applyAlignment="1">
      <alignment horizontal="center" vertical="center"/>
    </xf>
    <xf numFmtId="0" fontId="55" fillId="2" borderId="59" xfId="56" applyFont="1" applyFill="1" applyBorder="1" applyAlignment="1">
      <alignment horizontal="center" vertical="center"/>
    </xf>
    <xf numFmtId="0" fontId="55" fillId="40" borderId="62" xfId="56" applyFont="1" applyFill="1" applyBorder="1" applyAlignment="1">
      <alignment horizontal="center" vertical="center"/>
    </xf>
    <xf numFmtId="0" fontId="55" fillId="40" borderId="63" xfId="56" applyFont="1" applyFill="1" applyBorder="1" applyAlignment="1">
      <alignment vertical="center"/>
    </xf>
    <xf numFmtId="0" fontId="55" fillId="40" borderId="64" xfId="56" applyFont="1" applyFill="1" applyBorder="1" applyAlignment="1">
      <alignment vertical="center"/>
    </xf>
    <xf numFmtId="0" fontId="55" fillId="2" borderId="64" xfId="56" applyFont="1" applyFill="1" applyBorder="1" applyAlignment="1">
      <alignment horizontal="center" vertical="center"/>
    </xf>
    <xf numFmtId="0" fontId="19" fillId="0" borderId="0" xfId="56" applyBorder="1"/>
    <xf numFmtId="0" fontId="42" fillId="0" borderId="0" xfId="56" applyFont="1" applyAlignment="1">
      <alignment vertical="center"/>
    </xf>
    <xf numFmtId="0" fontId="42" fillId="0" borderId="0" xfId="56" applyFont="1" applyFill="1"/>
    <xf numFmtId="0" fontId="42" fillId="0" borderId="0" xfId="54" applyFont="1" applyAlignment="1">
      <alignment horizontal="right"/>
    </xf>
    <xf numFmtId="0" fontId="42" fillId="0" borderId="0" xfId="56" applyFont="1" applyFill="1" applyAlignment="1">
      <alignment horizontal="right"/>
    </xf>
    <xf numFmtId="3" fontId="22" fillId="39" borderId="15" xfId="9" applyNumberFormat="1" applyFont="1" applyFill="1" applyBorder="1" applyAlignment="1"/>
    <xf numFmtId="3" fontId="10" fillId="5" borderId="1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5" fillId="0" borderId="0" xfId="0" applyNumberFormat="1" applyFont="1"/>
    <xf numFmtId="0" fontId="15" fillId="0" borderId="0" xfId="0" applyFont="1"/>
    <xf numFmtId="3" fontId="15" fillId="0" borderId="1" xfId="0" applyNumberFormat="1" applyFont="1" applyBorder="1"/>
    <xf numFmtId="3" fontId="13" fillId="0" borderId="1" xfId="0" applyNumberFormat="1" applyFont="1" applyBorder="1" applyAlignment="1">
      <alignment vertical="center"/>
    </xf>
    <xf numFmtId="0" fontId="57" fillId="0" borderId="0" xfId="0" applyFont="1"/>
    <xf numFmtId="0" fontId="57" fillId="0" borderId="0" xfId="0" applyFont="1" applyAlignment="1">
      <alignment wrapText="1"/>
    </xf>
    <xf numFmtId="0" fontId="57" fillId="0" borderId="0" xfId="0" applyFont="1" applyAlignment="1">
      <alignment horizontal="right" vertical="center"/>
    </xf>
    <xf numFmtId="0" fontId="58" fillId="0" borderId="1" xfId="0" applyFont="1" applyBorder="1" applyAlignment="1">
      <alignment vertical="center"/>
    </xf>
    <xf numFmtId="0" fontId="59" fillId="0" borderId="0" xfId="0" applyFont="1"/>
    <xf numFmtId="0" fontId="22" fillId="0" borderId="16" xfId="0" applyFont="1" applyBorder="1" applyAlignment="1">
      <alignment wrapText="1"/>
    </xf>
    <xf numFmtId="0" fontId="15" fillId="0" borderId="0" xfId="0" applyFont="1" applyAlignment="1">
      <alignment wrapText="1"/>
    </xf>
    <xf numFmtId="0" fontId="60" fillId="0" borderId="0" xfId="0" applyFont="1"/>
    <xf numFmtId="0" fontId="15" fillId="0" borderId="1" xfId="0" applyFont="1" applyBorder="1"/>
    <xf numFmtId="0" fontId="15" fillId="3" borderId="1" xfId="0" applyFont="1" applyFill="1" applyBorder="1"/>
    <xf numFmtId="3" fontId="13" fillId="3" borderId="1" xfId="0" applyNumberFormat="1" applyFont="1" applyFill="1" applyBorder="1"/>
    <xf numFmtId="0" fontId="43" fillId="0" borderId="0" xfId="0" applyFont="1" applyAlignment="1">
      <alignment wrapText="1"/>
    </xf>
    <xf numFmtId="0" fontId="40" fillId="2" borderId="1" xfId="0" applyFont="1" applyFill="1" applyBorder="1" applyAlignment="1">
      <alignment horizontal="center" vertical="center" wrapText="1"/>
    </xf>
    <xf numFmtId="3" fontId="15" fillId="4" borderId="1" xfId="0" applyNumberFormat="1" applyFont="1" applyFill="1" applyBorder="1"/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3" fontId="22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vertical="center" wrapText="1"/>
    </xf>
    <xf numFmtId="0" fontId="17" fillId="0" borderId="1" xfId="7" applyFont="1" applyBorder="1" applyAlignment="1">
      <alignment horizontal="left" vertical="center" wrapText="1" indent="2"/>
    </xf>
    <xf numFmtId="3" fontId="40" fillId="0" borderId="1" xfId="0" applyNumberFormat="1" applyFont="1" applyBorder="1" applyAlignment="1">
      <alignment vertical="center"/>
    </xf>
    <xf numFmtId="3" fontId="40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 indent="2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3" fontId="22" fillId="0" borderId="1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 wrapText="1"/>
    </xf>
    <xf numFmtId="3" fontId="22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vertical="center"/>
    </xf>
    <xf numFmtId="3" fontId="17" fillId="0" borderId="1" xfId="0" applyNumberFormat="1" applyFont="1" applyBorder="1" applyAlignment="1">
      <alignment vertical="center" wrapText="1"/>
    </xf>
    <xf numFmtId="0" fontId="15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0" fontId="44" fillId="0" borderId="0" xfId="0" applyFont="1"/>
    <xf numFmtId="0" fontId="44" fillId="0" borderId="0" xfId="0" applyFont="1" applyAlignment="1">
      <alignment horizontal="right"/>
    </xf>
    <xf numFmtId="3" fontId="61" fillId="3" borderId="1" xfId="0" applyNumberFormat="1" applyFont="1" applyFill="1" applyBorder="1"/>
    <xf numFmtId="3" fontId="14" fillId="0" borderId="1" xfId="0" applyNumberFormat="1" applyFont="1" applyBorder="1"/>
    <xf numFmtId="0" fontId="61" fillId="2" borderId="1" xfId="0" applyFont="1" applyFill="1" applyBorder="1" applyAlignment="1">
      <alignment horizontal="center" vertical="center" wrapText="1"/>
    </xf>
    <xf numFmtId="3" fontId="40" fillId="0" borderId="1" xfId="0" applyNumberFormat="1" applyFont="1" applyFill="1" applyBorder="1" applyAlignment="1">
      <alignment vertical="center"/>
    </xf>
    <xf numFmtId="3" fontId="10" fillId="0" borderId="1" xfId="0" quotePrefix="1" applyNumberFormat="1" applyFont="1" applyFill="1" applyBorder="1" applyAlignment="1">
      <alignment vertical="center"/>
    </xf>
    <xf numFmtId="3" fontId="2" fillId="0" borderId="0" xfId="0" applyNumberFormat="1" applyFont="1"/>
    <xf numFmtId="0" fontId="15" fillId="41" borderId="0" xfId="1" applyFont="1" applyFill="1" applyAlignment="1">
      <alignment horizontal="left" vertical="top" wrapText="1"/>
    </xf>
    <xf numFmtId="3" fontId="15" fillId="41" borderId="0" xfId="1" applyNumberFormat="1" applyFont="1" applyFill="1" applyAlignment="1">
      <alignment horizontal="right" vertical="top" wrapText="1"/>
    </xf>
    <xf numFmtId="0" fontId="49" fillId="0" borderId="25" xfId="9" applyFont="1" applyFill="1" applyBorder="1" applyAlignment="1">
      <alignment horizontal="center" wrapText="1"/>
    </xf>
    <xf numFmtId="0" fontId="49" fillId="0" borderId="37" xfId="9" applyFont="1" applyFill="1" applyBorder="1" applyAlignment="1">
      <alignment horizontal="center" wrapText="1"/>
    </xf>
    <xf numFmtId="0" fontId="15" fillId="0" borderId="0" xfId="1" applyFont="1"/>
    <xf numFmtId="0" fontId="13" fillId="41" borderId="1" xfId="1" applyFont="1" applyFill="1" applyBorder="1" applyAlignment="1">
      <alignment horizontal="center" vertical="center" wrapText="1"/>
    </xf>
    <xf numFmtId="0" fontId="61" fillId="41" borderId="0" xfId="1" applyFont="1" applyFill="1" applyAlignment="1">
      <alignment horizontal="left" vertical="top" wrapText="1"/>
    </xf>
    <xf numFmtId="3" fontId="61" fillId="41" borderId="0" xfId="1" applyNumberFormat="1" applyFont="1" applyFill="1" applyAlignment="1">
      <alignment horizontal="right" vertical="top" wrapText="1"/>
    </xf>
    <xf numFmtId="0" fontId="13" fillId="41" borderId="0" xfId="1" applyFont="1" applyFill="1" applyAlignment="1">
      <alignment horizontal="left" vertical="top" wrapText="1"/>
    </xf>
    <xf numFmtId="3" fontId="13" fillId="41" borderId="0" xfId="1" applyNumberFormat="1" applyFont="1" applyFill="1" applyAlignment="1">
      <alignment horizontal="right" vertical="top" wrapText="1"/>
    </xf>
    <xf numFmtId="0" fontId="53" fillId="0" borderId="25" xfId="9" applyFont="1" applyFill="1" applyBorder="1"/>
    <xf numFmtId="0" fontId="53" fillId="0" borderId="37" xfId="9" applyFont="1" applyFill="1" applyBorder="1"/>
    <xf numFmtId="0" fontId="53" fillId="0" borderId="50" xfId="9" applyFont="1" applyFill="1" applyBorder="1"/>
    <xf numFmtId="4" fontId="53" fillId="0" borderId="53" xfId="9" applyNumberFormat="1" applyFont="1" applyFill="1" applyBorder="1"/>
    <xf numFmtId="4" fontId="54" fillId="0" borderId="25" xfId="9" applyNumberFormat="1" applyFont="1" applyFill="1" applyBorder="1"/>
    <xf numFmtId="4" fontId="54" fillId="0" borderId="37" xfId="9" applyNumberFormat="1" applyFont="1" applyFill="1" applyBorder="1"/>
    <xf numFmtId="3" fontId="54" fillId="0" borderId="37" xfId="9" applyNumberFormat="1" applyFont="1" applyFill="1" applyBorder="1"/>
    <xf numFmtId="3" fontId="54" fillId="0" borderId="53" xfId="9" applyNumberFormat="1" applyFont="1" applyFill="1" applyBorder="1"/>
    <xf numFmtId="4" fontId="53" fillId="0" borderId="55" xfId="9" applyNumberFormat="1" applyFont="1" applyFill="1" applyBorder="1"/>
    <xf numFmtId="3" fontId="53" fillId="0" borderId="52" xfId="9" applyNumberFormat="1" applyFont="1" applyFill="1" applyBorder="1"/>
    <xf numFmtId="4" fontId="53" fillId="0" borderId="39" xfId="9" applyNumberFormat="1" applyFont="1" applyFill="1" applyBorder="1"/>
    <xf numFmtId="3" fontId="53" fillId="0" borderId="36" xfId="9" applyNumberFormat="1" applyFont="1" applyFill="1" applyBorder="1"/>
    <xf numFmtId="3" fontId="53" fillId="0" borderId="25" xfId="9" applyNumberFormat="1" applyFont="1" applyFill="1" applyBorder="1"/>
    <xf numFmtId="4" fontId="53" fillId="0" borderId="25" xfId="59" applyNumberFormat="1" applyFont="1" applyFill="1" applyBorder="1"/>
    <xf numFmtId="4" fontId="53" fillId="0" borderId="25" xfId="1" applyNumberFormat="1" applyFont="1" applyFill="1" applyBorder="1"/>
    <xf numFmtId="4" fontId="53" fillId="0" borderId="39" xfId="1" applyNumberFormat="1" applyFont="1" applyFill="1" applyBorder="1"/>
    <xf numFmtId="3" fontId="53" fillId="0" borderId="37" xfId="59" applyNumberFormat="1" applyFont="1" applyFill="1" applyBorder="1"/>
    <xf numFmtId="3" fontId="53" fillId="0" borderId="37" xfId="1" applyNumberFormat="1" applyFont="1" applyFill="1" applyBorder="1"/>
    <xf numFmtId="3" fontId="53" fillId="0" borderId="36" xfId="1" applyNumberFormat="1" applyFont="1" applyFill="1" applyBorder="1"/>
    <xf numFmtId="4" fontId="53" fillId="0" borderId="50" xfId="59" applyNumberFormat="1" applyFont="1" applyFill="1" applyBorder="1"/>
    <xf numFmtId="4" fontId="53" fillId="0" borderId="50" xfId="1" applyNumberFormat="1" applyFont="1" applyFill="1" applyBorder="1"/>
    <xf numFmtId="4" fontId="53" fillId="0" borderId="55" xfId="1" applyNumberFormat="1" applyFont="1" applyFill="1" applyBorder="1"/>
    <xf numFmtId="1" fontId="53" fillId="0" borderId="53" xfId="59" applyNumberFormat="1" applyFont="1" applyFill="1" applyBorder="1"/>
    <xf numFmtId="1" fontId="53" fillId="0" borderId="53" xfId="1" applyNumberFormat="1" applyFont="1" applyFill="1" applyBorder="1"/>
    <xf numFmtId="1" fontId="53" fillId="0" borderId="52" xfId="1" applyNumberFormat="1" applyFont="1" applyFill="1" applyBorder="1"/>
    <xf numFmtId="3" fontId="53" fillId="0" borderId="25" xfId="9" applyNumberFormat="1" applyFont="1" applyFill="1" applyBorder="1" applyAlignment="1">
      <alignment horizontal="right"/>
    </xf>
    <xf numFmtId="3" fontId="53" fillId="0" borderId="39" xfId="9" applyNumberFormat="1" applyFont="1" applyFill="1" applyBorder="1" applyAlignment="1">
      <alignment horizontal="right"/>
    </xf>
    <xf numFmtId="3" fontId="53" fillId="0" borderId="37" xfId="9" applyNumberFormat="1" applyFont="1" applyFill="1" applyBorder="1" applyAlignment="1">
      <alignment horizontal="right"/>
    </xf>
    <xf numFmtId="3" fontId="53" fillId="0" borderId="36" xfId="9" applyNumberFormat="1" applyFont="1" applyFill="1" applyBorder="1" applyAlignment="1">
      <alignment horizontal="right"/>
    </xf>
    <xf numFmtId="3" fontId="53" fillId="0" borderId="50" xfId="59" applyNumberFormat="1" applyFont="1" applyFill="1" applyBorder="1"/>
    <xf numFmtId="3" fontId="53" fillId="0" borderId="50" xfId="1" applyNumberFormat="1" applyFont="1" applyFill="1" applyBorder="1"/>
    <xf numFmtId="3" fontId="53" fillId="0" borderId="55" xfId="1" applyNumberFormat="1" applyFont="1" applyFill="1" applyBorder="1"/>
    <xf numFmtId="3" fontId="53" fillId="0" borderId="53" xfId="59" applyNumberFormat="1" applyFont="1" applyFill="1" applyBorder="1"/>
    <xf numFmtId="3" fontId="53" fillId="0" borderId="53" xfId="1" applyNumberFormat="1" applyFont="1" applyFill="1" applyBorder="1"/>
    <xf numFmtId="3" fontId="53" fillId="0" borderId="52" xfId="1" applyNumberFormat="1" applyFont="1" applyFill="1" applyBorder="1"/>
    <xf numFmtId="3" fontId="53" fillId="0" borderId="50" xfId="9" applyNumberFormat="1" applyFont="1" applyFill="1" applyBorder="1"/>
    <xf numFmtId="3" fontId="53" fillId="0" borderId="55" xfId="9" applyNumberFormat="1" applyFont="1" applyFill="1" applyBorder="1"/>
    <xf numFmtId="3" fontId="53" fillId="0" borderId="25" xfId="59" applyNumberFormat="1" applyFont="1" applyFill="1" applyBorder="1"/>
    <xf numFmtId="0" fontId="19" fillId="0" borderId="0" xfId="56" applyFont="1" applyFill="1"/>
    <xf numFmtId="4" fontId="49" fillId="0" borderId="55" xfId="58" applyNumberFormat="1" applyFont="1" applyFill="1" applyBorder="1" applyAlignment="1">
      <alignment horizontal="right" vertical="center"/>
    </xf>
    <xf numFmtId="4" fontId="49" fillId="0" borderId="30" xfId="56" applyNumberFormat="1" applyFont="1" applyFill="1" applyBorder="1"/>
    <xf numFmtId="4" fontId="49" fillId="0" borderId="39" xfId="9" applyNumberFormat="1" applyFont="1" applyFill="1" applyBorder="1"/>
    <xf numFmtId="4" fontId="49" fillId="0" borderId="36" xfId="9" applyNumberFormat="1" applyFont="1" applyFill="1" applyBorder="1"/>
    <xf numFmtId="0" fontId="22" fillId="0" borderId="0" xfId="56" applyFont="1" applyAlignment="1">
      <alignment vertical="center"/>
    </xf>
    <xf numFmtId="0" fontId="15" fillId="0" borderId="0" xfId="0" applyFont="1" applyAlignment="1">
      <alignment horizontal="right"/>
    </xf>
    <xf numFmtId="0" fontId="46" fillId="0" borderId="37" xfId="56" applyFont="1" applyFill="1" applyBorder="1"/>
    <xf numFmtId="0" fontId="49" fillId="0" borderId="25" xfId="9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3" fontId="49" fillId="0" borderId="50" xfId="0" applyNumberFormat="1" applyFont="1" applyFill="1" applyBorder="1"/>
    <xf numFmtId="3" fontId="49" fillId="0" borderId="50" xfId="1" applyNumberFormat="1" applyFont="1" applyFill="1" applyBorder="1"/>
    <xf numFmtId="3" fontId="49" fillId="0" borderId="53" xfId="0" applyNumberFormat="1" applyFont="1" applyFill="1" applyBorder="1"/>
    <xf numFmtId="4" fontId="49" fillId="0" borderId="25" xfId="0" applyNumberFormat="1" applyFont="1" applyFill="1" applyBorder="1"/>
    <xf numFmtId="3" fontId="49" fillId="0" borderId="37" xfId="0" applyNumberFormat="1" applyFont="1" applyFill="1" applyBorder="1"/>
    <xf numFmtId="3" fontId="62" fillId="0" borderId="50" xfId="58" applyNumberFormat="1" applyFont="1" applyFill="1" applyBorder="1" applyAlignment="1">
      <alignment horizontal="right" vertical="center"/>
    </xf>
    <xf numFmtId="3" fontId="49" fillId="0" borderId="50" xfId="58" applyNumberFormat="1" applyFont="1" applyFill="1" applyBorder="1" applyAlignment="1">
      <alignment horizontal="right" vertical="center"/>
    </xf>
    <xf numFmtId="4" fontId="49" fillId="0" borderId="50" xfId="0" applyNumberFormat="1" applyFont="1" applyFill="1" applyBorder="1"/>
    <xf numFmtId="3" fontId="49" fillId="0" borderId="25" xfId="56" applyNumberFormat="1" applyFont="1" applyFill="1" applyBorder="1"/>
    <xf numFmtId="3" fontId="49" fillId="0" borderId="51" xfId="56" applyNumberFormat="1" applyFont="1" applyFill="1" applyBorder="1"/>
    <xf numFmtId="3" fontId="49" fillId="0" borderId="49" xfId="0" applyNumberFormat="1" applyFont="1" applyFill="1" applyBorder="1"/>
    <xf numFmtId="3" fontId="49" fillId="0" borderId="49" xfId="1" applyNumberFormat="1" applyFont="1" applyFill="1" applyBorder="1"/>
    <xf numFmtId="4" fontId="49" fillId="0" borderId="49" xfId="0" applyNumberFormat="1" applyFont="1" applyFill="1" applyBorder="1"/>
    <xf numFmtId="3" fontId="49" fillId="0" borderId="48" xfId="0" applyNumberFormat="1" applyFont="1" applyFill="1" applyBorder="1"/>
    <xf numFmtId="3" fontId="49" fillId="0" borderId="25" xfId="1" applyNumberFormat="1" applyFont="1" applyFill="1" applyBorder="1"/>
    <xf numFmtId="3" fontId="49" fillId="0" borderId="25" xfId="0" applyNumberFormat="1" applyFont="1" applyFill="1" applyBorder="1"/>
    <xf numFmtId="3" fontId="49" fillId="0" borderId="67" xfId="0" applyNumberFormat="1" applyFont="1" applyFill="1" applyBorder="1"/>
    <xf numFmtId="0" fontId="55" fillId="42" borderId="0" xfId="56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4" fontId="54" fillId="0" borderId="25" xfId="56" applyNumberFormat="1" applyFont="1" applyFill="1" applyBorder="1"/>
    <xf numFmtId="4" fontId="54" fillId="0" borderId="37" xfId="56" applyNumberFormat="1" applyFont="1" applyFill="1" applyBorder="1"/>
    <xf numFmtId="0" fontId="49" fillId="0" borderId="25" xfId="9" applyFont="1" applyFill="1" applyBorder="1" applyAlignment="1">
      <alignment horizontal="center" wrapText="1"/>
    </xf>
    <xf numFmtId="0" fontId="49" fillId="0" borderId="37" xfId="9" applyFont="1" applyFill="1" applyBorder="1" applyAlignment="1">
      <alignment horizontal="center" wrapText="1"/>
    </xf>
    <xf numFmtId="0" fontId="51" fillId="0" borderId="25" xfId="9" applyFont="1" applyFill="1" applyBorder="1" applyAlignment="1">
      <alignment horizontal="center" wrapText="1"/>
    </xf>
    <xf numFmtId="0" fontId="51" fillId="0" borderId="37" xfId="9" applyFont="1" applyFill="1" applyBorder="1" applyAlignment="1">
      <alignment horizontal="center" wrapText="1"/>
    </xf>
    <xf numFmtId="0" fontId="12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4" fontId="51" fillId="0" borderId="53" xfId="9" applyNumberFormat="1" applyFont="1" applyFill="1" applyBorder="1"/>
    <xf numFmtId="4" fontId="51" fillId="0" borderId="50" xfId="9" applyNumberFormat="1" applyFont="1" applyFill="1" applyBorder="1"/>
    <xf numFmtId="4" fontId="49" fillId="0" borderId="37" xfId="59" applyNumberFormat="1" applyFont="1" applyFill="1" applyBorder="1"/>
    <xf numFmtId="4" fontId="49" fillId="0" borderId="50" xfId="59" applyNumberFormat="1" applyFont="1" applyFill="1" applyBorder="1"/>
    <xf numFmtId="4" fontId="49" fillId="0" borderId="53" xfId="59" applyNumberFormat="1" applyFont="1" applyFill="1" applyBorder="1"/>
    <xf numFmtId="4" fontId="49" fillId="0" borderId="25" xfId="9" applyNumberFormat="1" applyFont="1" applyFill="1" applyBorder="1" applyAlignment="1">
      <alignment horizontal="right"/>
    </xf>
    <xf numFmtId="4" fontId="49" fillId="0" borderId="37" xfId="9" applyNumberFormat="1" applyFont="1" applyFill="1" applyBorder="1" applyAlignment="1">
      <alignment horizontal="right"/>
    </xf>
    <xf numFmtId="4" fontId="49" fillId="0" borderId="50" xfId="58" applyNumberFormat="1" applyFont="1" applyFill="1" applyBorder="1" applyAlignment="1">
      <alignment horizontal="right" vertical="center"/>
    </xf>
    <xf numFmtId="4" fontId="49" fillId="0" borderId="53" xfId="58" applyNumberFormat="1" applyFont="1" applyFill="1" applyBorder="1" applyAlignment="1">
      <alignment horizontal="right" vertical="center"/>
    </xf>
    <xf numFmtId="4" fontId="49" fillId="0" borderId="37" xfId="58" applyNumberFormat="1" applyFont="1" applyFill="1" applyBorder="1" applyAlignment="1">
      <alignment horizontal="right" vertical="center"/>
    </xf>
    <xf numFmtId="4" fontId="49" fillId="0" borderId="37" xfId="56" applyNumberFormat="1" applyFont="1" applyFill="1" applyBorder="1"/>
    <xf numFmtId="4" fontId="49" fillId="0" borderId="37" xfId="1" applyNumberFormat="1" applyFont="1" applyFill="1" applyBorder="1"/>
    <xf numFmtId="10" fontId="51" fillId="0" borderId="25" xfId="59" applyNumberFormat="1" applyFont="1" applyFill="1" applyBorder="1" applyAlignment="1">
      <alignment horizontal="center" vertical="center"/>
    </xf>
    <xf numFmtId="4" fontId="51" fillId="0" borderId="25" xfId="56" applyNumberFormat="1" applyFont="1" applyFill="1" applyBorder="1"/>
    <xf numFmtId="3" fontId="51" fillId="0" borderId="25" xfId="56" applyNumberFormat="1" applyFont="1" applyFill="1" applyBorder="1"/>
    <xf numFmtId="4" fontId="51" fillId="0" borderId="39" xfId="56" applyNumberFormat="1" applyFont="1" applyFill="1" applyBorder="1"/>
    <xf numFmtId="10" fontId="51" fillId="0" borderId="37" xfId="9" applyNumberFormat="1" applyFont="1" applyFill="1" applyBorder="1" applyAlignment="1">
      <alignment horizontal="center" vertical="center"/>
    </xf>
    <xf numFmtId="4" fontId="51" fillId="0" borderId="37" xfId="56" applyNumberFormat="1" applyFont="1" applyFill="1" applyBorder="1"/>
    <xf numFmtId="3" fontId="51" fillId="0" borderId="37" xfId="56" applyNumberFormat="1" applyFont="1" applyFill="1" applyBorder="1"/>
    <xf numFmtId="3" fontId="51" fillId="0" borderId="36" xfId="56" applyNumberFormat="1" applyFont="1" applyFill="1" applyBorder="1"/>
    <xf numFmtId="3" fontId="49" fillId="0" borderId="50" xfId="59" applyNumberFormat="1" applyFont="1" applyFill="1" applyBorder="1"/>
    <xf numFmtId="3" fontId="49" fillId="0" borderId="53" xfId="59" applyNumberFormat="1" applyFont="1" applyFill="1" applyBorder="1"/>
    <xf numFmtId="3" fontId="51" fillId="0" borderId="25" xfId="0" applyNumberFormat="1" applyFont="1" applyFill="1" applyBorder="1"/>
    <xf numFmtId="0" fontId="51" fillId="0" borderId="37" xfId="56" applyFont="1" applyFill="1" applyBorder="1" applyAlignment="1">
      <alignment horizontal="center"/>
    </xf>
    <xf numFmtId="3" fontId="51" fillId="0" borderId="37" xfId="0" applyNumberFormat="1" applyFont="1" applyFill="1" applyBorder="1"/>
    <xf numFmtId="4" fontId="51" fillId="0" borderId="25" xfId="59" applyNumberFormat="1" applyFont="1" applyFill="1" applyBorder="1"/>
    <xf numFmtId="0" fontId="15" fillId="41" borderId="0" xfId="1" applyFont="1" applyFill="1" applyAlignment="1">
      <alignment horizontal="right" vertical="top" wrapText="1"/>
    </xf>
    <xf numFmtId="0" fontId="51" fillId="0" borderId="25" xfId="9" applyFont="1" applyFill="1" applyBorder="1" applyAlignment="1">
      <alignment horizontal="center" wrapText="1"/>
    </xf>
    <xf numFmtId="0" fontId="13" fillId="41" borderId="0" xfId="1" applyFont="1" applyFill="1" applyAlignment="1">
      <alignment horizontal="left" vertical="top" wrapText="1"/>
    </xf>
    <xf numFmtId="0" fontId="13" fillId="0" borderId="0" xfId="1" applyFont="1"/>
    <xf numFmtId="0" fontId="61" fillId="41" borderId="0" xfId="1" applyFont="1" applyFill="1" applyAlignment="1">
      <alignment horizontal="left" vertical="top" wrapText="1"/>
    </xf>
    <xf numFmtId="0" fontId="61" fillId="0" borderId="0" xfId="1" applyFont="1"/>
    <xf numFmtId="0" fontId="14" fillId="41" borderId="0" xfId="1" applyFont="1" applyFill="1" applyAlignment="1">
      <alignment horizontal="left" vertical="top" wrapText="1"/>
    </xf>
    <xf numFmtId="3" fontId="14" fillId="41" borderId="0" xfId="1" applyNumberFormat="1" applyFont="1" applyFill="1" applyAlignment="1">
      <alignment horizontal="right" vertical="top" wrapText="1"/>
    </xf>
    <xf numFmtId="0" fontId="43" fillId="0" borderId="0" xfId="1" applyFont="1"/>
    <xf numFmtId="0" fontId="61" fillId="41" borderId="0" xfId="1" applyFont="1" applyFill="1" applyAlignment="1">
      <alignment horizontal="left" vertical="center" wrapText="1"/>
    </xf>
    <xf numFmtId="3" fontId="61" fillId="41" borderId="0" xfId="1" applyNumberFormat="1" applyFont="1" applyFill="1" applyAlignment="1">
      <alignment horizontal="right" vertical="center" wrapText="1"/>
    </xf>
    <xf numFmtId="0" fontId="14" fillId="0" borderId="0" xfId="1" applyFont="1"/>
    <xf numFmtId="0" fontId="5" fillId="0" borderId="0" xfId="1" applyFont="1"/>
    <xf numFmtId="0" fontId="5" fillId="0" borderId="0" xfId="1" applyFont="1" applyAlignment="1">
      <alignment vertical="center"/>
    </xf>
    <xf numFmtId="0" fontId="49" fillId="0" borderId="25" xfId="9" applyFont="1" applyFill="1" applyBorder="1" applyAlignment="1">
      <alignment horizontal="center" wrapText="1"/>
    </xf>
    <xf numFmtId="4" fontId="53" fillId="0" borderId="25" xfId="56" applyNumberFormat="1" applyFont="1" applyFill="1" applyBorder="1"/>
    <xf numFmtId="4" fontId="53" fillId="0" borderId="37" xfId="56" applyNumberFormat="1" applyFont="1" applyFill="1" applyBorder="1"/>
    <xf numFmtId="0" fontId="1" fillId="0" borderId="0" xfId="0" applyFont="1" applyAlignment="1">
      <alignment horizontal="right"/>
    </xf>
    <xf numFmtId="0" fontId="15" fillId="0" borderId="0" xfId="0" applyFont="1" applyFill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5" fillId="0" borderId="0" xfId="1" applyFont="1" applyAlignment="1">
      <alignment horizontal="right"/>
    </xf>
    <xf numFmtId="0" fontId="63" fillId="41" borderId="0" xfId="1" applyFont="1" applyFill="1" applyAlignment="1">
      <alignment horizontal="left" vertical="top" wrapText="1"/>
    </xf>
    <xf numFmtId="0" fontId="67" fillId="0" borderId="0" xfId="0" applyFont="1" applyAlignment="1">
      <alignment horizontal="left" vertical="top" wrapText="1"/>
    </xf>
    <xf numFmtId="0" fontId="13" fillId="41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3" fillId="41" borderId="0" xfId="1" applyFont="1" applyFill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56" fillId="41" borderId="0" xfId="1" applyFont="1" applyFill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56" fillId="41" borderId="0" xfId="1" applyFont="1" applyFill="1" applyAlignment="1">
      <alignment horizontal="center" vertical="top" wrapText="1"/>
    </xf>
    <xf numFmtId="0" fontId="65" fillId="0" borderId="0" xfId="0" applyFont="1" applyAlignment="1">
      <alignment horizontal="center" vertical="top" wrapText="1"/>
    </xf>
    <xf numFmtId="0" fontId="15" fillId="41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3" fillId="41" borderId="29" xfId="1" applyFont="1" applyFill="1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56" fillId="41" borderId="68" xfId="1" applyFont="1" applyFill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51" fillId="0" borderId="28" xfId="9" applyFont="1" applyFill="1" applyBorder="1" applyAlignment="1"/>
    <xf numFmtId="0" fontId="51" fillId="0" borderId="41" xfId="9" applyFont="1" applyFill="1" applyBorder="1" applyAlignment="1"/>
    <xf numFmtId="0" fontId="51" fillId="0" borderId="25" xfId="56" applyFont="1" applyFill="1" applyBorder="1" applyAlignment="1">
      <alignment horizontal="center" vertical="center" wrapText="1"/>
    </xf>
    <xf numFmtId="0" fontId="51" fillId="0" borderId="37" xfId="56" applyFont="1" applyFill="1" applyBorder="1" applyAlignment="1">
      <alignment horizontal="center" vertical="center" wrapText="1"/>
    </xf>
    <xf numFmtId="4" fontId="51" fillId="0" borderId="25" xfId="58" applyNumberFormat="1" applyFont="1" applyFill="1" applyBorder="1" applyAlignment="1">
      <alignment horizontal="center" vertical="center"/>
    </xf>
    <xf numFmtId="4" fontId="51" fillId="0" borderId="37" xfId="58" applyNumberFormat="1" applyFont="1" applyFill="1" applyBorder="1" applyAlignment="1">
      <alignment horizontal="center" vertical="center"/>
    </xf>
    <xf numFmtId="0" fontId="51" fillId="0" borderId="25" xfId="9" applyFont="1" applyFill="1" applyBorder="1" applyAlignment="1">
      <alignment horizontal="center" vertical="center" wrapText="1"/>
    </xf>
    <xf numFmtId="0" fontId="51" fillId="0" borderId="37" xfId="9" applyFont="1" applyFill="1" applyBorder="1" applyAlignment="1">
      <alignment horizontal="center" vertical="center" wrapText="1"/>
    </xf>
    <xf numFmtId="0" fontId="22" fillId="38" borderId="25" xfId="56" applyFont="1" applyFill="1" applyBorder="1" applyAlignment="1">
      <alignment horizontal="left"/>
    </xf>
    <xf numFmtId="0" fontId="22" fillId="38" borderId="27" xfId="56" applyFont="1" applyFill="1" applyBorder="1" applyAlignment="1">
      <alignment horizontal="left"/>
    </xf>
    <xf numFmtId="0" fontId="22" fillId="38" borderId="26" xfId="56" applyFont="1" applyFill="1" applyBorder="1" applyAlignment="1">
      <alignment horizontal="left"/>
    </xf>
    <xf numFmtId="165" fontId="22" fillId="38" borderId="22" xfId="56" applyNumberFormat="1" applyFont="1" applyFill="1" applyBorder="1" applyAlignment="1">
      <alignment horizontal="left"/>
    </xf>
    <xf numFmtId="0" fontId="22" fillId="39" borderId="13" xfId="56" applyFont="1" applyFill="1" applyBorder="1" applyAlignment="1">
      <alignment horizontal="left"/>
    </xf>
    <xf numFmtId="0" fontId="22" fillId="39" borderId="16" xfId="56" applyFont="1" applyFill="1" applyBorder="1" applyAlignment="1">
      <alignment horizontal="left"/>
    </xf>
    <xf numFmtId="165" fontId="48" fillId="38" borderId="32" xfId="56" applyNumberFormat="1" applyFont="1" applyFill="1" applyBorder="1" applyAlignment="1">
      <alignment horizontal="left"/>
    </xf>
    <xf numFmtId="0" fontId="48" fillId="38" borderId="32" xfId="56" applyFont="1" applyFill="1" applyBorder="1" applyAlignment="1">
      <alignment horizontal="left"/>
    </xf>
    <xf numFmtId="0" fontId="49" fillId="0" borderId="30" xfId="56" applyFont="1" applyBorder="1" applyAlignment="1">
      <alignment horizontal="right"/>
    </xf>
    <xf numFmtId="0" fontId="22" fillId="0" borderId="29" xfId="56" applyFont="1" applyBorder="1" applyAlignment="1">
      <alignment horizontal="left" vertical="center"/>
    </xf>
    <xf numFmtId="165" fontId="48" fillId="38" borderId="19" xfId="56" applyNumberFormat="1" applyFont="1" applyFill="1" applyBorder="1" applyAlignment="1">
      <alignment horizontal="left"/>
    </xf>
    <xf numFmtId="0" fontId="48" fillId="38" borderId="19" xfId="56" applyFont="1" applyFill="1" applyBorder="1" applyAlignment="1">
      <alignment horizontal="left"/>
    </xf>
    <xf numFmtId="0" fontId="22" fillId="39" borderId="16" xfId="56" applyFont="1" applyFill="1" applyBorder="1" applyAlignment="1">
      <alignment horizontal="right"/>
    </xf>
    <xf numFmtId="0" fontId="49" fillId="0" borderId="28" xfId="56" applyFont="1" applyFill="1" applyBorder="1" applyAlignment="1"/>
    <xf numFmtId="0" fontId="49" fillId="0" borderId="41" xfId="56" applyFont="1" applyFill="1" applyBorder="1" applyAlignment="1"/>
    <xf numFmtId="0" fontId="49" fillId="0" borderId="25" xfId="56" applyFont="1" applyFill="1" applyBorder="1" applyAlignment="1">
      <alignment horizontal="center" vertical="center" wrapText="1"/>
    </xf>
    <xf numFmtId="0" fontId="49" fillId="0" borderId="37" xfId="56" applyFont="1" applyFill="1" applyBorder="1" applyAlignment="1">
      <alignment horizontal="center" vertical="center" wrapText="1"/>
    </xf>
    <xf numFmtId="167" fontId="49" fillId="0" borderId="25" xfId="58" applyNumberFormat="1" applyFont="1" applyFill="1" applyBorder="1" applyAlignment="1">
      <alignment horizontal="center" vertical="center"/>
    </xf>
    <xf numFmtId="167" fontId="49" fillId="0" borderId="37" xfId="58" applyNumberFormat="1" applyFont="1" applyFill="1" applyBorder="1" applyAlignment="1">
      <alignment horizontal="center" vertical="center"/>
    </xf>
    <xf numFmtId="0" fontId="49" fillId="0" borderId="25" xfId="59" applyFont="1" applyFill="1" applyBorder="1" applyAlignment="1">
      <alignment horizontal="center" wrapText="1"/>
    </xf>
    <xf numFmtId="0" fontId="49" fillId="0" borderId="37" xfId="59" applyFont="1" applyFill="1" applyBorder="1" applyAlignment="1">
      <alignment horizontal="center" wrapText="1"/>
    </xf>
    <xf numFmtId="0" fontId="49" fillId="0" borderId="40" xfId="56" applyFont="1" applyFill="1" applyBorder="1" applyAlignment="1">
      <alignment horizontal="right"/>
    </xf>
    <xf numFmtId="0" fontId="49" fillId="0" borderId="38" xfId="56" applyFont="1" applyFill="1" applyBorder="1" applyAlignment="1">
      <alignment horizontal="right"/>
    </xf>
    <xf numFmtId="0" fontId="49" fillId="0" borderId="25" xfId="56" applyFont="1" applyFill="1" applyBorder="1" applyAlignment="1">
      <alignment horizontal="center" wrapText="1"/>
    </xf>
    <xf numFmtId="0" fontId="49" fillId="0" borderId="37" xfId="56" applyFont="1" applyFill="1" applyBorder="1" applyAlignment="1">
      <alignment horizontal="center" wrapText="1"/>
    </xf>
    <xf numFmtId="0" fontId="51" fillId="0" borderId="47" xfId="56" applyFont="1" applyFill="1" applyBorder="1" applyAlignment="1">
      <alignment horizontal="center" vertical="center" wrapText="1"/>
    </xf>
    <xf numFmtId="0" fontId="51" fillId="0" borderId="46" xfId="56" applyFont="1" applyFill="1" applyBorder="1" applyAlignment="1">
      <alignment horizontal="center" vertical="center" wrapText="1"/>
    </xf>
    <xf numFmtId="0" fontId="49" fillId="0" borderId="0" xfId="56" applyFont="1" applyAlignment="1">
      <alignment horizontal="right" vertical="center" wrapText="1"/>
    </xf>
    <xf numFmtId="0" fontId="22" fillId="38" borderId="28" xfId="56" applyFont="1" applyFill="1" applyBorder="1" applyAlignment="1">
      <alignment horizontal="left"/>
    </xf>
    <xf numFmtId="165" fontId="22" fillId="38" borderId="23" xfId="56" applyNumberFormat="1" applyFont="1" applyFill="1" applyBorder="1" applyAlignment="1">
      <alignment horizontal="left"/>
    </xf>
    <xf numFmtId="0" fontId="49" fillId="0" borderId="40" xfId="9" applyFont="1" applyFill="1" applyBorder="1" applyAlignment="1"/>
    <xf numFmtId="0" fontId="49" fillId="0" borderId="38" xfId="9" applyFont="1" applyFill="1" applyBorder="1" applyAlignment="1"/>
    <xf numFmtId="0" fontId="49" fillId="0" borderId="47" xfId="56" applyFont="1" applyFill="1" applyBorder="1" applyAlignment="1">
      <alignment horizontal="center" vertical="center" wrapText="1"/>
    </xf>
    <xf numFmtId="0" fontId="49" fillId="0" borderId="46" xfId="56" applyFont="1" applyFill="1" applyBorder="1" applyAlignment="1">
      <alignment horizontal="center" vertical="center" wrapText="1"/>
    </xf>
    <xf numFmtId="4" fontId="49" fillId="0" borderId="47" xfId="58" applyNumberFormat="1" applyFont="1" applyFill="1" applyBorder="1" applyAlignment="1">
      <alignment horizontal="center" vertical="center"/>
    </xf>
    <xf numFmtId="4" fontId="49" fillId="0" borderId="46" xfId="58" applyNumberFormat="1" applyFont="1" applyFill="1" applyBorder="1" applyAlignment="1">
      <alignment horizontal="center" vertical="center"/>
    </xf>
    <xf numFmtId="0" fontId="49" fillId="0" borderId="47" xfId="9" applyFont="1" applyFill="1" applyBorder="1" applyAlignment="1">
      <alignment horizontal="center" vertical="center" wrapText="1"/>
    </xf>
    <xf numFmtId="0" fontId="49" fillId="0" borderId="46" xfId="9" applyFont="1" applyFill="1" applyBorder="1" applyAlignment="1">
      <alignment horizontal="center" vertical="center" wrapText="1"/>
    </xf>
    <xf numFmtId="0" fontId="49" fillId="0" borderId="28" xfId="1" applyFont="1" applyFill="1" applyBorder="1" applyAlignment="1"/>
    <xf numFmtId="0" fontId="49" fillId="0" borderId="41" xfId="1" applyFont="1" applyFill="1" applyBorder="1" applyAlignment="1"/>
    <xf numFmtId="4" fontId="49" fillId="0" borderId="25" xfId="58" applyNumberFormat="1" applyFont="1" applyFill="1" applyBorder="1" applyAlignment="1">
      <alignment horizontal="center" vertical="center"/>
    </xf>
    <xf numFmtId="4" fontId="49" fillId="0" borderId="37" xfId="58" applyNumberFormat="1" applyFont="1" applyFill="1" applyBorder="1" applyAlignment="1">
      <alignment horizontal="center" vertical="center"/>
    </xf>
    <xf numFmtId="0" fontId="49" fillId="0" borderId="25" xfId="9" applyFont="1" applyFill="1" applyBorder="1" applyAlignment="1">
      <alignment horizontal="center" vertical="center" wrapText="1"/>
    </xf>
    <xf numFmtId="0" fontId="49" fillId="0" borderId="37" xfId="9" applyFont="1" applyFill="1" applyBorder="1" applyAlignment="1">
      <alignment horizontal="center" vertical="center" wrapText="1"/>
    </xf>
    <xf numFmtId="0" fontId="51" fillId="0" borderId="28" xfId="1" applyFont="1" applyFill="1" applyBorder="1" applyAlignment="1"/>
    <xf numFmtId="0" fontId="51" fillId="0" borderId="41" xfId="1" applyFont="1" applyFill="1" applyBorder="1" applyAlignment="1"/>
    <xf numFmtId="0" fontId="49" fillId="0" borderId="28" xfId="9" applyFont="1" applyFill="1" applyBorder="1" applyAlignment="1"/>
    <xf numFmtId="0" fontId="49" fillId="0" borderId="41" xfId="9" applyFont="1" applyFill="1" applyBorder="1" applyAlignment="1"/>
    <xf numFmtId="4" fontId="51" fillId="0" borderId="47" xfId="58" applyNumberFormat="1" applyFont="1" applyFill="1" applyBorder="1" applyAlignment="1">
      <alignment horizontal="center" vertical="center"/>
    </xf>
    <xf numFmtId="4" fontId="51" fillId="0" borderId="46" xfId="58" applyNumberFormat="1" applyFont="1" applyFill="1" applyBorder="1" applyAlignment="1">
      <alignment horizontal="center" vertical="center"/>
    </xf>
    <xf numFmtId="0" fontId="51" fillId="0" borderId="47" xfId="9" applyFont="1" applyFill="1" applyBorder="1" applyAlignment="1">
      <alignment horizontal="center" vertical="center" wrapText="1"/>
    </xf>
    <xf numFmtId="0" fontId="51" fillId="0" borderId="46" xfId="9" applyFont="1" applyFill="1" applyBorder="1" applyAlignment="1">
      <alignment horizontal="center" vertical="center" wrapText="1"/>
    </xf>
    <xf numFmtId="0" fontId="49" fillId="0" borderId="47" xfId="1" applyFont="1" applyFill="1" applyBorder="1" applyAlignment="1">
      <alignment horizontal="center" vertical="center" wrapText="1"/>
    </xf>
    <xf numFmtId="0" fontId="49" fillId="0" borderId="46" xfId="1" applyFont="1" applyFill="1" applyBorder="1" applyAlignment="1">
      <alignment horizontal="center" vertical="center" wrapText="1"/>
    </xf>
    <xf numFmtId="0" fontId="49" fillId="0" borderId="25" xfId="9" applyFont="1" applyFill="1" applyBorder="1" applyAlignment="1">
      <alignment horizontal="center" wrapText="1"/>
    </xf>
    <xf numFmtId="0" fontId="49" fillId="0" borderId="37" xfId="9" applyFont="1" applyFill="1" applyBorder="1" applyAlignment="1">
      <alignment horizontal="center" wrapText="1"/>
    </xf>
    <xf numFmtId="0" fontId="49" fillId="0" borderId="25" xfId="1" applyFont="1" applyFill="1" applyBorder="1" applyAlignment="1">
      <alignment horizontal="center" vertical="center" wrapText="1"/>
    </xf>
    <xf numFmtId="0" fontId="49" fillId="0" borderId="37" xfId="1" applyFont="1" applyFill="1" applyBorder="1" applyAlignment="1">
      <alignment horizontal="center" vertical="center" wrapText="1"/>
    </xf>
    <xf numFmtId="4" fontId="49" fillId="0" borderId="49" xfId="58" applyNumberFormat="1" applyFont="1" applyFill="1" applyBorder="1" applyAlignment="1">
      <alignment horizontal="center" vertical="center"/>
    </xf>
    <xf numFmtId="4" fontId="49" fillId="0" borderId="48" xfId="58" applyNumberFormat="1" applyFont="1" applyFill="1" applyBorder="1" applyAlignment="1">
      <alignment horizontal="center" vertical="center"/>
    </xf>
    <xf numFmtId="3" fontId="49" fillId="0" borderId="25" xfId="56" applyNumberFormat="1" applyFont="1" applyFill="1" applyBorder="1" applyAlignment="1">
      <alignment horizontal="center" vertical="center" wrapText="1"/>
    </xf>
    <xf numFmtId="0" fontId="49" fillId="0" borderId="50" xfId="9" applyFont="1" applyFill="1" applyBorder="1" applyAlignment="1">
      <alignment horizontal="center" wrapText="1"/>
    </xf>
    <xf numFmtId="0" fontId="49" fillId="0" borderId="53" xfId="9" applyFont="1" applyFill="1" applyBorder="1" applyAlignment="1">
      <alignment horizontal="center" wrapText="1"/>
    </xf>
    <xf numFmtId="0" fontId="49" fillId="0" borderId="50" xfId="1" applyFont="1" applyFill="1" applyBorder="1" applyAlignment="1">
      <alignment horizontal="center" vertical="center" wrapText="1"/>
    </xf>
    <xf numFmtId="0" fontId="49" fillId="0" borderId="53" xfId="1" applyFont="1" applyFill="1" applyBorder="1" applyAlignment="1">
      <alignment horizontal="center" vertical="center" wrapText="1"/>
    </xf>
    <xf numFmtId="4" fontId="49" fillId="0" borderId="50" xfId="58" applyNumberFormat="1" applyFont="1" applyFill="1" applyBorder="1" applyAlignment="1">
      <alignment horizontal="center" vertical="center"/>
    </xf>
    <xf numFmtId="4" fontId="49" fillId="0" borderId="53" xfId="58" applyNumberFormat="1" applyFont="1" applyFill="1" applyBorder="1" applyAlignment="1">
      <alignment horizontal="center" vertical="center"/>
    </xf>
    <xf numFmtId="0" fontId="49" fillId="0" borderId="50" xfId="9" applyFont="1" applyFill="1" applyBorder="1" applyAlignment="1">
      <alignment horizontal="center" vertical="center" wrapText="1"/>
    </xf>
    <xf numFmtId="0" fontId="49" fillId="0" borderId="53" xfId="9" applyFont="1" applyFill="1" applyBorder="1" applyAlignment="1">
      <alignment horizontal="center" vertical="center" wrapText="1"/>
    </xf>
    <xf numFmtId="0" fontId="49" fillId="0" borderId="56" xfId="9" applyFont="1" applyFill="1" applyBorder="1" applyAlignment="1"/>
    <xf numFmtId="0" fontId="49" fillId="0" borderId="54" xfId="9" applyFont="1" applyFill="1" applyBorder="1" applyAlignment="1"/>
    <xf numFmtId="0" fontId="49" fillId="0" borderId="25" xfId="1" applyFont="1" applyFill="1" applyBorder="1" applyAlignment="1">
      <alignment horizontal="center" wrapText="1"/>
    </xf>
    <xf numFmtId="0" fontId="49" fillId="0" borderId="37" xfId="1" applyFont="1" applyFill="1" applyBorder="1" applyAlignment="1">
      <alignment horizontal="center" wrapText="1"/>
    </xf>
    <xf numFmtId="0" fontId="49" fillId="0" borderId="50" xfId="1" applyFont="1" applyFill="1" applyBorder="1" applyAlignment="1">
      <alignment horizontal="center" wrapText="1"/>
    </xf>
    <xf numFmtId="0" fontId="49" fillId="0" borderId="53" xfId="1" applyFont="1" applyFill="1" applyBorder="1" applyAlignment="1">
      <alignment horizontal="center" wrapText="1"/>
    </xf>
    <xf numFmtId="0" fontId="51" fillId="0" borderId="25" xfId="9" applyFont="1" applyFill="1" applyBorder="1" applyAlignment="1">
      <alignment horizontal="center" wrapText="1"/>
    </xf>
    <xf numFmtId="0" fontId="51" fillId="0" borderId="37" xfId="9" applyFont="1" applyFill="1" applyBorder="1" applyAlignment="1">
      <alignment horizontal="center" wrapText="1"/>
    </xf>
    <xf numFmtId="0" fontId="51" fillId="0" borderId="56" xfId="9" applyFont="1" applyFill="1" applyBorder="1" applyAlignment="1"/>
    <xf numFmtId="0" fontId="51" fillId="0" borderId="54" xfId="9" applyFont="1" applyFill="1" applyBorder="1" applyAlignment="1"/>
    <xf numFmtId="0" fontId="51" fillId="0" borderId="50" xfId="9" applyFont="1" applyFill="1" applyBorder="1" applyAlignment="1">
      <alignment horizontal="center" vertical="center" wrapText="1"/>
    </xf>
    <xf numFmtId="0" fontId="51" fillId="0" borderId="53" xfId="9" applyFont="1" applyFill="1" applyBorder="1" applyAlignment="1">
      <alignment horizontal="center" vertical="center" wrapText="1"/>
    </xf>
    <xf numFmtId="4" fontId="51" fillId="0" borderId="50" xfId="58" applyNumberFormat="1" applyFont="1" applyFill="1" applyBorder="1" applyAlignment="1">
      <alignment horizontal="center" vertical="center"/>
    </xf>
    <xf numFmtId="4" fontId="51" fillId="0" borderId="53" xfId="58" applyNumberFormat="1" applyFont="1" applyFill="1" applyBorder="1" applyAlignment="1">
      <alignment horizontal="center" vertical="center"/>
    </xf>
    <xf numFmtId="0" fontId="51" fillId="0" borderId="50" xfId="9" applyFont="1" applyFill="1" applyBorder="1" applyAlignment="1">
      <alignment horizontal="center" wrapText="1"/>
    </xf>
    <xf numFmtId="0" fontId="51" fillId="0" borderId="53" xfId="9" applyFont="1" applyFill="1" applyBorder="1" applyAlignment="1">
      <alignment horizontal="center" wrapText="1"/>
    </xf>
    <xf numFmtId="0" fontId="19" fillId="0" borderId="53" xfId="9" applyFill="1" applyBorder="1" applyAlignment="1">
      <alignment horizontal="center" vertical="center" wrapText="1"/>
    </xf>
    <xf numFmtId="0" fontId="19" fillId="0" borderId="37" xfId="9" applyFill="1" applyBorder="1" applyAlignment="1">
      <alignment horizontal="center" vertical="center" wrapText="1"/>
    </xf>
    <xf numFmtId="0" fontId="15" fillId="0" borderId="0" xfId="54" applyFont="1" applyFill="1" applyBorder="1" applyAlignment="1">
      <alignment horizontal="right"/>
    </xf>
    <xf numFmtId="0" fontId="56" fillId="0" borderId="0" xfId="56" applyFont="1" applyBorder="1" applyAlignment="1">
      <alignment horizontal="center"/>
    </xf>
    <xf numFmtId="0" fontId="55" fillId="40" borderId="66" xfId="56" applyFont="1" applyFill="1" applyBorder="1" applyAlignment="1">
      <alignment horizontal="center" vertical="center" wrapText="1"/>
    </xf>
    <xf numFmtId="0" fontId="55" fillId="40" borderId="61" xfId="56" applyFont="1" applyFill="1" applyBorder="1" applyAlignment="1">
      <alignment horizontal="center" vertical="center" wrapText="1"/>
    </xf>
    <xf numFmtId="0" fontId="55" fillId="40" borderId="65" xfId="56" applyFont="1" applyFill="1" applyBorder="1" applyAlignment="1">
      <alignment horizontal="center" vertical="center" wrapText="1"/>
    </xf>
    <xf numFmtId="0" fontId="55" fillId="40" borderId="60" xfId="56" applyFont="1" applyFill="1" applyBorder="1" applyAlignment="1">
      <alignment horizontal="center" vertical="center" wrapText="1"/>
    </xf>
    <xf numFmtId="0" fontId="55" fillId="2" borderId="64" xfId="56" applyFont="1" applyFill="1" applyBorder="1" applyAlignment="1">
      <alignment horizontal="center" vertical="center"/>
    </xf>
    <xf numFmtId="0" fontId="55" fillId="2" borderId="59" xfId="56" applyFont="1" applyFill="1" applyBorder="1" applyAlignment="1">
      <alignment horizontal="center" vertical="center"/>
    </xf>
    <xf numFmtId="4" fontId="49" fillId="0" borderId="25" xfId="58" applyNumberFormat="1" applyFont="1" applyFill="1" applyBorder="1" applyAlignment="1">
      <alignment horizontal="center" vertical="center" wrapText="1"/>
    </xf>
    <xf numFmtId="4" fontId="49" fillId="0" borderId="37" xfId="58" applyNumberFormat="1" applyFont="1" applyFill="1" applyBorder="1" applyAlignment="1">
      <alignment horizontal="center" vertical="center" wrapText="1"/>
    </xf>
    <xf numFmtId="14" fontId="49" fillId="0" borderId="50" xfId="9" applyNumberFormat="1" applyFont="1" applyFill="1" applyBorder="1" applyAlignment="1">
      <alignment horizontal="center" wrapText="1"/>
    </xf>
    <xf numFmtId="0" fontId="15" fillId="0" borderId="1" xfId="0" applyFont="1" applyBorder="1" applyAlignment="1">
      <alignment horizontal="left" wrapText="1"/>
    </xf>
    <xf numFmtId="0" fontId="60" fillId="0" borderId="0" xfId="0" applyFont="1" applyAlignment="1">
      <alignment horizontal="center"/>
    </xf>
    <xf numFmtId="0" fontId="61" fillId="2" borderId="1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wrapText="1"/>
    </xf>
    <xf numFmtId="0" fontId="13" fillId="3" borderId="1" xfId="0" applyFont="1" applyFill="1" applyBorder="1" applyAlignment="1">
      <alignment horizontal="left" wrapText="1"/>
    </xf>
  </cellXfs>
  <cellStyles count="60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_Pašvaldības saistības 2" xfId="58"/>
    <cellStyle name="Explanatory Text" xfId="28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"/>
    <cellStyle name="Normal 2 2" xfId="3"/>
    <cellStyle name="Normal 2 2 2" xfId="9"/>
    <cellStyle name="Normal 3" xfId="8"/>
    <cellStyle name="Normal 3 2" xfId="54"/>
    <cellStyle name="Normal 4" xfId="12"/>
    <cellStyle name="Normal 5" xfId="2"/>
    <cellStyle name="Normal 5 2" xfId="6"/>
    <cellStyle name="Normal 5 2 2" xfId="56"/>
    <cellStyle name="Normal 6" xfId="10"/>
    <cellStyle name="Normal 6 2" xfId="59"/>
    <cellStyle name="Normal 7" xfId="7"/>
    <cellStyle name="Normal 8" xfId="55"/>
    <cellStyle name="Normal_Pamatformas 2" xfId="57"/>
    <cellStyle name="Note" xfId="27" builtinId="10" customBuiltin="1"/>
    <cellStyle name="Output" xfId="22" builtinId="21" customBuiltin="1"/>
    <cellStyle name="Percent 4" xfId="4"/>
    <cellStyle name="Percent 4 2" xfId="11"/>
    <cellStyle name="Percent 5" xfId="5"/>
    <cellStyle name="Title" xfId="13" builtinId="15" customBuiltin="1"/>
    <cellStyle name="Total" xfId="29" builtinId="25" customBuiltin="1"/>
    <cellStyle name="Warning Text" xfId="26" builtinId="11" customBuiltin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zoomScale="98" zoomScaleNormal="98" workbookViewId="0">
      <selection activeCell="Q8" sqref="Q8"/>
    </sheetView>
  </sheetViews>
  <sheetFormatPr defaultColWidth="9.140625" defaultRowHeight="15" x14ac:dyDescent="0.25"/>
  <cols>
    <col min="1" max="1" width="10.85546875" style="98" customWidth="1"/>
    <col min="2" max="2" width="40.85546875" style="99" customWidth="1"/>
    <col min="3" max="3" width="14.7109375" style="1" customWidth="1"/>
    <col min="4" max="4" width="13.7109375" style="1" customWidth="1"/>
    <col min="5" max="5" width="14.42578125" style="1" customWidth="1"/>
    <col min="6" max="16384" width="9.140625" style="1"/>
  </cols>
  <sheetData>
    <row r="1" spans="1:9" x14ac:dyDescent="0.25">
      <c r="A1" s="98" t="s">
        <v>0</v>
      </c>
      <c r="D1" s="493" t="s">
        <v>1</v>
      </c>
      <c r="E1" s="493"/>
      <c r="I1" s="2"/>
    </row>
    <row r="2" spans="1:9" x14ac:dyDescent="0.25">
      <c r="C2" s="493" t="s">
        <v>377</v>
      </c>
      <c r="D2" s="493"/>
      <c r="E2" s="493"/>
    </row>
    <row r="3" spans="1:9" x14ac:dyDescent="0.25">
      <c r="C3" s="494" t="s">
        <v>1000</v>
      </c>
      <c r="D3" s="494"/>
      <c r="E3" s="494"/>
    </row>
    <row r="5" spans="1:9" ht="18.75" x14ac:dyDescent="0.25">
      <c r="A5" s="495" t="s">
        <v>439</v>
      </c>
      <c r="B5" s="495"/>
      <c r="C5" s="495"/>
      <c r="D5" s="495"/>
      <c r="E5" s="495"/>
    </row>
    <row r="6" spans="1:9" x14ac:dyDescent="0.25">
      <c r="A6" s="496" t="s">
        <v>2</v>
      </c>
      <c r="B6" s="496"/>
      <c r="C6" s="496"/>
      <c r="D6" s="496"/>
      <c r="E6" s="496"/>
    </row>
    <row r="7" spans="1:9" x14ac:dyDescent="0.25">
      <c r="E7" s="5" t="s">
        <v>12</v>
      </c>
    </row>
    <row r="8" spans="1:9" ht="42.75" x14ac:dyDescent="0.25">
      <c r="A8" s="97" t="s">
        <v>5</v>
      </c>
      <c r="B8" s="97" t="s">
        <v>3</v>
      </c>
      <c r="C8" s="7" t="s">
        <v>440</v>
      </c>
      <c r="D8" s="7" t="s">
        <v>118</v>
      </c>
      <c r="E8" s="419" t="s">
        <v>1001</v>
      </c>
    </row>
    <row r="9" spans="1:9" ht="21.75" customHeight="1" x14ac:dyDescent="0.25">
      <c r="A9" s="29"/>
      <c r="B9" s="14" t="s">
        <v>23</v>
      </c>
      <c r="C9" s="36">
        <f>C10+C19+C52+C63</f>
        <v>64872179</v>
      </c>
      <c r="D9" s="36">
        <f>D10+D19+D52+D63</f>
        <v>9072049</v>
      </c>
      <c r="E9" s="36">
        <f>E10+E19+E52+E63</f>
        <v>73944228</v>
      </c>
    </row>
    <row r="10" spans="1:9" x14ac:dyDescent="0.25">
      <c r="A10" s="25"/>
      <c r="B10" s="13" t="s">
        <v>24</v>
      </c>
      <c r="C10" s="37">
        <f>C11+C14+C18</f>
        <v>44995239</v>
      </c>
      <c r="D10" s="37">
        <f>D11+D14+D18</f>
        <v>0</v>
      </c>
      <c r="E10" s="37">
        <f t="shared" ref="E10" si="0">E11+E14+E18</f>
        <v>44995239</v>
      </c>
    </row>
    <row r="11" spans="1:9" x14ac:dyDescent="0.25">
      <c r="A11" s="22" t="s">
        <v>6</v>
      </c>
      <c r="B11" s="31" t="s">
        <v>7</v>
      </c>
      <c r="C11" s="38">
        <f>C12+C13</f>
        <v>40905065</v>
      </c>
      <c r="D11" s="38">
        <f t="shared" ref="D11:E11" si="1">D12+D13</f>
        <v>0</v>
      </c>
      <c r="E11" s="38">
        <f t="shared" si="1"/>
        <v>40905065</v>
      </c>
    </row>
    <row r="12" spans="1:9" ht="46.5" customHeight="1" x14ac:dyDescent="0.25">
      <c r="A12" s="90" t="s">
        <v>8</v>
      </c>
      <c r="B12" s="91" t="s">
        <v>9</v>
      </c>
      <c r="C12" s="42">
        <f>296857+79936</f>
        <v>376793</v>
      </c>
      <c r="D12" s="42">
        <v>0</v>
      </c>
      <c r="E12" s="42">
        <f>C12+D12</f>
        <v>376793</v>
      </c>
    </row>
    <row r="13" spans="1:9" ht="45" x14ac:dyDescent="0.25">
      <c r="A13" s="24" t="s">
        <v>10</v>
      </c>
      <c r="B13" s="35" t="s">
        <v>11</v>
      </c>
      <c r="C13" s="40">
        <v>40528272</v>
      </c>
      <c r="D13" s="40">
        <v>0</v>
      </c>
      <c r="E13" s="40">
        <f>C13+D13</f>
        <v>40528272</v>
      </c>
    </row>
    <row r="14" spans="1:9" x14ac:dyDescent="0.25">
      <c r="A14" s="22" t="s">
        <v>13</v>
      </c>
      <c r="B14" s="31" t="s">
        <v>14</v>
      </c>
      <c r="C14" s="38">
        <f>C15+C16+C17</f>
        <v>3669610</v>
      </c>
      <c r="D14" s="38">
        <f t="shared" ref="D14:E14" si="2">D15+D16+D17</f>
        <v>0</v>
      </c>
      <c r="E14" s="38">
        <f t="shared" si="2"/>
        <v>3669610</v>
      </c>
    </row>
    <row r="15" spans="1:9" x14ac:dyDescent="0.25">
      <c r="A15" s="24" t="s">
        <v>15</v>
      </c>
      <c r="B15" s="35" t="s">
        <v>16</v>
      </c>
      <c r="C15" s="40">
        <v>1408171</v>
      </c>
      <c r="D15" s="40">
        <v>0</v>
      </c>
      <c r="E15" s="40">
        <f>C15+D15</f>
        <v>1408171</v>
      </c>
    </row>
    <row r="16" spans="1:9" x14ac:dyDescent="0.25">
      <c r="A16" s="24" t="s">
        <v>17</v>
      </c>
      <c r="B16" s="35" t="s">
        <v>18</v>
      </c>
      <c r="C16" s="40">
        <v>1470393</v>
      </c>
      <c r="D16" s="40">
        <v>0</v>
      </c>
      <c r="E16" s="40">
        <f>C16+D16</f>
        <v>1470393</v>
      </c>
    </row>
    <row r="17" spans="1:5" ht="13.5" customHeight="1" x14ac:dyDescent="0.25">
      <c r="A17" s="24" t="s">
        <v>19</v>
      </c>
      <c r="B17" s="35" t="s">
        <v>20</v>
      </c>
      <c r="C17" s="40">
        <v>791046</v>
      </c>
      <c r="D17" s="40">
        <v>0</v>
      </c>
      <c r="E17" s="40">
        <f>C17+D17</f>
        <v>791046</v>
      </c>
    </row>
    <row r="18" spans="1:5" x14ac:dyDescent="0.25">
      <c r="A18" s="22" t="s">
        <v>21</v>
      </c>
      <c r="B18" s="31" t="s">
        <v>22</v>
      </c>
      <c r="C18" s="38">
        <v>420564</v>
      </c>
      <c r="D18" s="38">
        <v>0</v>
      </c>
      <c r="E18" s="38">
        <f>C18+D18</f>
        <v>420564</v>
      </c>
    </row>
    <row r="19" spans="1:5" x14ac:dyDescent="0.25">
      <c r="A19" s="25"/>
      <c r="B19" s="13" t="s">
        <v>25</v>
      </c>
      <c r="C19" s="37">
        <f>C20+C22+C35+C39+C48</f>
        <v>284283</v>
      </c>
      <c r="D19" s="37">
        <f>D20+D22+D35+D39+D48</f>
        <v>-1608</v>
      </c>
      <c r="E19" s="37">
        <f>E20+E22+E35+E39+E48</f>
        <v>282675</v>
      </c>
    </row>
    <row r="20" spans="1:5" ht="15.75" hidden="1" customHeight="1" x14ac:dyDescent="0.25">
      <c r="A20" s="26" t="s">
        <v>26</v>
      </c>
      <c r="B20" s="32" t="s">
        <v>27</v>
      </c>
      <c r="C20" s="41">
        <f>C21</f>
        <v>0</v>
      </c>
      <c r="D20" s="41">
        <f>D21</f>
        <v>0</v>
      </c>
      <c r="E20" s="41">
        <f>E21</f>
        <v>0</v>
      </c>
    </row>
    <row r="21" spans="1:5" ht="14.25" hidden="1" customHeight="1" x14ac:dyDescent="0.25">
      <c r="A21" s="23" t="s">
        <v>28</v>
      </c>
      <c r="B21" s="34" t="s">
        <v>29</v>
      </c>
      <c r="C21" s="39">
        <v>0</v>
      </c>
      <c r="D21" s="39"/>
      <c r="E21" s="39">
        <f>C21+D21</f>
        <v>0</v>
      </c>
    </row>
    <row r="22" spans="1:5" ht="28.5" x14ac:dyDescent="0.25">
      <c r="A22" s="22" t="s">
        <v>30</v>
      </c>
      <c r="B22" s="31" t="s">
        <v>31</v>
      </c>
      <c r="C22" s="38">
        <f>C23+C27</f>
        <v>59500</v>
      </c>
      <c r="D22" s="38">
        <f>D23+D27</f>
        <v>0</v>
      </c>
      <c r="E22" s="38">
        <f>E23+E27</f>
        <v>59500</v>
      </c>
    </row>
    <row r="23" spans="1:5" ht="28.5" x14ac:dyDescent="0.25">
      <c r="A23" s="27" t="s">
        <v>32</v>
      </c>
      <c r="B23" s="31" t="s">
        <v>33</v>
      </c>
      <c r="C23" s="38">
        <f>SUM(C24:C26)</f>
        <v>17000</v>
      </c>
      <c r="D23" s="38">
        <f>SUM(D24:D26)</f>
        <v>0</v>
      </c>
      <c r="E23" s="38">
        <f>SUM(E24:E26)</f>
        <v>17000</v>
      </c>
    </row>
    <row r="24" spans="1:5" ht="45" x14ac:dyDescent="0.25">
      <c r="A24" s="24" t="s">
        <v>34</v>
      </c>
      <c r="B24" s="35" t="s">
        <v>35</v>
      </c>
      <c r="C24" s="40">
        <v>2000</v>
      </c>
      <c r="D24" s="40">
        <v>0</v>
      </c>
      <c r="E24" s="40">
        <f>C24+D24</f>
        <v>2000</v>
      </c>
    </row>
    <row r="25" spans="1:5" ht="75" x14ac:dyDescent="0.25">
      <c r="A25" s="24" t="s">
        <v>36</v>
      </c>
      <c r="B25" s="35" t="s">
        <v>37</v>
      </c>
      <c r="C25" s="40">
        <v>8000</v>
      </c>
      <c r="D25" s="40">
        <v>0</v>
      </c>
      <c r="E25" s="40">
        <f t="shared" ref="E25:E34" si="3">C25+D25</f>
        <v>8000</v>
      </c>
    </row>
    <row r="26" spans="1:5" ht="30" x14ac:dyDescent="0.25">
      <c r="A26" s="24" t="s">
        <v>38</v>
      </c>
      <c r="B26" s="35" t="s">
        <v>39</v>
      </c>
      <c r="C26" s="40">
        <v>7000</v>
      </c>
      <c r="D26" s="40">
        <v>0</v>
      </c>
      <c r="E26" s="40">
        <f t="shared" si="3"/>
        <v>7000</v>
      </c>
    </row>
    <row r="27" spans="1:5" x14ac:dyDescent="0.25">
      <c r="A27" s="27" t="s">
        <v>40</v>
      </c>
      <c r="B27" s="31" t="s">
        <v>41</v>
      </c>
      <c r="C27" s="38">
        <f>SUM(C28:C34)</f>
        <v>42500</v>
      </c>
      <c r="D27" s="38">
        <f t="shared" ref="D27:E27" si="4">SUM(D28:D34)</f>
        <v>0</v>
      </c>
      <c r="E27" s="38">
        <f t="shared" si="4"/>
        <v>42500</v>
      </c>
    </row>
    <row r="28" spans="1:5" ht="45" x14ac:dyDescent="0.25">
      <c r="A28" s="24" t="s">
        <v>42</v>
      </c>
      <c r="B28" s="35" t="s">
        <v>43</v>
      </c>
      <c r="C28" s="40">
        <v>10000</v>
      </c>
      <c r="D28" s="42">
        <v>0</v>
      </c>
      <c r="E28" s="40">
        <f t="shared" si="3"/>
        <v>10000</v>
      </c>
    </row>
    <row r="29" spans="1:5" ht="45" x14ac:dyDescent="0.25">
      <c r="A29" s="24" t="s">
        <v>44</v>
      </c>
      <c r="B29" s="35" t="s">
        <v>50</v>
      </c>
      <c r="C29" s="40">
        <v>500</v>
      </c>
      <c r="D29" s="42">
        <v>0</v>
      </c>
      <c r="E29" s="40">
        <f t="shared" si="3"/>
        <v>500</v>
      </c>
    </row>
    <row r="30" spans="1:5" ht="30" x14ac:dyDescent="0.25">
      <c r="A30" s="24" t="s">
        <v>45</v>
      </c>
      <c r="B30" s="35" t="s">
        <v>51</v>
      </c>
      <c r="C30" s="40">
        <v>2500</v>
      </c>
      <c r="D30" s="42">
        <v>0</v>
      </c>
      <c r="E30" s="40">
        <f t="shared" si="3"/>
        <v>2500</v>
      </c>
    </row>
    <row r="31" spans="1:5" ht="15.75" customHeight="1" x14ac:dyDescent="0.25">
      <c r="A31" s="24" t="s">
        <v>46</v>
      </c>
      <c r="B31" s="35" t="s">
        <v>52</v>
      </c>
      <c r="C31" s="40">
        <v>3000</v>
      </c>
      <c r="D31" s="42">
        <v>0</v>
      </c>
      <c r="E31" s="40">
        <f t="shared" si="3"/>
        <v>3000</v>
      </c>
    </row>
    <row r="32" spans="1:5" ht="30.75" customHeight="1" x14ac:dyDescent="0.25">
      <c r="A32" s="24" t="s">
        <v>47</v>
      </c>
      <c r="B32" s="35" t="s">
        <v>53</v>
      </c>
      <c r="C32" s="40">
        <v>7500</v>
      </c>
      <c r="D32" s="40">
        <v>0</v>
      </c>
      <c r="E32" s="40">
        <f t="shared" si="3"/>
        <v>7500</v>
      </c>
    </row>
    <row r="33" spans="1:5" ht="30" x14ac:dyDescent="0.25">
      <c r="A33" s="24" t="s">
        <v>48</v>
      </c>
      <c r="B33" s="35" t="s">
        <v>54</v>
      </c>
      <c r="C33" s="40">
        <v>15000</v>
      </c>
      <c r="D33" s="40">
        <v>0</v>
      </c>
      <c r="E33" s="40">
        <f t="shared" si="3"/>
        <v>15000</v>
      </c>
    </row>
    <row r="34" spans="1:5" x14ac:dyDescent="0.25">
      <c r="A34" s="24" t="s">
        <v>49</v>
      </c>
      <c r="B34" s="35" t="s">
        <v>55</v>
      </c>
      <c r="C34" s="40">
        <v>4000</v>
      </c>
      <c r="D34" s="40">
        <v>0</v>
      </c>
      <c r="E34" s="40">
        <f t="shared" si="3"/>
        <v>4000</v>
      </c>
    </row>
    <row r="35" spans="1:5" x14ac:dyDescent="0.25">
      <c r="A35" s="22" t="s">
        <v>56</v>
      </c>
      <c r="B35" s="31" t="s">
        <v>57</v>
      </c>
      <c r="C35" s="38">
        <f>C36</f>
        <v>135000</v>
      </c>
      <c r="D35" s="38">
        <f t="shared" ref="D35:E35" si="5">D36</f>
        <v>0</v>
      </c>
      <c r="E35" s="38">
        <f t="shared" si="5"/>
        <v>135000</v>
      </c>
    </row>
    <row r="36" spans="1:5" x14ac:dyDescent="0.25">
      <c r="A36" s="27" t="s">
        <v>60</v>
      </c>
      <c r="B36" s="31" t="s">
        <v>61</v>
      </c>
      <c r="C36" s="38">
        <f>SUM(C37:C38)</f>
        <v>135000</v>
      </c>
      <c r="D36" s="38">
        <f t="shared" ref="D36:E36" si="6">SUM(D37:D38)</f>
        <v>0</v>
      </c>
      <c r="E36" s="38">
        <f t="shared" si="6"/>
        <v>135000</v>
      </c>
    </row>
    <row r="37" spans="1:5" x14ac:dyDescent="0.25">
      <c r="A37" s="24" t="s">
        <v>58</v>
      </c>
      <c r="B37" s="35" t="s">
        <v>59</v>
      </c>
      <c r="C37" s="40">
        <v>62000</v>
      </c>
      <c r="D37" s="40">
        <v>0</v>
      </c>
      <c r="E37" s="40">
        <f>C37+D37</f>
        <v>62000</v>
      </c>
    </row>
    <row r="38" spans="1:5" ht="36" customHeight="1" x14ac:dyDescent="0.25">
      <c r="A38" s="24" t="s">
        <v>62</v>
      </c>
      <c r="B38" s="35" t="s">
        <v>63</v>
      </c>
      <c r="C38" s="40">
        <v>73000</v>
      </c>
      <c r="D38" s="40">
        <v>0</v>
      </c>
      <c r="E38" s="40">
        <f>C38+D38</f>
        <v>73000</v>
      </c>
    </row>
    <row r="39" spans="1:5" x14ac:dyDescent="0.25">
      <c r="A39" s="116" t="s">
        <v>64</v>
      </c>
      <c r="B39" s="117" t="s">
        <v>65</v>
      </c>
      <c r="C39" s="44">
        <f>C40+C44+C46</f>
        <v>34198</v>
      </c>
      <c r="D39" s="44">
        <f t="shared" ref="D39:E39" si="7">D40+D44+D46</f>
        <v>-1608</v>
      </c>
      <c r="E39" s="44">
        <f t="shared" si="7"/>
        <v>32590</v>
      </c>
    </row>
    <row r="40" spans="1:5" hidden="1" x14ac:dyDescent="0.25">
      <c r="A40" s="118" t="s">
        <v>66</v>
      </c>
      <c r="B40" s="117" t="s">
        <v>67</v>
      </c>
      <c r="C40" s="44">
        <f>SUM(C41:C43)</f>
        <v>0</v>
      </c>
      <c r="D40" s="44">
        <f t="shared" ref="D40:E40" si="8">SUM(D41:D43)</f>
        <v>0</v>
      </c>
      <c r="E40" s="44">
        <f t="shared" si="8"/>
        <v>0</v>
      </c>
    </row>
    <row r="41" spans="1:5" ht="30" hidden="1" x14ac:dyDescent="0.25">
      <c r="A41" s="90" t="s">
        <v>68</v>
      </c>
      <c r="B41" s="91" t="s">
        <v>69</v>
      </c>
      <c r="C41" s="42">
        <v>0</v>
      </c>
      <c r="D41" s="42">
        <v>0</v>
      </c>
      <c r="E41" s="42">
        <f>C41+D41</f>
        <v>0</v>
      </c>
    </row>
    <row r="42" spans="1:5" ht="12" hidden="1" customHeight="1" x14ac:dyDescent="0.25">
      <c r="A42" s="90" t="s">
        <v>70</v>
      </c>
      <c r="B42" s="91" t="s">
        <v>72</v>
      </c>
      <c r="C42" s="42">
        <v>0</v>
      </c>
      <c r="D42" s="42">
        <v>0</v>
      </c>
      <c r="E42" s="42">
        <f t="shared" ref="E42:E43" si="9">C42+D42</f>
        <v>0</v>
      </c>
    </row>
    <row r="43" spans="1:5" ht="30" hidden="1" x14ac:dyDescent="0.25">
      <c r="A43" s="90" t="s">
        <v>71</v>
      </c>
      <c r="B43" s="91" t="s">
        <v>362</v>
      </c>
      <c r="C43" s="42">
        <v>0</v>
      </c>
      <c r="D43" s="42">
        <v>0</v>
      </c>
      <c r="E43" s="42">
        <f t="shared" si="9"/>
        <v>0</v>
      </c>
    </row>
    <row r="44" spans="1:5" ht="42.75" hidden="1" x14ac:dyDescent="0.25">
      <c r="A44" s="118" t="s">
        <v>431</v>
      </c>
      <c r="B44" s="117" t="s">
        <v>434</v>
      </c>
      <c r="C44" s="44">
        <f>C45</f>
        <v>0</v>
      </c>
      <c r="D44" s="44">
        <f>D45</f>
        <v>0</v>
      </c>
      <c r="E44" s="44">
        <f>E45</f>
        <v>0</v>
      </c>
    </row>
    <row r="45" spans="1:5" ht="33" hidden="1" customHeight="1" x14ac:dyDescent="0.25">
      <c r="A45" s="90" t="s">
        <v>432</v>
      </c>
      <c r="B45" s="91" t="s">
        <v>433</v>
      </c>
      <c r="C45" s="42">
        <v>0</v>
      </c>
      <c r="D45" s="42">
        <v>0</v>
      </c>
      <c r="E45" s="42">
        <f>C45+D45</f>
        <v>0</v>
      </c>
    </row>
    <row r="46" spans="1:5" x14ac:dyDescent="0.25">
      <c r="A46" s="118" t="s">
        <v>73</v>
      </c>
      <c r="B46" s="117" t="s">
        <v>74</v>
      </c>
      <c r="C46" s="44">
        <f>C47</f>
        <v>34198</v>
      </c>
      <c r="D46" s="44">
        <f>D47</f>
        <v>-1608</v>
      </c>
      <c r="E46" s="44">
        <f>C46+D46</f>
        <v>32590</v>
      </c>
    </row>
    <row r="47" spans="1:5" ht="36.75" customHeight="1" x14ac:dyDescent="0.25">
      <c r="A47" s="90" t="s">
        <v>486</v>
      </c>
      <c r="B47" s="91" t="s">
        <v>820</v>
      </c>
      <c r="C47" s="42">
        <f>10968+23230</f>
        <v>34198</v>
      </c>
      <c r="D47" s="42">
        <v>-1608</v>
      </c>
      <c r="E47" s="42">
        <f>C47+D47</f>
        <v>32590</v>
      </c>
    </row>
    <row r="48" spans="1:5" ht="42.75" customHeight="1" x14ac:dyDescent="0.25">
      <c r="A48" s="22" t="s">
        <v>75</v>
      </c>
      <c r="B48" s="31" t="s">
        <v>80</v>
      </c>
      <c r="C48" s="38">
        <f>SUM(C49:C51)</f>
        <v>55585</v>
      </c>
      <c r="D48" s="38">
        <f>SUM(D49:D51)</f>
        <v>0</v>
      </c>
      <c r="E48" s="38">
        <f>SUM(E49:E51)</f>
        <v>55585</v>
      </c>
    </row>
    <row r="49" spans="1:5" ht="30" x14ac:dyDescent="0.25">
      <c r="A49" s="24" t="s">
        <v>76</v>
      </c>
      <c r="B49" s="35" t="s">
        <v>78</v>
      </c>
      <c r="C49" s="40">
        <v>33413</v>
      </c>
      <c r="D49" s="40">
        <v>0</v>
      </c>
      <c r="E49" s="40">
        <f>C49+D49</f>
        <v>33413</v>
      </c>
    </row>
    <row r="50" spans="1:5" ht="30" x14ac:dyDescent="0.25">
      <c r="A50" s="24" t="s">
        <v>77</v>
      </c>
      <c r="B50" s="35" t="s">
        <v>79</v>
      </c>
      <c r="C50" s="40">
        <v>22172</v>
      </c>
      <c r="D50" s="40">
        <v>0</v>
      </c>
      <c r="E50" s="40">
        <f>C50+D50</f>
        <v>22172</v>
      </c>
    </row>
    <row r="51" spans="1:5" ht="30" hidden="1" customHeight="1" x14ac:dyDescent="0.25">
      <c r="A51" s="23" t="s">
        <v>378</v>
      </c>
      <c r="B51" s="34" t="s">
        <v>379</v>
      </c>
      <c r="C51" s="39">
        <v>0</v>
      </c>
      <c r="D51" s="39"/>
      <c r="E51" s="39">
        <f>C51+D51</f>
        <v>0</v>
      </c>
    </row>
    <row r="52" spans="1:5" x14ac:dyDescent="0.25">
      <c r="A52" s="28"/>
      <c r="B52" s="13" t="s">
        <v>81</v>
      </c>
      <c r="C52" s="43">
        <f>C55+C61+C53</f>
        <v>17858349</v>
      </c>
      <c r="D52" s="43">
        <f>D55+D61+D53</f>
        <v>8954265</v>
      </c>
      <c r="E52" s="43">
        <f>E55+E61+E53</f>
        <v>26812614</v>
      </c>
    </row>
    <row r="53" spans="1:5" s="123" customFormat="1" ht="42.75" x14ac:dyDescent="0.25">
      <c r="A53" s="119">
        <v>17</v>
      </c>
      <c r="B53" s="120" t="s">
        <v>373</v>
      </c>
      <c r="C53" s="121">
        <f>C54</f>
        <v>36936</v>
      </c>
      <c r="D53" s="122">
        <f>D54</f>
        <v>0</v>
      </c>
      <c r="E53" s="122">
        <f>E54</f>
        <v>36936</v>
      </c>
    </row>
    <row r="54" spans="1:5" s="123" customFormat="1" ht="60" x14ac:dyDescent="0.25">
      <c r="A54" s="124">
        <v>17.2</v>
      </c>
      <c r="B54" s="125" t="s">
        <v>374</v>
      </c>
      <c r="C54" s="126">
        <f>10917+26019</f>
        <v>36936</v>
      </c>
      <c r="D54" s="89">
        <v>0</v>
      </c>
      <c r="E54" s="89">
        <f>C54+D54</f>
        <v>36936</v>
      </c>
    </row>
    <row r="55" spans="1:5" x14ac:dyDescent="0.25">
      <c r="A55" s="22" t="s">
        <v>82</v>
      </c>
      <c r="B55" s="31" t="s">
        <v>83</v>
      </c>
      <c r="C55" s="38">
        <f>C56</f>
        <v>17139561</v>
      </c>
      <c r="D55" s="38">
        <f t="shared" ref="D55:E55" si="10">D56</f>
        <v>8954265</v>
      </c>
      <c r="E55" s="38">
        <f t="shared" si="10"/>
        <v>26093826</v>
      </c>
    </row>
    <row r="56" spans="1:5" ht="28.5" x14ac:dyDescent="0.25">
      <c r="A56" s="27" t="s">
        <v>84</v>
      </c>
      <c r="B56" s="31" t="s">
        <v>89</v>
      </c>
      <c r="C56" s="38">
        <f>SUM(C57:C60)</f>
        <v>17139561</v>
      </c>
      <c r="D56" s="44">
        <f t="shared" ref="D56:E56" si="11">SUM(D57:D60)</f>
        <v>8954265</v>
      </c>
      <c r="E56" s="38">
        <f t="shared" si="11"/>
        <v>26093826</v>
      </c>
    </row>
    <row r="57" spans="1:5" ht="30" x14ac:dyDescent="0.25">
      <c r="A57" s="24" t="s">
        <v>85</v>
      </c>
      <c r="B57" s="35" t="s">
        <v>89</v>
      </c>
      <c r="C57" s="40">
        <f>9321804+150302+44484</f>
        <v>9516590</v>
      </c>
      <c r="D57" s="42">
        <f>5067694-40</f>
        <v>5067654</v>
      </c>
      <c r="E57" s="40">
        <f>C57+D57</f>
        <v>14584244</v>
      </c>
    </row>
    <row r="58" spans="1:5" ht="74.25" customHeight="1" x14ac:dyDescent="0.25">
      <c r="A58" s="24" t="s">
        <v>86</v>
      </c>
      <c r="B58" s="35" t="s">
        <v>90</v>
      </c>
      <c r="C58" s="40">
        <f>404209+4351877+718027</f>
        <v>5474113</v>
      </c>
      <c r="D58" s="42">
        <v>3886611</v>
      </c>
      <c r="E58" s="40">
        <f t="shared" ref="E58:E60" si="12">C58+D58</f>
        <v>9360724</v>
      </c>
    </row>
    <row r="59" spans="1:5" ht="30" customHeight="1" x14ac:dyDescent="0.25">
      <c r="A59" s="24" t="s">
        <v>87</v>
      </c>
      <c r="B59" s="35" t="s">
        <v>92</v>
      </c>
      <c r="C59" s="40">
        <v>2121854</v>
      </c>
      <c r="D59" s="42">
        <v>0</v>
      </c>
      <c r="E59" s="40">
        <f t="shared" si="12"/>
        <v>2121854</v>
      </c>
    </row>
    <row r="60" spans="1:5" ht="30" x14ac:dyDescent="0.25">
      <c r="A60" s="90" t="s">
        <v>88</v>
      </c>
      <c r="B60" s="91" t="s">
        <v>91</v>
      </c>
      <c r="C60" s="42">
        <f>23004+4000</f>
        <v>27004</v>
      </c>
      <c r="D60" s="42">
        <v>0</v>
      </c>
      <c r="E60" s="42">
        <f t="shared" si="12"/>
        <v>27004</v>
      </c>
    </row>
    <row r="61" spans="1:5" x14ac:dyDescent="0.25">
      <c r="A61" s="22" t="s">
        <v>93</v>
      </c>
      <c r="B61" s="31" t="s">
        <v>363</v>
      </c>
      <c r="C61" s="38">
        <f>C62</f>
        <v>681852</v>
      </c>
      <c r="D61" s="44">
        <f t="shared" ref="D61:E61" si="13">D62</f>
        <v>0</v>
      </c>
      <c r="E61" s="38">
        <f t="shared" si="13"/>
        <v>681852</v>
      </c>
    </row>
    <row r="62" spans="1:5" ht="30" x14ac:dyDescent="0.25">
      <c r="A62" s="24" t="s">
        <v>94</v>
      </c>
      <c r="B62" s="35" t="s">
        <v>95</v>
      </c>
      <c r="C62" s="40">
        <f>691276-11181+1757</f>
        <v>681852</v>
      </c>
      <c r="D62" s="42">
        <v>0</v>
      </c>
      <c r="E62" s="40">
        <f>C62+D62</f>
        <v>681852</v>
      </c>
    </row>
    <row r="63" spans="1:5" ht="28.5" x14ac:dyDescent="0.25">
      <c r="A63" s="25"/>
      <c r="B63" s="13" t="s">
        <v>96</v>
      </c>
      <c r="C63" s="37">
        <f>C64</f>
        <v>1734308</v>
      </c>
      <c r="D63" s="37">
        <f t="shared" ref="D63:E63" si="14">D64</f>
        <v>119392</v>
      </c>
      <c r="E63" s="37">
        <f t="shared" si="14"/>
        <v>1853700</v>
      </c>
    </row>
    <row r="64" spans="1:5" x14ac:dyDescent="0.25">
      <c r="A64" s="22" t="s">
        <v>97</v>
      </c>
      <c r="B64" s="31" t="s">
        <v>98</v>
      </c>
      <c r="C64" s="38">
        <f>C65+C68+C74</f>
        <v>1734308</v>
      </c>
      <c r="D64" s="38">
        <f>D65+D68+D74</f>
        <v>119392</v>
      </c>
      <c r="E64" s="38">
        <f>E65+E68+E74</f>
        <v>1853700</v>
      </c>
    </row>
    <row r="65" spans="1:5" ht="28.5" x14ac:dyDescent="0.25">
      <c r="A65" s="118" t="s">
        <v>99</v>
      </c>
      <c r="B65" s="117" t="s">
        <v>100</v>
      </c>
      <c r="C65" s="44">
        <f>C66+C67</f>
        <v>406</v>
      </c>
      <c r="D65" s="44">
        <f>D66+D67</f>
        <v>83872</v>
      </c>
      <c r="E65" s="44">
        <f>C65+D65</f>
        <v>84278</v>
      </c>
    </row>
    <row r="66" spans="1:5" ht="45" hidden="1" x14ac:dyDescent="0.25">
      <c r="A66" s="90" t="s">
        <v>388</v>
      </c>
      <c r="B66" s="91" t="s">
        <v>389</v>
      </c>
      <c r="C66" s="42">
        <v>0</v>
      </c>
      <c r="D66" s="42"/>
      <c r="E66" s="42">
        <f>C66+D66</f>
        <v>0</v>
      </c>
    </row>
    <row r="67" spans="1:5" ht="78.75" customHeight="1" x14ac:dyDescent="0.25">
      <c r="A67" s="90" t="s">
        <v>429</v>
      </c>
      <c r="B67" s="91" t="s">
        <v>430</v>
      </c>
      <c r="C67" s="42">
        <f>406</f>
        <v>406</v>
      </c>
      <c r="D67" s="42">
        <v>83872</v>
      </c>
      <c r="E67" s="42">
        <f>C67+D67</f>
        <v>84278</v>
      </c>
    </row>
    <row r="68" spans="1:5" ht="28.5" x14ac:dyDescent="0.25">
      <c r="A68" s="27" t="s">
        <v>101</v>
      </c>
      <c r="B68" s="31" t="s">
        <v>102</v>
      </c>
      <c r="C68" s="38">
        <f>SUM(C69:C73)</f>
        <v>1639728</v>
      </c>
      <c r="D68" s="38">
        <f>SUM(D69:D73)</f>
        <v>8620</v>
      </c>
      <c r="E68" s="38">
        <f>SUM(E69:E73)</f>
        <v>1648348</v>
      </c>
    </row>
    <row r="69" spans="1:5" ht="46.5" hidden="1" customHeight="1" x14ac:dyDescent="0.25">
      <c r="A69" s="23" t="s">
        <v>103</v>
      </c>
      <c r="B69" s="34" t="s">
        <v>108</v>
      </c>
      <c r="C69" s="39">
        <v>0</v>
      </c>
      <c r="D69" s="39"/>
      <c r="E69" s="39">
        <f>C69+D69</f>
        <v>0</v>
      </c>
    </row>
    <row r="70" spans="1:5" x14ac:dyDescent="0.25">
      <c r="A70" s="24" t="s">
        <v>104</v>
      </c>
      <c r="B70" s="35" t="s">
        <v>109</v>
      </c>
      <c r="C70" s="40">
        <f>270258+9010+4378</f>
        <v>283646</v>
      </c>
      <c r="D70" s="42">
        <v>1200</v>
      </c>
      <c r="E70" s="40">
        <f t="shared" ref="E70:E73" si="15">C70+D70</f>
        <v>284846</v>
      </c>
    </row>
    <row r="71" spans="1:5" ht="31.5" customHeight="1" x14ac:dyDescent="0.25">
      <c r="A71" s="24" t="s">
        <v>105</v>
      </c>
      <c r="B71" s="35" t="s">
        <v>111</v>
      </c>
      <c r="C71" s="40">
        <v>500</v>
      </c>
      <c r="D71" s="42">
        <v>0</v>
      </c>
      <c r="E71" s="40">
        <f t="shared" si="15"/>
        <v>500</v>
      </c>
    </row>
    <row r="72" spans="1:5" x14ac:dyDescent="0.25">
      <c r="A72" s="24" t="s">
        <v>106</v>
      </c>
      <c r="B72" s="35" t="s">
        <v>110</v>
      </c>
      <c r="C72" s="40">
        <f>472903-30500+9106</f>
        <v>451509</v>
      </c>
      <c r="D72" s="42">
        <v>0</v>
      </c>
      <c r="E72" s="40">
        <f t="shared" si="15"/>
        <v>451509</v>
      </c>
    </row>
    <row r="73" spans="1:5" ht="30" x14ac:dyDescent="0.25">
      <c r="A73" s="24" t="s">
        <v>107</v>
      </c>
      <c r="B73" s="35" t="s">
        <v>364</v>
      </c>
      <c r="C73" s="40">
        <f>714475+124563+65035</f>
        <v>904073</v>
      </c>
      <c r="D73" s="89">
        <f>5000+2420</f>
        <v>7420</v>
      </c>
      <c r="E73" s="40">
        <f t="shared" si="15"/>
        <v>911493</v>
      </c>
    </row>
    <row r="74" spans="1:5" ht="48" customHeight="1" x14ac:dyDescent="0.25">
      <c r="A74" s="27" t="s">
        <v>438</v>
      </c>
      <c r="B74" s="31" t="s">
        <v>487</v>
      </c>
      <c r="C74" s="38">
        <f>C75+C76</f>
        <v>94174</v>
      </c>
      <c r="D74" s="38">
        <f>D75+D76</f>
        <v>26900</v>
      </c>
      <c r="E74" s="38">
        <f>E75+E76</f>
        <v>121074</v>
      </c>
    </row>
    <row r="75" spans="1:5" ht="30" x14ac:dyDescent="0.25">
      <c r="A75" s="24" t="s">
        <v>442</v>
      </c>
      <c r="B75" s="35" t="s">
        <v>444</v>
      </c>
      <c r="C75" s="40">
        <f>10960-6800</f>
        <v>4160</v>
      </c>
      <c r="D75" s="42">
        <v>0</v>
      </c>
      <c r="E75" s="40">
        <f t="shared" ref="E75:E76" si="16">C75+D75</f>
        <v>4160</v>
      </c>
    </row>
    <row r="76" spans="1:5" x14ac:dyDescent="0.25">
      <c r="A76" s="24" t="s">
        <v>443</v>
      </c>
      <c r="B76" s="35" t="s">
        <v>445</v>
      </c>
      <c r="C76" s="40">
        <f>76182+32303-18471</f>
        <v>90014</v>
      </c>
      <c r="D76" s="89">
        <v>26900</v>
      </c>
      <c r="E76" s="40">
        <f t="shared" si="16"/>
        <v>116914</v>
      </c>
    </row>
    <row r="77" spans="1:5" ht="18.75" x14ac:dyDescent="0.25">
      <c r="A77" s="29"/>
      <c r="B77" s="14" t="s">
        <v>112</v>
      </c>
      <c r="C77" s="36">
        <f>C78+C79</f>
        <v>17458423</v>
      </c>
      <c r="D77" s="36">
        <f t="shared" ref="D77:E77" si="17">D78+D79</f>
        <v>3850304</v>
      </c>
      <c r="E77" s="36">
        <f t="shared" si="17"/>
        <v>21308727</v>
      </c>
    </row>
    <row r="78" spans="1:5" x14ac:dyDescent="0.25">
      <c r="A78" s="30" t="s">
        <v>113</v>
      </c>
      <c r="B78" s="33" t="s">
        <v>115</v>
      </c>
      <c r="C78" s="40">
        <v>4197547</v>
      </c>
      <c r="D78" s="40">
        <v>0</v>
      </c>
      <c r="E78" s="40">
        <f>C78+D78</f>
        <v>4197547</v>
      </c>
    </row>
    <row r="79" spans="1:5" x14ac:dyDescent="0.25">
      <c r="A79" s="30" t="s">
        <v>114</v>
      </c>
      <c r="B79" s="33" t="s">
        <v>116</v>
      </c>
      <c r="C79" s="40">
        <f>8031893+2964162+2264821</f>
        <v>13260876</v>
      </c>
      <c r="D79" s="42">
        <f>3655304+20000+175000</f>
        <v>3850304</v>
      </c>
      <c r="E79" s="40">
        <f>C79+D79</f>
        <v>17111180</v>
      </c>
    </row>
    <row r="80" spans="1:5" ht="18.75" x14ac:dyDescent="0.25">
      <c r="A80" s="49"/>
      <c r="B80" s="14" t="s">
        <v>117</v>
      </c>
      <c r="C80" s="36">
        <f>C9+C77</f>
        <v>82330602</v>
      </c>
      <c r="D80" s="36">
        <f>D9+D77</f>
        <v>12922353</v>
      </c>
      <c r="E80" s="36">
        <f>E9+E77</f>
        <v>95252955</v>
      </c>
    </row>
    <row r="83" spans="1:5" ht="18.75" x14ac:dyDescent="0.3">
      <c r="A83" s="100" t="s">
        <v>123</v>
      </c>
      <c r="B83" s="101"/>
      <c r="C83" s="12"/>
      <c r="D83" s="12"/>
      <c r="E83" s="12" t="s">
        <v>124</v>
      </c>
    </row>
  </sheetData>
  <mergeCells count="5">
    <mergeCell ref="D1:E1"/>
    <mergeCell ref="C2:E2"/>
    <mergeCell ref="C3:E3"/>
    <mergeCell ref="A5:E5"/>
    <mergeCell ref="A6:E6"/>
  </mergeCells>
  <printOptions horizontalCentered="1"/>
  <pageMargins left="1.1811023622047245" right="0.59055118110236227" top="0.78740157480314965" bottom="0.78740157480314965" header="0.19685039370078741" footer="0.19685039370078741"/>
  <pageSetup paperSize="9" scale="87" fitToHeight="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D11" sqref="D11:G11"/>
    </sheetView>
  </sheetViews>
  <sheetFormatPr defaultColWidth="9.140625" defaultRowHeight="15" x14ac:dyDescent="0.25"/>
  <cols>
    <col min="1" max="1" width="11.140625" style="1" customWidth="1"/>
    <col min="2" max="2" width="44.85546875" style="1" customWidth="1"/>
    <col min="3" max="3" width="16.140625" style="1" customWidth="1"/>
    <col min="4" max="4" width="15.28515625" style="1" customWidth="1"/>
    <col min="5" max="5" width="14" style="1" customWidth="1"/>
    <col min="6" max="6" width="13.42578125" style="1" customWidth="1"/>
    <col min="7" max="7" width="13.85546875" style="1" customWidth="1"/>
    <col min="8" max="8" width="15.42578125" style="1" customWidth="1"/>
    <col min="9" max="16384" width="9.140625" style="1"/>
  </cols>
  <sheetData>
    <row r="1" spans="1:10" x14ac:dyDescent="0.25">
      <c r="A1" s="1" t="s">
        <v>0</v>
      </c>
      <c r="G1" s="497" t="s">
        <v>149</v>
      </c>
      <c r="H1" s="497"/>
      <c r="J1" s="2"/>
    </row>
    <row r="2" spans="1:10" x14ac:dyDescent="0.25">
      <c r="F2" s="497" t="s">
        <v>377</v>
      </c>
      <c r="G2" s="497"/>
      <c r="H2" s="497"/>
      <c r="I2" s="6"/>
      <c r="J2" s="2"/>
    </row>
    <row r="3" spans="1:10" x14ac:dyDescent="0.25">
      <c r="H3" s="438" t="s">
        <v>1000</v>
      </c>
      <c r="I3" s="11"/>
      <c r="J3" s="11"/>
    </row>
    <row r="5" spans="1:10" ht="18.75" x14ac:dyDescent="0.3">
      <c r="A5" s="501" t="s">
        <v>439</v>
      </c>
      <c r="B5" s="501"/>
      <c r="C5" s="501"/>
      <c r="D5" s="501"/>
      <c r="E5" s="501"/>
      <c r="F5" s="501"/>
      <c r="G5" s="501"/>
      <c r="H5" s="501"/>
    </row>
    <row r="6" spans="1:10" x14ac:dyDescent="0.25">
      <c r="A6" s="502" t="s">
        <v>126</v>
      </c>
      <c r="B6" s="502"/>
      <c r="C6" s="502"/>
      <c r="D6" s="502"/>
      <c r="E6" s="502"/>
      <c r="F6" s="502"/>
      <c r="G6" s="502"/>
      <c r="H6" s="502"/>
    </row>
    <row r="7" spans="1:10" x14ac:dyDescent="0.25">
      <c r="H7" s="21" t="s">
        <v>12</v>
      </c>
    </row>
    <row r="8" spans="1:10" s="3" customFormat="1" ht="15" customHeight="1" x14ac:dyDescent="0.2">
      <c r="A8" s="499" t="s">
        <v>5</v>
      </c>
      <c r="B8" s="499" t="s">
        <v>119</v>
      </c>
      <c r="C8" s="499" t="s">
        <v>440</v>
      </c>
      <c r="D8" s="498" t="s">
        <v>4</v>
      </c>
      <c r="E8" s="498"/>
      <c r="F8" s="498"/>
      <c r="G8" s="498"/>
      <c r="H8" s="500" t="s">
        <v>1001</v>
      </c>
    </row>
    <row r="9" spans="1:10" s="3" customFormat="1" ht="42.75" x14ac:dyDescent="0.2">
      <c r="A9" s="499"/>
      <c r="B9" s="499"/>
      <c r="C9" s="499"/>
      <c r="D9" s="7" t="s">
        <v>121</v>
      </c>
      <c r="E9" s="7" t="s">
        <v>122</v>
      </c>
      <c r="F9" s="7" t="s">
        <v>83</v>
      </c>
      <c r="G9" s="7" t="s">
        <v>153</v>
      </c>
      <c r="H9" s="500"/>
    </row>
    <row r="10" spans="1:10" ht="37.5" x14ac:dyDescent="0.3">
      <c r="A10" s="8"/>
      <c r="B10" s="14" t="s">
        <v>125</v>
      </c>
      <c r="C10" s="45">
        <f>SUM(C11:C19)</f>
        <v>76609288</v>
      </c>
      <c r="D10" s="45">
        <f t="shared" ref="D10:G10" si="0">SUM(D11:D19)</f>
        <v>765464</v>
      </c>
      <c r="E10" s="45">
        <f t="shared" si="0"/>
        <v>117784</v>
      </c>
      <c r="F10" s="45">
        <f t="shared" si="0"/>
        <v>8954265</v>
      </c>
      <c r="G10" s="45">
        <f t="shared" si="0"/>
        <v>0</v>
      </c>
      <c r="H10" s="45">
        <f>C10+D10+E10+F10+G10</f>
        <v>86446801</v>
      </c>
    </row>
    <row r="11" spans="1:10" x14ac:dyDescent="0.25">
      <c r="A11" s="30" t="s">
        <v>127</v>
      </c>
      <c r="B11" s="10" t="s">
        <v>136</v>
      </c>
      <c r="C11" s="46">
        <v>6392590</v>
      </c>
      <c r="D11" s="46">
        <f>'3.pielikums'!E12</f>
        <v>-1221</v>
      </c>
      <c r="E11" s="46">
        <f>'3.pielikums'!G12</f>
        <v>83872</v>
      </c>
      <c r="F11" s="46">
        <f>'3.pielikums'!I12</f>
        <v>184701</v>
      </c>
      <c r="G11" s="46">
        <f>'3.pielikums'!K12</f>
        <v>0</v>
      </c>
      <c r="H11" s="47">
        <f t="shared" ref="H11:H29" si="1">C11+D11+E11+F11+G11</f>
        <v>6659942</v>
      </c>
    </row>
    <row r="12" spans="1:10" x14ac:dyDescent="0.25">
      <c r="A12" s="30" t="s">
        <v>128</v>
      </c>
      <c r="B12" s="10" t="s">
        <v>137</v>
      </c>
      <c r="C12" s="46">
        <v>3521644</v>
      </c>
      <c r="D12" s="46">
        <f>'3.pielikums'!E31</f>
        <v>0</v>
      </c>
      <c r="E12" s="46">
        <f>'3.pielikums'!G31</f>
        <v>0</v>
      </c>
      <c r="F12" s="46">
        <f>'3.pielikums'!I31</f>
        <v>0</v>
      </c>
      <c r="G12" s="46">
        <f>'3.pielikums'!K31</f>
        <v>0</v>
      </c>
      <c r="H12" s="47">
        <f t="shared" si="1"/>
        <v>3521644</v>
      </c>
    </row>
    <row r="13" spans="1:10" x14ac:dyDescent="0.25">
      <c r="A13" s="30" t="s">
        <v>129</v>
      </c>
      <c r="B13" s="10" t="s">
        <v>138</v>
      </c>
      <c r="C13" s="46">
        <v>6934717</v>
      </c>
      <c r="D13" s="46">
        <f>'3.pielikums'!E37</f>
        <v>154126</v>
      </c>
      <c r="E13" s="46">
        <f>'3.pielikums'!G37</f>
        <v>0</v>
      </c>
      <c r="F13" s="46">
        <f>'3.pielikums'!I37</f>
        <v>1121427</v>
      </c>
      <c r="G13" s="46">
        <f>'3.pielikums'!K37</f>
        <v>0</v>
      </c>
      <c r="H13" s="47">
        <f t="shared" si="1"/>
        <v>8210270</v>
      </c>
    </row>
    <row r="14" spans="1:10" x14ac:dyDescent="0.25">
      <c r="A14" s="30" t="s">
        <v>130</v>
      </c>
      <c r="B14" s="10" t="s">
        <v>139</v>
      </c>
      <c r="C14" s="46">
        <v>2341812</v>
      </c>
      <c r="D14" s="46">
        <f>'3.pielikums'!E56</f>
        <v>42168</v>
      </c>
      <c r="E14" s="46">
        <f>'3.pielikums'!G56</f>
        <v>0</v>
      </c>
      <c r="F14" s="46">
        <f>'3.pielikums'!I56</f>
        <v>0</v>
      </c>
      <c r="G14" s="46">
        <f>'3.pielikums'!K56</f>
        <v>0</v>
      </c>
      <c r="H14" s="47">
        <f t="shared" si="1"/>
        <v>2383980</v>
      </c>
    </row>
    <row r="15" spans="1:10" x14ac:dyDescent="0.25">
      <c r="A15" s="30" t="s">
        <v>131</v>
      </c>
      <c r="B15" s="10" t="s">
        <v>140</v>
      </c>
      <c r="C15" s="46">
        <v>4654307</v>
      </c>
      <c r="D15" s="46">
        <f>'3.pielikums'!E66</f>
        <v>-41721</v>
      </c>
      <c r="E15" s="46">
        <f>'3.pielikums'!G66</f>
        <v>0</v>
      </c>
      <c r="F15" s="46">
        <f>'3.pielikums'!I66</f>
        <v>3000</v>
      </c>
      <c r="G15" s="46">
        <f>'3.pielikums'!K66</f>
        <v>0</v>
      </c>
      <c r="H15" s="47">
        <f t="shared" si="1"/>
        <v>4615586</v>
      </c>
    </row>
    <row r="16" spans="1:10" x14ac:dyDescent="0.25">
      <c r="A16" s="30" t="s">
        <v>132</v>
      </c>
      <c r="B16" s="10" t="s">
        <v>141</v>
      </c>
      <c r="C16" s="46">
        <v>323160</v>
      </c>
      <c r="D16" s="46">
        <f>'3.pielikums'!E77</f>
        <v>0</v>
      </c>
      <c r="E16" s="46">
        <f>'3.pielikums'!G77</f>
        <v>0</v>
      </c>
      <c r="F16" s="46">
        <f>'3.pielikums'!I77</f>
        <v>132167</v>
      </c>
      <c r="G16" s="46">
        <f>'3.pielikums'!K77</f>
        <v>0</v>
      </c>
      <c r="H16" s="47">
        <f t="shared" si="1"/>
        <v>455327</v>
      </c>
    </row>
    <row r="17" spans="1:8" x14ac:dyDescent="0.25">
      <c r="A17" s="30" t="s">
        <v>26</v>
      </c>
      <c r="B17" s="10" t="s">
        <v>142</v>
      </c>
      <c r="C17" s="46">
        <v>9701282</v>
      </c>
      <c r="D17" s="46">
        <f>'3.pielikums'!E84</f>
        <v>391391</v>
      </c>
      <c r="E17" s="46">
        <f>'3.pielikums'!G84</f>
        <v>7420</v>
      </c>
      <c r="F17" s="46">
        <f>'3.pielikums'!I84</f>
        <v>837498</v>
      </c>
      <c r="G17" s="46">
        <f>'3.pielikums'!K84</f>
        <v>0</v>
      </c>
      <c r="H17" s="47">
        <f t="shared" si="1"/>
        <v>10937591</v>
      </c>
    </row>
    <row r="18" spans="1:8" x14ac:dyDescent="0.25">
      <c r="A18" s="30" t="s">
        <v>30</v>
      </c>
      <c r="B18" s="10" t="s">
        <v>143</v>
      </c>
      <c r="C18" s="46">
        <v>37890688</v>
      </c>
      <c r="D18" s="46">
        <f>'3.pielikums'!E116</f>
        <v>237276</v>
      </c>
      <c r="E18" s="46">
        <f>'3.pielikums'!G116</f>
        <v>26492</v>
      </c>
      <c r="F18" s="46">
        <f>'3.pielikums'!I116</f>
        <v>6675472</v>
      </c>
      <c r="G18" s="46">
        <f>'3.pielikums'!K116</f>
        <v>0</v>
      </c>
      <c r="H18" s="47">
        <f t="shared" si="1"/>
        <v>44829928</v>
      </c>
    </row>
    <row r="19" spans="1:8" x14ac:dyDescent="0.25">
      <c r="A19" s="30" t="s">
        <v>56</v>
      </c>
      <c r="B19" s="10" t="s">
        <v>144</v>
      </c>
      <c r="C19" s="46">
        <v>4849088</v>
      </c>
      <c r="D19" s="46">
        <f>'3.pielikums'!E151</f>
        <v>-16555</v>
      </c>
      <c r="E19" s="46">
        <f>'3.pielikums'!G151</f>
        <v>0</v>
      </c>
      <c r="F19" s="46">
        <f>'3.pielikums'!I151</f>
        <v>0</v>
      </c>
      <c r="G19" s="46">
        <f>'3.pielikums'!K151</f>
        <v>0</v>
      </c>
      <c r="H19" s="47">
        <f t="shared" si="1"/>
        <v>4832533</v>
      </c>
    </row>
    <row r="20" spans="1:8" ht="18.75" x14ac:dyDescent="0.3">
      <c r="A20" s="49"/>
      <c r="B20" s="15" t="s">
        <v>133</v>
      </c>
      <c r="C20" s="45">
        <f>C21+C22+C28</f>
        <v>5721314</v>
      </c>
      <c r="D20" s="45">
        <f>D21+D22+D28</f>
        <v>3084840</v>
      </c>
      <c r="E20" s="45">
        <f>E21+E22+E28</f>
        <v>0</v>
      </c>
      <c r="F20" s="45">
        <f>F21+F22+F28</f>
        <v>0</v>
      </c>
      <c r="G20" s="45">
        <f>G21+G22+G28</f>
        <v>0</v>
      </c>
      <c r="H20" s="45">
        <f t="shared" si="1"/>
        <v>8806154</v>
      </c>
    </row>
    <row r="21" spans="1:8" x14ac:dyDescent="0.25">
      <c r="A21" s="30" t="s">
        <v>134</v>
      </c>
      <c r="B21" s="30" t="s">
        <v>145</v>
      </c>
      <c r="C21" s="46">
        <v>4854961</v>
      </c>
      <c r="D21" s="46">
        <f>'3.pielikums'!E182</f>
        <v>-161191</v>
      </c>
      <c r="E21" s="46">
        <f>'3.pielikums'!G182</f>
        <v>0</v>
      </c>
      <c r="F21" s="46">
        <f>'3.pielikums'!I182</f>
        <v>0</v>
      </c>
      <c r="G21" s="46">
        <f>'3.pielikums'!K182</f>
        <v>0</v>
      </c>
      <c r="H21" s="47">
        <f t="shared" si="1"/>
        <v>4693770</v>
      </c>
    </row>
    <row r="22" spans="1:8" x14ac:dyDescent="0.25">
      <c r="A22" s="30" t="s">
        <v>135</v>
      </c>
      <c r="B22" s="33" t="s">
        <v>146</v>
      </c>
      <c r="C22" s="46">
        <f>SUM(C23:C27)</f>
        <v>230153</v>
      </c>
      <c r="D22" s="46">
        <f>SUM(D23:D27)</f>
        <v>3482844</v>
      </c>
      <c r="E22" s="46">
        <f>SUM(E23:E27)</f>
        <v>0</v>
      </c>
      <c r="F22" s="46">
        <f>SUM(F23:F27)</f>
        <v>0</v>
      </c>
      <c r="G22" s="46">
        <f>SUM(G23:G27)</f>
        <v>0</v>
      </c>
      <c r="H22" s="47">
        <f t="shared" si="1"/>
        <v>3712997</v>
      </c>
    </row>
    <row r="23" spans="1:8" hidden="1" x14ac:dyDescent="0.25">
      <c r="A23" s="30"/>
      <c r="B23" s="20" t="s">
        <v>412</v>
      </c>
      <c r="C23" s="102"/>
      <c r="D23" s="102">
        <f>'3.pielikums'!E184</f>
        <v>0</v>
      </c>
      <c r="E23" s="102">
        <f>'3.pielikums'!G184</f>
        <v>0</v>
      </c>
      <c r="F23" s="102">
        <f>'3.pielikums'!I184</f>
        <v>0</v>
      </c>
      <c r="G23" s="102">
        <f>'3.pielikums'!K184</f>
        <v>0</v>
      </c>
      <c r="H23" s="103">
        <f t="shared" si="1"/>
        <v>0</v>
      </c>
    </row>
    <row r="24" spans="1:8" x14ac:dyDescent="0.25">
      <c r="A24" s="30"/>
      <c r="B24" s="128" t="s">
        <v>382</v>
      </c>
      <c r="C24" s="129">
        <v>0</v>
      </c>
      <c r="D24" s="129">
        <f>'3.pielikums'!E185</f>
        <v>3482844</v>
      </c>
      <c r="E24" s="129">
        <f>'3.pielikums'!G185</f>
        <v>0</v>
      </c>
      <c r="F24" s="129">
        <f>'3.pielikums'!I185</f>
        <v>0</v>
      </c>
      <c r="G24" s="129">
        <f>'3.pielikums'!K185</f>
        <v>0</v>
      </c>
      <c r="H24" s="130">
        <f t="shared" si="1"/>
        <v>3482844</v>
      </c>
    </row>
    <row r="25" spans="1:8" x14ac:dyDescent="0.25">
      <c r="A25" s="30"/>
      <c r="B25" s="128" t="s">
        <v>383</v>
      </c>
      <c r="C25" s="129">
        <v>230153</v>
      </c>
      <c r="D25" s="129">
        <f>'3.pielikums'!E186</f>
        <v>0</v>
      </c>
      <c r="E25" s="129">
        <f>'3.pielikums'!G186</f>
        <v>0</v>
      </c>
      <c r="F25" s="129">
        <f>'3.pielikums'!I186</f>
        <v>0</v>
      </c>
      <c r="G25" s="129">
        <f>'3.pielikums'!K186</f>
        <v>0</v>
      </c>
      <c r="H25" s="130">
        <f t="shared" si="1"/>
        <v>230153</v>
      </c>
    </row>
    <row r="26" spans="1:8" hidden="1" x14ac:dyDescent="0.25">
      <c r="A26" s="30"/>
      <c r="B26" s="20" t="s">
        <v>381</v>
      </c>
      <c r="C26" s="102"/>
      <c r="D26" s="102">
        <f>'3.pielikums'!E187</f>
        <v>0</v>
      </c>
      <c r="E26" s="102">
        <f>'3.pielikums'!G187</f>
        <v>0</v>
      </c>
      <c r="F26" s="102">
        <f>'3.pielikums'!I187</f>
        <v>0</v>
      </c>
      <c r="G26" s="102">
        <f>'3.pielikums'!K187</f>
        <v>0</v>
      </c>
      <c r="H26" s="103">
        <f t="shared" si="1"/>
        <v>0</v>
      </c>
    </row>
    <row r="27" spans="1:8" hidden="1" x14ac:dyDescent="0.25">
      <c r="A27" s="30"/>
      <c r="B27" s="20" t="s">
        <v>380</v>
      </c>
      <c r="C27" s="102"/>
      <c r="D27" s="102">
        <f>'3.pielikums'!E188</f>
        <v>0</v>
      </c>
      <c r="E27" s="102">
        <f>'3.pielikums'!G188</f>
        <v>0</v>
      </c>
      <c r="F27" s="102">
        <f>'3.pielikums'!I188</f>
        <v>0</v>
      </c>
      <c r="G27" s="102">
        <f>'3.pielikums'!K188</f>
        <v>0</v>
      </c>
      <c r="H27" s="103">
        <f t="shared" si="1"/>
        <v>0</v>
      </c>
    </row>
    <row r="28" spans="1:8" x14ac:dyDescent="0.25">
      <c r="A28" s="30" t="s">
        <v>113</v>
      </c>
      <c r="B28" s="48" t="s">
        <v>148</v>
      </c>
      <c r="C28" s="46">
        <f>828973-192773</f>
        <v>636200</v>
      </c>
      <c r="D28" s="46">
        <f>'3.pielikums'!E189</f>
        <v>-236813</v>
      </c>
      <c r="E28" s="46">
        <f>'3.pielikums'!G189</f>
        <v>0</v>
      </c>
      <c r="F28" s="46">
        <f>'3.pielikums'!I189</f>
        <v>0</v>
      </c>
      <c r="G28" s="46">
        <f>'3.pielikums'!K189</f>
        <v>0</v>
      </c>
      <c r="H28" s="47">
        <f t="shared" si="1"/>
        <v>399387</v>
      </c>
    </row>
    <row r="29" spans="1:8" ht="18.75" x14ac:dyDescent="0.3">
      <c r="A29" s="9"/>
      <c r="B29" s="15" t="s">
        <v>147</v>
      </c>
      <c r="C29" s="45">
        <f>C10+C20</f>
        <v>82330602</v>
      </c>
      <c r="D29" s="45">
        <f t="shared" ref="D29:G29" si="2">D10+D20</f>
        <v>3850304</v>
      </c>
      <c r="E29" s="45">
        <f t="shared" si="2"/>
        <v>117784</v>
      </c>
      <c r="F29" s="45">
        <f t="shared" si="2"/>
        <v>8954265</v>
      </c>
      <c r="G29" s="45">
        <f t="shared" si="2"/>
        <v>0</v>
      </c>
      <c r="H29" s="45">
        <f t="shared" si="1"/>
        <v>95252955</v>
      </c>
    </row>
    <row r="31" spans="1:8" ht="18.75" x14ac:dyDescent="0.3">
      <c r="A31" s="12" t="s">
        <v>123</v>
      </c>
      <c r="H31" s="12" t="s">
        <v>124</v>
      </c>
    </row>
  </sheetData>
  <mergeCells count="9">
    <mergeCell ref="F2:H2"/>
    <mergeCell ref="G1:H1"/>
    <mergeCell ref="D8:G8"/>
    <mergeCell ref="A8:A9"/>
    <mergeCell ref="B8:B9"/>
    <mergeCell ref="C8:C9"/>
    <mergeCell ref="H8:H9"/>
    <mergeCell ref="A5:H5"/>
    <mergeCell ref="A6:H6"/>
  </mergeCells>
  <printOptions horizontalCentered="1"/>
  <pageMargins left="0.78740157480314965" right="0.78740157480314965" top="1.1811023622047245" bottom="0.59055118110236227" header="0.19685039370078741" footer="0.19685039370078741"/>
  <pageSetup paperSize="9"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3"/>
  <sheetViews>
    <sheetView zoomScaleNormal="100" workbookViewId="0">
      <pane ySplit="10" topLeftCell="A11" activePane="bottomLeft" state="frozen"/>
      <selection pane="bottomLeft" activeCell="B155" sqref="B155"/>
    </sheetView>
  </sheetViews>
  <sheetFormatPr defaultColWidth="9.140625" defaultRowHeight="15" x14ac:dyDescent="0.25"/>
  <cols>
    <col min="1" max="1" width="10.5703125" style="1" customWidth="1"/>
    <col min="2" max="2" width="30.5703125" style="4" customWidth="1"/>
    <col min="3" max="3" width="11.42578125" style="3" customWidth="1"/>
    <col min="4" max="4" width="11.85546875" style="1" customWidth="1"/>
    <col min="5" max="5" width="11.5703125" style="1" customWidth="1"/>
    <col min="6" max="6" width="10.140625" style="1" customWidth="1"/>
    <col min="7" max="7" width="10.85546875" style="1" customWidth="1"/>
    <col min="8" max="8" width="11.85546875" style="1" customWidth="1"/>
    <col min="9" max="9" width="11.42578125" style="1" customWidth="1"/>
    <col min="10" max="11" width="9.5703125" style="1" customWidth="1"/>
    <col min="12" max="12" width="10.28515625" style="1" customWidth="1"/>
    <col min="13" max="16384" width="9.140625" style="1"/>
  </cols>
  <sheetData>
    <row r="1" spans="1:12" x14ac:dyDescent="0.25">
      <c r="A1" s="1" t="s">
        <v>0</v>
      </c>
      <c r="K1" s="497" t="s">
        <v>154</v>
      </c>
      <c r="L1" s="497"/>
    </row>
    <row r="2" spans="1:12" x14ac:dyDescent="0.25">
      <c r="H2" s="497" t="s">
        <v>377</v>
      </c>
      <c r="I2" s="497"/>
      <c r="J2" s="497"/>
      <c r="K2" s="497"/>
      <c r="L2" s="497"/>
    </row>
    <row r="3" spans="1:12" x14ac:dyDescent="0.25">
      <c r="L3" s="438" t="s">
        <v>1002</v>
      </c>
    </row>
    <row r="5" spans="1:12" ht="18.75" x14ac:dyDescent="0.3">
      <c r="A5" s="501" t="s">
        <v>439</v>
      </c>
      <c r="B5" s="501"/>
      <c r="C5" s="501"/>
      <c r="D5" s="501"/>
      <c r="E5" s="501"/>
      <c r="F5" s="501"/>
      <c r="G5" s="501"/>
      <c r="H5" s="501"/>
      <c r="I5" s="501"/>
      <c r="J5" s="501"/>
      <c r="K5" s="501"/>
      <c r="L5" s="501"/>
    </row>
    <row r="6" spans="1:12" x14ac:dyDescent="0.25">
      <c r="A6" s="502" t="s">
        <v>150</v>
      </c>
      <c r="B6" s="502"/>
      <c r="C6" s="502"/>
      <c r="D6" s="502"/>
      <c r="E6" s="502"/>
      <c r="F6" s="502"/>
      <c r="G6" s="502"/>
      <c r="H6" s="502"/>
      <c r="I6" s="502"/>
      <c r="J6" s="502"/>
      <c r="K6" s="502"/>
      <c r="L6" s="502"/>
    </row>
    <row r="7" spans="1:12" x14ac:dyDescent="0.25">
      <c r="L7" s="21" t="s">
        <v>12</v>
      </c>
    </row>
    <row r="8" spans="1:12" s="4" customFormat="1" x14ac:dyDescent="0.25">
      <c r="A8" s="505" t="s">
        <v>5</v>
      </c>
      <c r="B8" s="505" t="s">
        <v>119</v>
      </c>
      <c r="C8" s="506" t="s">
        <v>1001</v>
      </c>
      <c r="D8" s="505" t="s">
        <v>120</v>
      </c>
      <c r="E8" s="505"/>
      <c r="F8" s="505"/>
      <c r="G8" s="505"/>
      <c r="H8" s="505"/>
      <c r="I8" s="505"/>
      <c r="J8" s="505"/>
      <c r="K8" s="505"/>
      <c r="L8" s="505"/>
    </row>
    <row r="9" spans="1:12" s="4" customFormat="1" ht="48" x14ac:dyDescent="0.25">
      <c r="A9" s="505"/>
      <c r="B9" s="505"/>
      <c r="C9" s="506"/>
      <c r="D9" s="17" t="s">
        <v>121</v>
      </c>
      <c r="E9" s="18" t="s">
        <v>151</v>
      </c>
      <c r="F9" s="17" t="s">
        <v>122</v>
      </c>
      <c r="G9" s="18" t="s">
        <v>156</v>
      </c>
      <c r="H9" s="17" t="s">
        <v>83</v>
      </c>
      <c r="I9" s="18" t="s">
        <v>152</v>
      </c>
      <c r="J9" s="17" t="s">
        <v>153</v>
      </c>
      <c r="K9" s="18" t="s">
        <v>155</v>
      </c>
      <c r="L9" s="17" t="s">
        <v>441</v>
      </c>
    </row>
    <row r="10" spans="1:12" x14ac:dyDescent="0.25">
      <c r="A10" s="50">
        <v>1</v>
      </c>
      <c r="B10" s="51">
        <v>2</v>
      </c>
      <c r="C10" s="105"/>
      <c r="D10" s="52">
        <v>4</v>
      </c>
      <c r="E10" s="52">
        <v>5</v>
      </c>
      <c r="F10" s="52">
        <v>6</v>
      </c>
      <c r="G10" s="52">
        <v>7</v>
      </c>
      <c r="H10" s="52">
        <v>8</v>
      </c>
      <c r="I10" s="52">
        <v>9</v>
      </c>
      <c r="J10" s="52">
        <v>10</v>
      </c>
      <c r="K10" s="52">
        <v>11</v>
      </c>
      <c r="L10" s="52">
        <v>12</v>
      </c>
    </row>
    <row r="11" spans="1:12" ht="28.5" x14ac:dyDescent="0.25">
      <c r="A11" s="53"/>
      <c r="B11" s="13" t="s">
        <v>125</v>
      </c>
      <c r="C11" s="37">
        <f>SUM(D11:L11)</f>
        <v>86446801</v>
      </c>
      <c r="D11" s="54">
        <f>D12+D31+D37+D56+D66+D77+D84+D116+D151</f>
        <v>57579147</v>
      </c>
      <c r="E11" s="54">
        <f>E12+E31+E37+E56+E66+E77+E84+E116+E151</f>
        <v>765464</v>
      </c>
      <c r="F11" s="37">
        <f t="shared" ref="F11:L11" si="0">F12+F31+F37+F56+F66+F77+F84+F116+F151</f>
        <v>1829206</v>
      </c>
      <c r="G11" s="54">
        <f t="shared" si="0"/>
        <v>117784</v>
      </c>
      <c r="H11" s="37">
        <f t="shared" si="0"/>
        <v>14415053</v>
      </c>
      <c r="I11" s="54">
        <f t="shared" si="0"/>
        <v>8954265</v>
      </c>
      <c r="J11" s="37">
        <f t="shared" si="0"/>
        <v>681852</v>
      </c>
      <c r="K11" s="54">
        <f t="shared" si="0"/>
        <v>0</v>
      </c>
      <c r="L11" s="37">
        <f t="shared" si="0"/>
        <v>2104030</v>
      </c>
    </row>
    <row r="12" spans="1:12" x14ac:dyDescent="0.25">
      <c r="A12" s="55" t="s">
        <v>127</v>
      </c>
      <c r="B12" s="56" t="s">
        <v>136</v>
      </c>
      <c r="C12" s="57">
        <f>SUM(D12:L12)</f>
        <v>6659942</v>
      </c>
      <c r="D12" s="57">
        <f>D13+D17+D21+D24+D25+D26+D30</f>
        <v>5492682</v>
      </c>
      <c r="E12" s="58">
        <f>E13+E17+E21+E24+E25+E26+E30</f>
        <v>-1221</v>
      </c>
      <c r="F12" s="57">
        <f t="shared" ref="F12:L12" si="1">F13+F17+F21+F24+F25+F26+F30</f>
        <v>99500</v>
      </c>
      <c r="G12" s="58">
        <f t="shared" si="1"/>
        <v>83872</v>
      </c>
      <c r="H12" s="57">
        <f t="shared" si="1"/>
        <v>4555</v>
      </c>
      <c r="I12" s="58">
        <f t="shared" si="1"/>
        <v>184701</v>
      </c>
      <c r="J12" s="57">
        <f t="shared" si="1"/>
        <v>634044</v>
      </c>
      <c r="K12" s="58">
        <f t="shared" si="1"/>
        <v>0</v>
      </c>
      <c r="L12" s="57">
        <f t="shared" si="1"/>
        <v>161809</v>
      </c>
    </row>
    <row r="13" spans="1:12" ht="25.5" x14ac:dyDescent="0.25">
      <c r="A13" s="59" t="s">
        <v>6</v>
      </c>
      <c r="B13" s="60" t="s">
        <v>157</v>
      </c>
      <c r="C13" s="61">
        <f>SUM(D13:L13)</f>
        <v>3945836</v>
      </c>
      <c r="D13" s="61">
        <f>SUM(D14:D16)</f>
        <v>3655196</v>
      </c>
      <c r="E13" s="62">
        <f t="shared" ref="E13:L13" si="2">SUM(E14:E16)</f>
        <v>0</v>
      </c>
      <c r="F13" s="61">
        <f t="shared" si="2"/>
        <v>99500</v>
      </c>
      <c r="G13" s="62">
        <f t="shared" si="2"/>
        <v>83872</v>
      </c>
      <c r="H13" s="61">
        <f t="shared" si="2"/>
        <v>4269</v>
      </c>
      <c r="I13" s="62">
        <f t="shared" si="2"/>
        <v>0</v>
      </c>
      <c r="J13" s="61">
        <f t="shared" si="2"/>
        <v>0</v>
      </c>
      <c r="K13" s="62">
        <f t="shared" si="2"/>
        <v>0</v>
      </c>
      <c r="L13" s="61">
        <f t="shared" si="2"/>
        <v>102999</v>
      </c>
    </row>
    <row r="14" spans="1:12" x14ac:dyDescent="0.25">
      <c r="A14" s="66" t="s">
        <v>8</v>
      </c>
      <c r="B14" s="81" t="s">
        <v>158</v>
      </c>
      <c r="C14" s="61">
        <f>SUM(D14:L14)</f>
        <v>3730215</v>
      </c>
      <c r="D14" s="63">
        <f>3625357+4800+450</f>
        <v>3630607</v>
      </c>
      <c r="E14" s="64">
        <v>0</v>
      </c>
      <c r="F14" s="67">
        <v>99500</v>
      </c>
      <c r="G14" s="64">
        <v>0</v>
      </c>
      <c r="H14" s="67">
        <v>0</v>
      </c>
      <c r="I14" s="64">
        <v>0</v>
      </c>
      <c r="J14" s="67">
        <v>0</v>
      </c>
      <c r="K14" s="64">
        <v>0</v>
      </c>
      <c r="L14" s="63">
        <v>108</v>
      </c>
    </row>
    <row r="15" spans="1:12" ht="38.25" x14ac:dyDescent="0.25">
      <c r="A15" s="66" t="s">
        <v>159</v>
      </c>
      <c r="B15" s="81" t="s">
        <v>173</v>
      </c>
      <c r="C15" s="61">
        <f t="shared" ref="C15:C16" si="3">SUM(D15:L15)</f>
        <v>202278</v>
      </c>
      <c r="D15" s="63">
        <v>19589</v>
      </c>
      <c r="E15" s="64">
        <v>0</v>
      </c>
      <c r="F15" s="67">
        <v>0</v>
      </c>
      <c r="G15" s="64">
        <v>83872</v>
      </c>
      <c r="H15" s="67">
        <v>0</v>
      </c>
      <c r="I15" s="64">
        <v>0</v>
      </c>
      <c r="J15" s="67">
        <v>0</v>
      </c>
      <c r="K15" s="64">
        <v>0</v>
      </c>
      <c r="L15" s="63">
        <v>98817</v>
      </c>
    </row>
    <row r="16" spans="1:12" ht="55.5" customHeight="1" x14ac:dyDescent="0.25">
      <c r="A16" s="66" t="s">
        <v>160</v>
      </c>
      <c r="B16" s="81" t="s">
        <v>477</v>
      </c>
      <c r="C16" s="61">
        <f t="shared" si="3"/>
        <v>13343</v>
      </c>
      <c r="D16" s="63">
        <v>5000</v>
      </c>
      <c r="E16" s="64">
        <v>0</v>
      </c>
      <c r="F16" s="67">
        <v>0</v>
      </c>
      <c r="G16" s="64">
        <v>0</v>
      </c>
      <c r="H16" s="67">
        <f>4269</f>
        <v>4269</v>
      </c>
      <c r="I16" s="64">
        <v>0</v>
      </c>
      <c r="J16" s="67">
        <v>0</v>
      </c>
      <c r="K16" s="64">
        <v>0</v>
      </c>
      <c r="L16" s="63">
        <v>4074</v>
      </c>
    </row>
    <row r="17" spans="1:12" x14ac:dyDescent="0.25">
      <c r="A17" s="59" t="s">
        <v>161</v>
      </c>
      <c r="B17" s="60" t="s">
        <v>174</v>
      </c>
      <c r="C17" s="61">
        <f>SUM(D17:L17)</f>
        <v>354061</v>
      </c>
      <c r="D17" s="61">
        <f>SUM(D18:D20)</f>
        <v>354061</v>
      </c>
      <c r="E17" s="71">
        <f t="shared" ref="E17:L17" si="4">SUM(E18:E20)</f>
        <v>0</v>
      </c>
      <c r="F17" s="70">
        <f t="shared" si="4"/>
        <v>0</v>
      </c>
      <c r="G17" s="71">
        <f t="shared" si="4"/>
        <v>0</v>
      </c>
      <c r="H17" s="70">
        <f t="shared" si="4"/>
        <v>0</v>
      </c>
      <c r="I17" s="71">
        <f t="shared" si="4"/>
        <v>0</v>
      </c>
      <c r="J17" s="70">
        <f t="shared" si="4"/>
        <v>0</v>
      </c>
      <c r="K17" s="62">
        <f t="shared" si="4"/>
        <v>0</v>
      </c>
      <c r="L17" s="61">
        <f t="shared" si="4"/>
        <v>0</v>
      </c>
    </row>
    <row r="18" spans="1:12" ht="38.25" x14ac:dyDescent="0.25">
      <c r="A18" s="66" t="s">
        <v>162</v>
      </c>
      <c r="B18" s="81" t="s">
        <v>175</v>
      </c>
      <c r="C18" s="61">
        <f>SUM(D18:L18)</f>
        <v>44237</v>
      </c>
      <c r="D18" s="67">
        <v>44237</v>
      </c>
      <c r="E18" s="64">
        <v>0</v>
      </c>
      <c r="F18" s="67">
        <v>0</v>
      </c>
      <c r="G18" s="64">
        <v>0</v>
      </c>
      <c r="H18" s="67">
        <v>0</v>
      </c>
      <c r="I18" s="64">
        <v>0</v>
      </c>
      <c r="J18" s="67">
        <v>0</v>
      </c>
      <c r="K18" s="64">
        <v>0</v>
      </c>
      <c r="L18" s="67">
        <v>0</v>
      </c>
    </row>
    <row r="19" spans="1:12" ht="39" customHeight="1" x14ac:dyDescent="0.25">
      <c r="A19" s="66" t="s">
        <v>163</v>
      </c>
      <c r="B19" s="81" t="s">
        <v>390</v>
      </c>
      <c r="C19" s="61">
        <f t="shared" ref="C19:C20" si="5">SUM(D19:L19)</f>
        <v>228124</v>
      </c>
      <c r="D19" s="67">
        <f>213387+14737</f>
        <v>228124</v>
      </c>
      <c r="E19" s="64">
        <v>0</v>
      </c>
      <c r="F19" s="67">
        <v>0</v>
      </c>
      <c r="G19" s="64">
        <v>0</v>
      </c>
      <c r="H19" s="67">
        <v>0</v>
      </c>
      <c r="I19" s="64">
        <v>0</v>
      </c>
      <c r="J19" s="67">
        <v>0</v>
      </c>
      <c r="K19" s="64">
        <v>0</v>
      </c>
      <c r="L19" s="67">
        <v>0</v>
      </c>
    </row>
    <row r="20" spans="1:12" ht="38.25" x14ac:dyDescent="0.25">
      <c r="A20" s="66" t="s">
        <v>164</v>
      </c>
      <c r="B20" s="81" t="s">
        <v>176</v>
      </c>
      <c r="C20" s="61">
        <f t="shared" si="5"/>
        <v>81700</v>
      </c>
      <c r="D20" s="67">
        <v>81700</v>
      </c>
      <c r="E20" s="64">
        <v>0</v>
      </c>
      <c r="F20" s="67">
        <v>0</v>
      </c>
      <c r="G20" s="64">
        <v>0</v>
      </c>
      <c r="H20" s="67">
        <v>0</v>
      </c>
      <c r="I20" s="64">
        <v>0</v>
      </c>
      <c r="J20" s="67">
        <v>0</v>
      </c>
      <c r="K20" s="64">
        <v>0</v>
      </c>
      <c r="L20" s="67">
        <v>0</v>
      </c>
    </row>
    <row r="21" spans="1:12" ht="26.25" x14ac:dyDescent="0.25">
      <c r="A21" s="68" t="s">
        <v>165</v>
      </c>
      <c r="B21" s="325" t="s">
        <v>426</v>
      </c>
      <c r="C21" s="61">
        <f>SUM(D21:L21)</f>
        <v>813717</v>
      </c>
      <c r="D21" s="70">
        <f t="shared" ref="D21:L21" si="6">SUM(D22:D23)</f>
        <v>663887</v>
      </c>
      <c r="E21" s="71">
        <f t="shared" si="6"/>
        <v>0</v>
      </c>
      <c r="F21" s="70">
        <f t="shared" si="6"/>
        <v>0</v>
      </c>
      <c r="G21" s="71">
        <f t="shared" si="6"/>
        <v>0</v>
      </c>
      <c r="H21" s="70">
        <f t="shared" si="6"/>
        <v>286</v>
      </c>
      <c r="I21" s="71">
        <f t="shared" si="6"/>
        <v>138643</v>
      </c>
      <c r="J21" s="70">
        <f t="shared" si="6"/>
        <v>0</v>
      </c>
      <c r="K21" s="71">
        <f t="shared" si="6"/>
        <v>0</v>
      </c>
      <c r="L21" s="70">
        <f t="shared" si="6"/>
        <v>10901</v>
      </c>
    </row>
    <row r="22" spans="1:12" ht="25.5" x14ac:dyDescent="0.25">
      <c r="A22" s="66" t="s">
        <v>425</v>
      </c>
      <c r="B22" s="81" t="s">
        <v>182</v>
      </c>
      <c r="C22" s="61">
        <f>SUM(D22:L22)</f>
        <v>493273</v>
      </c>
      <c r="D22" s="67">
        <v>493273</v>
      </c>
      <c r="E22" s="64">
        <v>0</v>
      </c>
      <c r="F22" s="67">
        <v>0</v>
      </c>
      <c r="G22" s="64">
        <v>0</v>
      </c>
      <c r="H22" s="67">
        <v>0</v>
      </c>
      <c r="I22" s="64">
        <v>0</v>
      </c>
      <c r="J22" s="67">
        <v>0</v>
      </c>
      <c r="K22" s="64">
        <v>0</v>
      </c>
      <c r="L22" s="67">
        <v>0</v>
      </c>
    </row>
    <row r="23" spans="1:12" ht="63.75" x14ac:dyDescent="0.25">
      <c r="A23" s="66" t="s">
        <v>427</v>
      </c>
      <c r="B23" s="81" t="s">
        <v>480</v>
      </c>
      <c r="C23" s="61">
        <f>SUM(D23:L23)</f>
        <v>320444</v>
      </c>
      <c r="D23" s="67">
        <f>145108+25506</f>
        <v>170614</v>
      </c>
      <c r="E23" s="64">
        <v>0</v>
      </c>
      <c r="F23" s="67">
        <v>0</v>
      </c>
      <c r="G23" s="64">
        <v>0</v>
      </c>
      <c r="H23" s="67">
        <v>286</v>
      </c>
      <c r="I23" s="64">
        <v>138643</v>
      </c>
      <c r="J23" s="67">
        <v>0</v>
      </c>
      <c r="K23" s="64">
        <v>0</v>
      </c>
      <c r="L23" s="63">
        <v>10901</v>
      </c>
    </row>
    <row r="24" spans="1:12" x14ac:dyDescent="0.25">
      <c r="A24" s="445" t="s">
        <v>166</v>
      </c>
      <c r="B24" s="446" t="s">
        <v>177</v>
      </c>
      <c r="C24" s="447">
        <f t="shared" ref="C24:C26" si="7">SUM(D24:L24)</f>
        <v>46058</v>
      </c>
      <c r="D24" s="447">
        <v>0</v>
      </c>
      <c r="E24" s="448">
        <v>0</v>
      </c>
      <c r="F24" s="447">
        <v>0</v>
      </c>
      <c r="G24" s="448">
        <v>0</v>
      </c>
      <c r="H24" s="447">
        <v>0</v>
      </c>
      <c r="I24" s="448">
        <v>46058</v>
      </c>
      <c r="J24" s="447">
        <v>0</v>
      </c>
      <c r="K24" s="448">
        <v>0</v>
      </c>
      <c r="L24" s="447">
        <v>0</v>
      </c>
    </row>
    <row r="25" spans="1:12" x14ac:dyDescent="0.25">
      <c r="A25" s="68" t="s">
        <v>167</v>
      </c>
      <c r="B25" s="69" t="s">
        <v>178</v>
      </c>
      <c r="C25" s="61">
        <f t="shared" si="7"/>
        <v>210000</v>
      </c>
      <c r="D25" s="70">
        <f>300000-90000</f>
        <v>210000</v>
      </c>
      <c r="E25" s="64">
        <v>0</v>
      </c>
      <c r="F25" s="67">
        <v>0</v>
      </c>
      <c r="G25" s="64">
        <v>0</v>
      </c>
      <c r="H25" s="67">
        <v>0</v>
      </c>
      <c r="I25" s="64">
        <v>0</v>
      </c>
      <c r="J25" s="67">
        <v>0</v>
      </c>
      <c r="K25" s="64">
        <v>0</v>
      </c>
      <c r="L25" s="67">
        <v>0</v>
      </c>
    </row>
    <row r="26" spans="1:12" ht="38.25" x14ac:dyDescent="0.25">
      <c r="A26" s="59" t="s">
        <v>168</v>
      </c>
      <c r="B26" s="60" t="s">
        <v>179</v>
      </c>
      <c r="C26" s="61">
        <f t="shared" si="7"/>
        <v>1173803</v>
      </c>
      <c r="D26" s="70">
        <f>SUM(D27:D29)</f>
        <v>451150</v>
      </c>
      <c r="E26" s="71">
        <f t="shared" ref="E26:L26" si="8">SUM(E27:E29)</f>
        <v>40700</v>
      </c>
      <c r="F26" s="70">
        <f t="shared" si="8"/>
        <v>0</v>
      </c>
      <c r="G26" s="71">
        <f t="shared" si="8"/>
        <v>0</v>
      </c>
      <c r="H26" s="70">
        <f t="shared" si="8"/>
        <v>0</v>
      </c>
      <c r="I26" s="71">
        <f t="shared" si="8"/>
        <v>0</v>
      </c>
      <c r="J26" s="70">
        <f t="shared" si="8"/>
        <v>634044</v>
      </c>
      <c r="K26" s="62">
        <f t="shared" si="8"/>
        <v>0</v>
      </c>
      <c r="L26" s="61">
        <f t="shared" si="8"/>
        <v>47909</v>
      </c>
    </row>
    <row r="27" spans="1:12" ht="29.25" customHeight="1" x14ac:dyDescent="0.25">
      <c r="A27" s="66" t="s">
        <v>169</v>
      </c>
      <c r="B27" s="81" t="s">
        <v>365</v>
      </c>
      <c r="C27" s="61">
        <f>SUM(D27:L27)</f>
        <v>641318</v>
      </c>
      <c r="D27" s="67">
        <v>-40635</v>
      </c>
      <c r="E27" s="64">
        <v>0</v>
      </c>
      <c r="F27" s="67">
        <v>0</v>
      </c>
      <c r="G27" s="64">
        <v>0</v>
      </c>
      <c r="H27" s="67">
        <v>0</v>
      </c>
      <c r="I27" s="64">
        <v>0</v>
      </c>
      <c r="J27" s="67">
        <v>634044</v>
      </c>
      <c r="K27" s="64">
        <v>0</v>
      </c>
      <c r="L27" s="63">
        <v>47909</v>
      </c>
    </row>
    <row r="28" spans="1:12" ht="38.25" x14ac:dyDescent="0.25">
      <c r="A28" s="66" t="s">
        <v>170</v>
      </c>
      <c r="B28" s="81" t="s">
        <v>366</v>
      </c>
      <c r="C28" s="61">
        <f t="shared" ref="C28:C29" si="9">SUM(D28:L28)</f>
        <v>532485</v>
      </c>
      <c r="D28" s="67">
        <v>491785</v>
      </c>
      <c r="E28" s="64">
        <v>40700</v>
      </c>
      <c r="F28" s="67">
        <v>0</v>
      </c>
      <c r="G28" s="64">
        <v>0</v>
      </c>
      <c r="H28" s="67">
        <v>0</v>
      </c>
      <c r="I28" s="64">
        <v>0</v>
      </c>
      <c r="J28" s="67">
        <v>0</v>
      </c>
      <c r="K28" s="64">
        <v>0</v>
      </c>
      <c r="L28" s="67">
        <v>0</v>
      </c>
    </row>
    <row r="29" spans="1:12" ht="25.5" hidden="1" x14ac:dyDescent="0.25">
      <c r="A29" s="82" t="s">
        <v>171</v>
      </c>
      <c r="B29" s="83" t="s">
        <v>180</v>
      </c>
      <c r="C29" s="86">
        <f t="shared" si="9"/>
        <v>0</v>
      </c>
      <c r="D29" s="84"/>
      <c r="E29" s="312"/>
      <c r="F29" s="84"/>
      <c r="G29" s="312"/>
      <c r="H29" s="84"/>
      <c r="I29" s="312"/>
      <c r="J29" s="84"/>
      <c r="K29" s="312"/>
      <c r="L29" s="84"/>
    </row>
    <row r="30" spans="1:12" ht="17.25" customHeight="1" x14ac:dyDescent="0.25">
      <c r="A30" s="68" t="s">
        <v>172</v>
      </c>
      <c r="B30" s="69" t="s">
        <v>181</v>
      </c>
      <c r="C30" s="61">
        <f t="shared" ref="C30" si="10">SUM(D30:L30)</f>
        <v>116467</v>
      </c>
      <c r="D30" s="70">
        <f>209347-25327-25632</f>
        <v>158388</v>
      </c>
      <c r="E30" s="359">
        <f>-41921</f>
        <v>-41921</v>
      </c>
      <c r="F30" s="70">
        <v>0</v>
      </c>
      <c r="G30" s="71">
        <v>0</v>
      </c>
      <c r="H30" s="70">
        <v>0</v>
      </c>
      <c r="I30" s="71">
        <v>0</v>
      </c>
      <c r="J30" s="70">
        <v>0</v>
      </c>
      <c r="K30" s="71">
        <v>0</v>
      </c>
      <c r="L30" s="70">
        <v>0</v>
      </c>
    </row>
    <row r="31" spans="1:12" x14ac:dyDescent="0.25">
      <c r="A31" s="55" t="s">
        <v>128</v>
      </c>
      <c r="B31" s="56" t="s">
        <v>137</v>
      </c>
      <c r="C31" s="57">
        <f t="shared" ref="C31:C39" si="11">SUM(D31:L31)</f>
        <v>3521644</v>
      </c>
      <c r="D31" s="57">
        <f>D32+D33</f>
        <v>3316655</v>
      </c>
      <c r="E31" s="58">
        <f t="shared" ref="E31:L31" si="12">E32+E33</f>
        <v>0</v>
      </c>
      <c r="F31" s="57">
        <f t="shared" si="12"/>
        <v>130300</v>
      </c>
      <c r="G31" s="58">
        <f t="shared" si="12"/>
        <v>0</v>
      </c>
      <c r="H31" s="57">
        <f t="shared" si="12"/>
        <v>38771</v>
      </c>
      <c r="I31" s="58">
        <f t="shared" si="12"/>
        <v>0</v>
      </c>
      <c r="J31" s="57">
        <f t="shared" si="12"/>
        <v>0</v>
      </c>
      <c r="K31" s="58">
        <f t="shared" si="12"/>
        <v>0</v>
      </c>
      <c r="L31" s="57">
        <f t="shared" si="12"/>
        <v>35918</v>
      </c>
    </row>
    <row r="32" spans="1:12" ht="27" x14ac:dyDescent="0.25">
      <c r="A32" s="68" t="s">
        <v>183</v>
      </c>
      <c r="B32" s="69" t="s">
        <v>391</v>
      </c>
      <c r="C32" s="61">
        <f t="shared" si="11"/>
        <v>2922971</v>
      </c>
      <c r="D32" s="61">
        <f>2764693-32000</f>
        <v>2732693</v>
      </c>
      <c r="E32" s="71">
        <v>0</v>
      </c>
      <c r="F32" s="70">
        <v>130300</v>
      </c>
      <c r="G32" s="71">
        <v>0</v>
      </c>
      <c r="H32" s="70">
        <f>37200</f>
        <v>37200</v>
      </c>
      <c r="I32" s="71">
        <v>0</v>
      </c>
      <c r="J32" s="70">
        <v>0</v>
      </c>
      <c r="K32" s="71">
        <v>0</v>
      </c>
      <c r="L32" s="61">
        <v>22778</v>
      </c>
    </row>
    <row r="33" spans="1:12" ht="33.75" customHeight="1" x14ac:dyDescent="0.25">
      <c r="A33" s="59" t="s">
        <v>184</v>
      </c>
      <c r="B33" s="60" t="s">
        <v>187</v>
      </c>
      <c r="C33" s="61">
        <f t="shared" si="11"/>
        <v>598673</v>
      </c>
      <c r="D33" s="61">
        <f>SUM(D34:D36)</f>
        <v>583962</v>
      </c>
      <c r="E33" s="62">
        <f t="shared" ref="E33:L33" si="13">SUM(E34:E36)</f>
        <v>0</v>
      </c>
      <c r="F33" s="61">
        <f t="shared" si="13"/>
        <v>0</v>
      </c>
      <c r="G33" s="62">
        <f t="shared" si="13"/>
        <v>0</v>
      </c>
      <c r="H33" s="61">
        <f t="shared" si="13"/>
        <v>1571</v>
      </c>
      <c r="I33" s="62">
        <f t="shared" si="13"/>
        <v>0</v>
      </c>
      <c r="J33" s="61">
        <f t="shared" si="13"/>
        <v>0</v>
      </c>
      <c r="K33" s="62">
        <f t="shared" si="13"/>
        <v>0</v>
      </c>
      <c r="L33" s="61">
        <f t="shared" si="13"/>
        <v>13140</v>
      </c>
    </row>
    <row r="34" spans="1:12" ht="37.5" customHeight="1" x14ac:dyDescent="0.25">
      <c r="A34" s="66" t="s">
        <v>185</v>
      </c>
      <c r="B34" s="81" t="s">
        <v>392</v>
      </c>
      <c r="C34" s="61">
        <f t="shared" si="11"/>
        <v>479704</v>
      </c>
      <c r="D34" s="63">
        <v>479704</v>
      </c>
      <c r="E34" s="64">
        <v>0</v>
      </c>
      <c r="F34" s="67">
        <v>0</v>
      </c>
      <c r="G34" s="64">
        <v>0</v>
      </c>
      <c r="H34" s="67">
        <v>0</v>
      </c>
      <c r="I34" s="64">
        <v>0</v>
      </c>
      <c r="J34" s="67">
        <v>0</v>
      </c>
      <c r="K34" s="64">
        <v>0</v>
      </c>
      <c r="L34" s="67">
        <v>0</v>
      </c>
    </row>
    <row r="35" spans="1:12" ht="25.5" hidden="1" x14ac:dyDescent="0.25">
      <c r="A35" s="82" t="s">
        <v>186</v>
      </c>
      <c r="B35" s="83" t="s">
        <v>188</v>
      </c>
      <c r="C35" s="86">
        <f t="shared" si="11"/>
        <v>0</v>
      </c>
      <c r="D35" s="84"/>
      <c r="E35" s="312"/>
      <c r="F35" s="84"/>
      <c r="G35" s="312"/>
      <c r="H35" s="84"/>
      <c r="I35" s="312"/>
      <c r="J35" s="84"/>
      <c r="K35" s="312"/>
      <c r="L35" s="84"/>
    </row>
    <row r="36" spans="1:12" ht="50.25" customHeight="1" x14ac:dyDescent="0.25">
      <c r="A36" s="94" t="s">
        <v>436</v>
      </c>
      <c r="B36" s="95" t="s">
        <v>483</v>
      </c>
      <c r="C36" s="61">
        <f t="shared" si="11"/>
        <v>118969</v>
      </c>
      <c r="D36" s="96">
        <f>29423+74835</f>
        <v>104258</v>
      </c>
      <c r="E36" s="64">
        <v>0</v>
      </c>
      <c r="F36" s="67">
        <v>0</v>
      </c>
      <c r="G36" s="64">
        <v>0</v>
      </c>
      <c r="H36" s="96">
        <v>1571</v>
      </c>
      <c r="I36" s="64">
        <v>0</v>
      </c>
      <c r="J36" s="67">
        <v>0</v>
      </c>
      <c r="K36" s="64">
        <v>0</v>
      </c>
      <c r="L36" s="96">
        <v>13140</v>
      </c>
    </row>
    <row r="37" spans="1:12" x14ac:dyDescent="0.25">
      <c r="A37" s="55" t="s">
        <v>129</v>
      </c>
      <c r="B37" s="56" t="s">
        <v>138</v>
      </c>
      <c r="C37" s="57">
        <f t="shared" si="11"/>
        <v>8210270</v>
      </c>
      <c r="D37" s="57">
        <f>D38+D43+D48+D52</f>
        <v>2645071</v>
      </c>
      <c r="E37" s="58">
        <f t="shared" ref="E37:L37" si="14">E38+E43+E48+E52</f>
        <v>154126</v>
      </c>
      <c r="F37" s="57">
        <f t="shared" si="14"/>
        <v>65356</v>
      </c>
      <c r="G37" s="58">
        <f t="shared" si="14"/>
        <v>0</v>
      </c>
      <c r="H37" s="57">
        <f t="shared" si="14"/>
        <v>3502315</v>
      </c>
      <c r="I37" s="58">
        <f t="shared" si="14"/>
        <v>1121427</v>
      </c>
      <c r="J37" s="57">
        <f t="shared" si="14"/>
        <v>19012</v>
      </c>
      <c r="K37" s="58">
        <f t="shared" si="14"/>
        <v>0</v>
      </c>
      <c r="L37" s="57">
        <f t="shared" si="14"/>
        <v>702963</v>
      </c>
    </row>
    <row r="38" spans="1:12" x14ac:dyDescent="0.25">
      <c r="A38" s="59" t="s">
        <v>189</v>
      </c>
      <c r="B38" s="60" t="s">
        <v>198</v>
      </c>
      <c r="C38" s="61">
        <f t="shared" si="11"/>
        <v>5846974</v>
      </c>
      <c r="D38" s="61">
        <f>SUM(D39:D42)</f>
        <v>1664386</v>
      </c>
      <c r="E38" s="62">
        <f t="shared" ref="E38:L38" si="15">SUM(E39:E42)</f>
        <v>139817</v>
      </c>
      <c r="F38" s="61">
        <f t="shared" si="15"/>
        <v>0</v>
      </c>
      <c r="G38" s="62">
        <f t="shared" si="15"/>
        <v>0</v>
      </c>
      <c r="H38" s="61">
        <f t="shared" si="15"/>
        <v>3000000</v>
      </c>
      <c r="I38" s="62">
        <f t="shared" si="15"/>
        <v>402983</v>
      </c>
      <c r="J38" s="61">
        <f t="shared" si="15"/>
        <v>0</v>
      </c>
      <c r="K38" s="62">
        <f t="shared" si="15"/>
        <v>0</v>
      </c>
      <c r="L38" s="61">
        <f t="shared" si="15"/>
        <v>639788</v>
      </c>
    </row>
    <row r="39" spans="1:12" ht="38.25" x14ac:dyDescent="0.25">
      <c r="A39" s="66" t="s">
        <v>190</v>
      </c>
      <c r="B39" s="81" t="s">
        <v>367</v>
      </c>
      <c r="C39" s="61">
        <f t="shared" si="11"/>
        <v>815578</v>
      </c>
      <c r="D39" s="63">
        <f>422045+253716</f>
        <v>675761</v>
      </c>
      <c r="E39" s="64">
        <v>139817</v>
      </c>
      <c r="F39" s="67">
        <v>0</v>
      </c>
      <c r="G39" s="64">
        <v>0</v>
      </c>
      <c r="H39" s="67">
        <v>0</v>
      </c>
      <c r="I39" s="64">
        <v>0</v>
      </c>
      <c r="J39" s="67">
        <v>0</v>
      </c>
      <c r="K39" s="64">
        <v>0</v>
      </c>
      <c r="L39" s="67">
        <v>0</v>
      </c>
    </row>
    <row r="40" spans="1:12" ht="38.25" x14ac:dyDescent="0.25">
      <c r="A40" s="66" t="s">
        <v>191</v>
      </c>
      <c r="B40" s="81" t="s">
        <v>199</v>
      </c>
      <c r="C40" s="61">
        <f t="shared" ref="C40:C42" si="16">SUM(D40:L40)</f>
        <v>1628413</v>
      </c>
      <c r="D40" s="63">
        <f>908689+79936</f>
        <v>988625</v>
      </c>
      <c r="E40" s="64">
        <v>0</v>
      </c>
      <c r="F40" s="67">
        <v>0</v>
      </c>
      <c r="G40" s="64">
        <v>0</v>
      </c>
      <c r="H40" s="67">
        <v>0</v>
      </c>
      <c r="I40" s="64">
        <v>0</v>
      </c>
      <c r="J40" s="67">
        <v>0</v>
      </c>
      <c r="K40" s="64">
        <v>0</v>
      </c>
      <c r="L40" s="63">
        <v>639788</v>
      </c>
    </row>
    <row r="41" spans="1:12" ht="53.25" customHeight="1" x14ac:dyDescent="0.25">
      <c r="A41" s="87" t="s">
        <v>467</v>
      </c>
      <c r="B41" s="88" t="s">
        <v>466</v>
      </c>
      <c r="C41" s="70">
        <f t="shared" si="16"/>
        <v>3402983</v>
      </c>
      <c r="D41" s="67">
        <v>0</v>
      </c>
      <c r="E41" s="64">
        <v>0</v>
      </c>
      <c r="F41" s="67">
        <v>0</v>
      </c>
      <c r="G41" s="64">
        <v>0</v>
      </c>
      <c r="H41" s="67">
        <v>3000000</v>
      </c>
      <c r="I41" s="64">
        <v>402983</v>
      </c>
      <c r="J41" s="67">
        <v>0</v>
      </c>
      <c r="K41" s="64">
        <v>0</v>
      </c>
      <c r="L41" s="67">
        <v>0</v>
      </c>
    </row>
    <row r="42" spans="1:12" hidden="1" x14ac:dyDescent="0.25">
      <c r="A42" s="82"/>
      <c r="B42" s="83"/>
      <c r="C42" s="86">
        <f t="shared" si="16"/>
        <v>0</v>
      </c>
      <c r="D42" s="84"/>
      <c r="E42" s="312"/>
      <c r="F42" s="84"/>
      <c r="G42" s="312"/>
      <c r="H42" s="84"/>
      <c r="I42" s="312"/>
      <c r="J42" s="84"/>
      <c r="K42" s="312"/>
      <c r="L42" s="84"/>
    </row>
    <row r="43" spans="1:12" x14ac:dyDescent="0.25">
      <c r="A43" s="59" t="s">
        <v>192</v>
      </c>
      <c r="B43" s="60" t="s">
        <v>200</v>
      </c>
      <c r="C43" s="61">
        <f t="shared" ref="C43:C53" si="17">SUM(D43:L43)</f>
        <v>1699523</v>
      </c>
      <c r="D43" s="61">
        <f t="shared" ref="D43:L43" si="18">SUM(D44:D47)</f>
        <v>887356</v>
      </c>
      <c r="E43" s="71">
        <f t="shared" si="18"/>
        <v>14309</v>
      </c>
      <c r="F43" s="70">
        <f t="shared" si="18"/>
        <v>65356</v>
      </c>
      <c r="G43" s="71">
        <f t="shared" si="18"/>
        <v>0</v>
      </c>
      <c r="H43" s="70">
        <f t="shared" si="18"/>
        <v>500315</v>
      </c>
      <c r="I43" s="71">
        <f t="shared" si="18"/>
        <v>150000</v>
      </c>
      <c r="J43" s="70">
        <f t="shared" si="18"/>
        <v>19012</v>
      </c>
      <c r="K43" s="71">
        <f t="shared" si="18"/>
        <v>0</v>
      </c>
      <c r="L43" s="61">
        <f t="shared" si="18"/>
        <v>63175</v>
      </c>
    </row>
    <row r="44" spans="1:12" ht="25.5" x14ac:dyDescent="0.25">
      <c r="A44" s="66" t="s">
        <v>193</v>
      </c>
      <c r="B44" s="81" t="s">
        <v>393</v>
      </c>
      <c r="C44" s="61">
        <f t="shared" si="17"/>
        <v>410908</v>
      </c>
      <c r="D44" s="63">
        <v>316871</v>
      </c>
      <c r="E44" s="64">
        <v>0</v>
      </c>
      <c r="F44" s="67">
        <v>64950</v>
      </c>
      <c r="G44" s="64">
        <v>0</v>
      </c>
      <c r="H44" s="67">
        <f>2509</f>
        <v>2509</v>
      </c>
      <c r="I44" s="64">
        <v>0</v>
      </c>
      <c r="J44" s="67">
        <f>17255+1757</f>
        <v>19012</v>
      </c>
      <c r="K44" s="64">
        <v>0</v>
      </c>
      <c r="L44" s="63">
        <v>7566</v>
      </c>
    </row>
    <row r="45" spans="1:12" ht="51" x14ac:dyDescent="0.25">
      <c r="A45" s="66" t="s">
        <v>421</v>
      </c>
      <c r="B45" s="81" t="s">
        <v>482</v>
      </c>
      <c r="C45" s="61">
        <f t="shared" si="17"/>
        <v>118586</v>
      </c>
      <c r="D45" s="63">
        <v>98800</v>
      </c>
      <c r="E45" s="64">
        <v>14309</v>
      </c>
      <c r="F45" s="67">
        <v>406</v>
      </c>
      <c r="G45" s="64">
        <v>0</v>
      </c>
      <c r="H45" s="67">
        <v>0</v>
      </c>
      <c r="I45" s="64">
        <v>0</v>
      </c>
      <c r="J45" s="67">
        <v>0</v>
      </c>
      <c r="K45" s="64">
        <v>0</v>
      </c>
      <c r="L45" s="63">
        <v>5071</v>
      </c>
    </row>
    <row r="46" spans="1:12" ht="51" x14ac:dyDescent="0.25">
      <c r="A46" s="66" t="s">
        <v>435</v>
      </c>
      <c r="B46" s="81" t="s">
        <v>478</v>
      </c>
      <c r="C46" s="61">
        <f t="shared" si="17"/>
        <v>155906</v>
      </c>
      <c r="D46" s="63">
        <f>60000-32015</f>
        <v>27985</v>
      </c>
      <c r="E46" s="360">
        <v>0</v>
      </c>
      <c r="F46" s="67">
        <v>0</v>
      </c>
      <c r="G46" s="64">
        <v>0</v>
      </c>
      <c r="H46" s="67">
        <f>53598+23785</f>
        <v>77383</v>
      </c>
      <c r="I46" s="64">
        <v>0</v>
      </c>
      <c r="J46" s="67">
        <v>0</v>
      </c>
      <c r="K46" s="64">
        <v>0</v>
      </c>
      <c r="L46" s="63">
        <v>50538</v>
      </c>
    </row>
    <row r="47" spans="1:12" ht="63.75" customHeight="1" x14ac:dyDescent="0.25">
      <c r="A47" s="87" t="s">
        <v>468</v>
      </c>
      <c r="B47" s="88" t="s">
        <v>469</v>
      </c>
      <c r="C47" s="70">
        <f t="shared" si="17"/>
        <v>1014123</v>
      </c>
      <c r="D47" s="67">
        <v>443700</v>
      </c>
      <c r="E47" s="64">
        <v>0</v>
      </c>
      <c r="F47" s="67">
        <v>0</v>
      </c>
      <c r="G47" s="64">
        <v>0</v>
      </c>
      <c r="H47" s="67">
        <f>336700+83723</f>
        <v>420423</v>
      </c>
      <c r="I47" s="64">
        <v>150000</v>
      </c>
      <c r="J47" s="67">
        <v>0</v>
      </c>
      <c r="K47" s="64">
        <v>0</v>
      </c>
      <c r="L47" s="67">
        <v>0</v>
      </c>
    </row>
    <row r="48" spans="1:12" x14ac:dyDescent="0.25">
      <c r="A48" s="114" t="s">
        <v>449</v>
      </c>
      <c r="B48" s="115" t="s">
        <v>450</v>
      </c>
      <c r="C48" s="70">
        <f>SUM(D48:L48)</f>
        <v>570695</v>
      </c>
      <c r="D48" s="70">
        <f t="shared" ref="D48:L48" si="19">SUM(D49:D51)</f>
        <v>251</v>
      </c>
      <c r="E48" s="71">
        <f t="shared" si="19"/>
        <v>0</v>
      </c>
      <c r="F48" s="70">
        <f t="shared" si="19"/>
        <v>0</v>
      </c>
      <c r="G48" s="71">
        <f t="shared" si="19"/>
        <v>0</v>
      </c>
      <c r="H48" s="70">
        <f t="shared" si="19"/>
        <v>2000</v>
      </c>
      <c r="I48" s="71">
        <f t="shared" si="19"/>
        <v>568444</v>
      </c>
      <c r="J48" s="70">
        <f t="shared" si="19"/>
        <v>0</v>
      </c>
      <c r="K48" s="71">
        <f t="shared" si="19"/>
        <v>0</v>
      </c>
      <c r="L48" s="70">
        <f t="shared" si="19"/>
        <v>0</v>
      </c>
    </row>
    <row r="49" spans="1:12" ht="63.75" x14ac:dyDescent="0.25">
      <c r="A49" s="87" t="s">
        <v>452</v>
      </c>
      <c r="B49" s="88" t="s">
        <v>451</v>
      </c>
      <c r="C49" s="70">
        <f t="shared" ref="C49" si="20">SUM(D49:L49)</f>
        <v>2251</v>
      </c>
      <c r="D49" s="67">
        <f>251</f>
        <v>251</v>
      </c>
      <c r="E49" s="64">
        <v>0</v>
      </c>
      <c r="F49" s="67">
        <v>0</v>
      </c>
      <c r="G49" s="64">
        <v>0</v>
      </c>
      <c r="H49" s="67">
        <v>2000</v>
      </c>
      <c r="I49" s="64">
        <v>0</v>
      </c>
      <c r="J49" s="67">
        <v>0</v>
      </c>
      <c r="K49" s="64">
        <v>0</v>
      </c>
      <c r="L49" s="67">
        <v>0</v>
      </c>
    </row>
    <row r="50" spans="1:12" ht="66.75" hidden="1" customHeight="1" x14ac:dyDescent="0.25">
      <c r="A50" s="82" t="s">
        <v>453</v>
      </c>
      <c r="B50" s="83" t="s">
        <v>454</v>
      </c>
      <c r="C50" s="86">
        <f t="shared" ref="C50" si="21">SUM(D50:L50)</f>
        <v>0</v>
      </c>
      <c r="D50" s="84"/>
      <c r="E50" s="64"/>
      <c r="F50" s="67"/>
      <c r="G50" s="64"/>
      <c r="H50" s="67"/>
      <c r="I50" s="64"/>
      <c r="J50" s="67"/>
      <c r="K50" s="64"/>
      <c r="L50" s="84"/>
    </row>
    <row r="51" spans="1:12" ht="37.5" customHeight="1" x14ac:dyDescent="0.25">
      <c r="A51" s="94" t="s">
        <v>455</v>
      </c>
      <c r="B51" s="95" t="s">
        <v>456</v>
      </c>
      <c r="C51" s="447">
        <f t="shared" ref="C51" si="22">SUM(D51:L51)</f>
        <v>568444</v>
      </c>
      <c r="D51" s="96">
        <v>0</v>
      </c>
      <c r="E51" s="449">
        <v>0</v>
      </c>
      <c r="F51" s="96">
        <v>0</v>
      </c>
      <c r="G51" s="449">
        <v>0</v>
      </c>
      <c r="H51" s="96">
        <v>0</v>
      </c>
      <c r="I51" s="449">
        <v>568444</v>
      </c>
      <c r="J51" s="96">
        <v>0</v>
      </c>
      <c r="K51" s="449">
        <v>0</v>
      </c>
      <c r="L51" s="96">
        <v>0</v>
      </c>
    </row>
    <row r="52" spans="1:12" ht="25.5" x14ac:dyDescent="0.25">
      <c r="A52" s="59" t="s">
        <v>194</v>
      </c>
      <c r="B52" s="60" t="s">
        <v>201</v>
      </c>
      <c r="C52" s="61">
        <f t="shared" si="17"/>
        <v>93078</v>
      </c>
      <c r="D52" s="61">
        <f t="shared" ref="D52:L52" si="23">SUM(D53:D55)</f>
        <v>93078</v>
      </c>
      <c r="E52" s="71">
        <f t="shared" si="23"/>
        <v>0</v>
      </c>
      <c r="F52" s="70">
        <f t="shared" si="23"/>
        <v>0</v>
      </c>
      <c r="G52" s="71">
        <f t="shared" si="23"/>
        <v>0</v>
      </c>
      <c r="H52" s="70">
        <f t="shared" si="23"/>
        <v>0</v>
      </c>
      <c r="I52" s="71">
        <f t="shared" si="23"/>
        <v>0</v>
      </c>
      <c r="J52" s="70">
        <f t="shared" si="23"/>
        <v>0</v>
      </c>
      <c r="K52" s="71">
        <f t="shared" si="23"/>
        <v>0</v>
      </c>
      <c r="L52" s="61">
        <f t="shared" si="23"/>
        <v>0</v>
      </c>
    </row>
    <row r="53" spans="1:12" ht="38.25" x14ac:dyDescent="0.25">
      <c r="A53" s="66" t="s">
        <v>195</v>
      </c>
      <c r="B53" s="81" t="s">
        <v>202</v>
      </c>
      <c r="C53" s="61">
        <f t="shared" si="17"/>
        <v>90078</v>
      </c>
      <c r="D53" s="63">
        <v>90078</v>
      </c>
      <c r="E53" s="64">
        <v>0</v>
      </c>
      <c r="F53" s="67">
        <v>0</v>
      </c>
      <c r="G53" s="64">
        <v>0</v>
      </c>
      <c r="H53" s="67">
        <v>0</v>
      </c>
      <c r="I53" s="64">
        <v>0</v>
      </c>
      <c r="J53" s="67">
        <v>0</v>
      </c>
      <c r="K53" s="64">
        <v>0</v>
      </c>
      <c r="L53" s="67">
        <v>0</v>
      </c>
    </row>
    <row r="54" spans="1:12" ht="38.25" hidden="1" x14ac:dyDescent="0.25">
      <c r="A54" s="82" t="s">
        <v>196</v>
      </c>
      <c r="B54" s="83" t="s">
        <v>204</v>
      </c>
      <c r="C54" s="86">
        <f t="shared" ref="C54:C55" si="24">SUM(D54:L54)</f>
        <v>0</v>
      </c>
      <c r="D54" s="84"/>
      <c r="E54" s="312"/>
      <c r="F54" s="84"/>
      <c r="G54" s="312"/>
      <c r="H54" s="84"/>
      <c r="I54" s="312"/>
      <c r="J54" s="84"/>
      <c r="K54" s="312"/>
      <c r="L54" s="84"/>
    </row>
    <row r="55" spans="1:12" ht="25.5" x14ac:dyDescent="0.25">
      <c r="A55" s="66" t="s">
        <v>197</v>
      </c>
      <c r="B55" s="81" t="s">
        <v>203</v>
      </c>
      <c r="C55" s="61">
        <f t="shared" si="24"/>
        <v>3000</v>
      </c>
      <c r="D55" s="63">
        <v>3000</v>
      </c>
      <c r="E55" s="64">
        <v>0</v>
      </c>
      <c r="F55" s="67">
        <v>0</v>
      </c>
      <c r="G55" s="64">
        <v>0</v>
      </c>
      <c r="H55" s="67">
        <v>0</v>
      </c>
      <c r="I55" s="64">
        <v>0</v>
      </c>
      <c r="J55" s="67">
        <v>0</v>
      </c>
      <c r="K55" s="64">
        <v>0</v>
      </c>
      <c r="L55" s="67">
        <v>0</v>
      </c>
    </row>
    <row r="56" spans="1:12" x14ac:dyDescent="0.25">
      <c r="A56" s="55" t="s">
        <v>130</v>
      </c>
      <c r="B56" s="56" t="s">
        <v>139</v>
      </c>
      <c r="C56" s="57">
        <f t="shared" ref="C56:C65" si="25">SUM(D56:L56)</f>
        <v>2383980</v>
      </c>
      <c r="D56" s="57">
        <f>D57+D60+D61+D63</f>
        <v>2238422</v>
      </c>
      <c r="E56" s="58">
        <f t="shared" ref="E56:L56" si="26">E57+E60+E61+E63</f>
        <v>42168</v>
      </c>
      <c r="F56" s="57">
        <f t="shared" si="26"/>
        <v>0</v>
      </c>
      <c r="G56" s="58">
        <f t="shared" si="26"/>
        <v>0</v>
      </c>
      <c r="H56" s="57">
        <f t="shared" si="26"/>
        <v>80482</v>
      </c>
      <c r="I56" s="58">
        <f t="shared" si="26"/>
        <v>0</v>
      </c>
      <c r="J56" s="57">
        <f t="shared" si="26"/>
        <v>2819</v>
      </c>
      <c r="K56" s="58">
        <f t="shared" si="26"/>
        <v>0</v>
      </c>
      <c r="L56" s="57">
        <f t="shared" si="26"/>
        <v>20089</v>
      </c>
    </row>
    <row r="57" spans="1:12" x14ac:dyDescent="0.25">
      <c r="A57" s="59" t="s">
        <v>205</v>
      </c>
      <c r="B57" s="60" t="s">
        <v>212</v>
      </c>
      <c r="C57" s="61">
        <f t="shared" si="25"/>
        <v>1435960</v>
      </c>
      <c r="D57" s="61">
        <f>SUM(D58:D59)</f>
        <v>1401052</v>
      </c>
      <c r="E57" s="62">
        <f t="shared" ref="E57:L57" si="27">SUM(E58:E59)</f>
        <v>34908</v>
      </c>
      <c r="F57" s="61">
        <f t="shared" si="27"/>
        <v>0</v>
      </c>
      <c r="G57" s="62">
        <f t="shared" si="27"/>
        <v>0</v>
      </c>
      <c r="H57" s="61">
        <f t="shared" si="27"/>
        <v>0</v>
      </c>
      <c r="I57" s="62">
        <f t="shared" si="27"/>
        <v>0</v>
      </c>
      <c r="J57" s="61">
        <f t="shared" si="27"/>
        <v>0</v>
      </c>
      <c r="K57" s="62">
        <f t="shared" si="27"/>
        <v>0</v>
      </c>
      <c r="L57" s="61">
        <f t="shared" si="27"/>
        <v>0</v>
      </c>
    </row>
    <row r="58" spans="1:12" ht="38.25" x14ac:dyDescent="0.25">
      <c r="A58" s="66" t="s">
        <v>206</v>
      </c>
      <c r="B58" s="81" t="s">
        <v>217</v>
      </c>
      <c r="C58" s="61">
        <f t="shared" si="25"/>
        <v>989101</v>
      </c>
      <c r="D58" s="63">
        <v>989101</v>
      </c>
      <c r="E58" s="64">
        <v>0</v>
      </c>
      <c r="F58" s="67">
        <v>0</v>
      </c>
      <c r="G58" s="65">
        <v>0</v>
      </c>
      <c r="H58" s="67">
        <v>0</v>
      </c>
      <c r="I58" s="65">
        <v>0</v>
      </c>
      <c r="J58" s="67">
        <v>0</v>
      </c>
      <c r="K58" s="65">
        <v>0</v>
      </c>
      <c r="L58" s="67">
        <v>0</v>
      </c>
    </row>
    <row r="59" spans="1:12" ht="25.5" x14ac:dyDescent="0.25">
      <c r="A59" s="66" t="s">
        <v>207</v>
      </c>
      <c r="B59" s="81" t="s">
        <v>216</v>
      </c>
      <c r="C59" s="61">
        <f t="shared" si="25"/>
        <v>446859</v>
      </c>
      <c r="D59" s="63">
        <v>411951</v>
      </c>
      <c r="E59" s="64">
        <f>20000+11635+3273</f>
        <v>34908</v>
      </c>
      <c r="F59" s="67">
        <v>0</v>
      </c>
      <c r="G59" s="64">
        <v>0</v>
      </c>
      <c r="H59" s="67">
        <v>0</v>
      </c>
      <c r="I59" s="64">
        <v>0</v>
      </c>
      <c r="J59" s="67">
        <v>0</v>
      </c>
      <c r="K59" s="64">
        <v>0</v>
      </c>
      <c r="L59" s="67">
        <v>0</v>
      </c>
    </row>
    <row r="60" spans="1:12" x14ac:dyDescent="0.25">
      <c r="A60" s="68" t="s">
        <v>208</v>
      </c>
      <c r="B60" s="69" t="s">
        <v>213</v>
      </c>
      <c r="C60" s="61">
        <f t="shared" si="25"/>
        <v>579200</v>
      </c>
      <c r="D60" s="61">
        <v>579200</v>
      </c>
      <c r="E60" s="71">
        <v>0</v>
      </c>
      <c r="F60" s="67">
        <v>0</v>
      </c>
      <c r="G60" s="71">
        <v>0</v>
      </c>
      <c r="H60" s="67">
        <v>0</v>
      </c>
      <c r="I60" s="71">
        <v>0</v>
      </c>
      <c r="J60" s="67">
        <v>0</v>
      </c>
      <c r="K60" s="71">
        <v>0</v>
      </c>
      <c r="L60" s="67">
        <v>0</v>
      </c>
    </row>
    <row r="61" spans="1:12" ht="25.5" hidden="1" x14ac:dyDescent="0.25">
      <c r="A61" s="313" t="s">
        <v>209</v>
      </c>
      <c r="B61" s="314" t="s">
        <v>214</v>
      </c>
      <c r="C61" s="86">
        <f t="shared" si="25"/>
        <v>0</v>
      </c>
      <c r="D61" s="86">
        <f>D62</f>
        <v>0</v>
      </c>
      <c r="E61" s="104">
        <f t="shared" ref="E61:L61" si="28">E62</f>
        <v>0</v>
      </c>
      <c r="F61" s="86">
        <f t="shared" si="28"/>
        <v>0</v>
      </c>
      <c r="G61" s="104">
        <f t="shared" si="28"/>
        <v>0</v>
      </c>
      <c r="H61" s="86">
        <f t="shared" si="28"/>
        <v>0</v>
      </c>
      <c r="I61" s="104">
        <f t="shared" si="28"/>
        <v>0</v>
      </c>
      <c r="J61" s="86">
        <f t="shared" si="28"/>
        <v>0</v>
      </c>
      <c r="K61" s="104">
        <f t="shared" si="28"/>
        <v>0</v>
      </c>
      <c r="L61" s="86">
        <f t="shared" si="28"/>
        <v>0</v>
      </c>
    </row>
    <row r="62" spans="1:12" ht="51" hidden="1" x14ac:dyDescent="0.25">
      <c r="A62" s="82" t="s">
        <v>457</v>
      </c>
      <c r="B62" s="83" t="s">
        <v>458</v>
      </c>
      <c r="C62" s="86">
        <f t="shared" si="25"/>
        <v>0</v>
      </c>
      <c r="D62" s="84"/>
      <c r="E62" s="312"/>
      <c r="F62" s="84"/>
      <c r="G62" s="312"/>
      <c r="H62" s="84"/>
      <c r="I62" s="312"/>
      <c r="J62" s="84"/>
      <c r="K62" s="312"/>
      <c r="L62" s="84"/>
    </row>
    <row r="63" spans="1:12" ht="25.5" x14ac:dyDescent="0.25">
      <c r="A63" s="59" t="s">
        <v>210</v>
      </c>
      <c r="B63" s="60" t="s">
        <v>215</v>
      </c>
      <c r="C63" s="61">
        <f t="shared" si="25"/>
        <v>368820</v>
      </c>
      <c r="D63" s="61">
        <f>SUM(D64:D65)</f>
        <v>258170</v>
      </c>
      <c r="E63" s="71">
        <f t="shared" ref="E63:L63" si="29">SUM(E64:E65)</f>
        <v>7260</v>
      </c>
      <c r="F63" s="70">
        <f t="shared" si="29"/>
        <v>0</v>
      </c>
      <c r="G63" s="71">
        <f t="shared" si="29"/>
        <v>0</v>
      </c>
      <c r="H63" s="70">
        <f t="shared" si="29"/>
        <v>80482</v>
      </c>
      <c r="I63" s="71">
        <f t="shared" si="29"/>
        <v>0</v>
      </c>
      <c r="J63" s="70">
        <f t="shared" si="29"/>
        <v>2819</v>
      </c>
      <c r="K63" s="71">
        <f t="shared" si="29"/>
        <v>0</v>
      </c>
      <c r="L63" s="70">
        <f t="shared" si="29"/>
        <v>20089</v>
      </c>
    </row>
    <row r="64" spans="1:12" ht="38.25" x14ac:dyDescent="0.25">
      <c r="A64" s="87" t="s">
        <v>211</v>
      </c>
      <c r="B64" s="81" t="s">
        <v>479</v>
      </c>
      <c r="C64" s="106">
        <f t="shared" si="25"/>
        <v>94889</v>
      </c>
      <c r="D64" s="92">
        <v>85595</v>
      </c>
      <c r="E64" s="93">
        <v>0</v>
      </c>
      <c r="F64" s="67">
        <v>0</v>
      </c>
      <c r="G64" s="93">
        <v>0</v>
      </c>
      <c r="H64" s="67">
        <v>0</v>
      </c>
      <c r="I64" s="93">
        <v>0</v>
      </c>
      <c r="J64" s="67">
        <v>2819</v>
      </c>
      <c r="K64" s="93">
        <v>0</v>
      </c>
      <c r="L64" s="92">
        <v>6475</v>
      </c>
    </row>
    <row r="65" spans="1:12" ht="76.5" x14ac:dyDescent="0.25">
      <c r="A65" s="66" t="s">
        <v>428</v>
      </c>
      <c r="B65" s="81" t="s">
        <v>481</v>
      </c>
      <c r="C65" s="107">
        <f t="shared" si="25"/>
        <v>273931</v>
      </c>
      <c r="D65" s="72">
        <f>43000+65353+64222</f>
        <v>172575</v>
      </c>
      <c r="E65" s="93">
        <v>7260</v>
      </c>
      <c r="F65" s="67">
        <v>0</v>
      </c>
      <c r="G65" s="93">
        <v>0</v>
      </c>
      <c r="H65" s="67">
        <f>2501+77981</f>
        <v>80482</v>
      </c>
      <c r="I65" s="93">
        <v>0</v>
      </c>
      <c r="J65" s="67">
        <v>0</v>
      </c>
      <c r="K65" s="93">
        <v>0</v>
      </c>
      <c r="L65" s="92">
        <v>13614</v>
      </c>
    </row>
    <row r="66" spans="1:12" ht="25.5" x14ac:dyDescent="0.25">
      <c r="A66" s="55" t="s">
        <v>131</v>
      </c>
      <c r="B66" s="56" t="s">
        <v>140</v>
      </c>
      <c r="C66" s="57">
        <f>SUM(D66:L66)</f>
        <v>4615586</v>
      </c>
      <c r="D66" s="57">
        <f>D67+D68+D69</f>
        <v>4504394</v>
      </c>
      <c r="E66" s="58">
        <f t="shared" ref="E66:L66" si="30">E67+E68+E69</f>
        <v>-41721</v>
      </c>
      <c r="F66" s="57">
        <f t="shared" si="30"/>
        <v>134700</v>
      </c>
      <c r="G66" s="58">
        <f>G76</f>
        <v>0</v>
      </c>
      <c r="H66" s="57">
        <f t="shared" si="30"/>
        <v>3000</v>
      </c>
      <c r="I66" s="58">
        <f t="shared" si="30"/>
        <v>3000</v>
      </c>
      <c r="J66" s="57">
        <f t="shared" si="30"/>
        <v>0</v>
      </c>
      <c r="K66" s="58">
        <f t="shared" si="30"/>
        <v>0</v>
      </c>
      <c r="L66" s="57">
        <f t="shared" si="30"/>
        <v>12213</v>
      </c>
    </row>
    <row r="67" spans="1:12" ht="27" x14ac:dyDescent="0.25">
      <c r="A67" s="68" t="s">
        <v>218</v>
      </c>
      <c r="B67" s="69" t="s">
        <v>229</v>
      </c>
      <c r="C67" s="61">
        <f>SUM(D67:L67)</f>
        <v>894990</v>
      </c>
      <c r="D67" s="61">
        <f>919802-41851+31348</f>
        <v>909299</v>
      </c>
      <c r="E67" s="71">
        <v>-14309</v>
      </c>
      <c r="F67" s="67">
        <v>0</v>
      </c>
      <c r="G67" s="71">
        <v>0</v>
      </c>
      <c r="H67" s="67">
        <v>0</v>
      </c>
      <c r="I67" s="71">
        <v>0</v>
      </c>
      <c r="J67" s="67">
        <v>0</v>
      </c>
      <c r="K67" s="62">
        <v>0</v>
      </c>
      <c r="L67" s="67">
        <v>0</v>
      </c>
    </row>
    <row r="68" spans="1:12" x14ac:dyDescent="0.25">
      <c r="A68" s="68" t="s">
        <v>219</v>
      </c>
      <c r="B68" s="69" t="s">
        <v>226</v>
      </c>
      <c r="C68" s="61">
        <f>SUM(D68:L68)</f>
        <v>609727</v>
      </c>
      <c r="D68" s="61">
        <v>599490</v>
      </c>
      <c r="E68" s="71">
        <v>10237</v>
      </c>
      <c r="F68" s="67">
        <v>0</v>
      </c>
      <c r="G68" s="71">
        <v>0</v>
      </c>
      <c r="H68" s="67">
        <v>0</v>
      </c>
      <c r="I68" s="71">
        <v>0</v>
      </c>
      <c r="J68" s="67">
        <v>0</v>
      </c>
      <c r="K68" s="62">
        <v>0</v>
      </c>
      <c r="L68" s="67">
        <v>0</v>
      </c>
    </row>
    <row r="69" spans="1:12" ht="38.25" x14ac:dyDescent="0.25">
      <c r="A69" s="59" t="s">
        <v>220</v>
      </c>
      <c r="B69" s="60" t="s">
        <v>227</v>
      </c>
      <c r="C69" s="61">
        <f>SUM(D69:L69)</f>
        <v>3110869</v>
      </c>
      <c r="D69" s="61">
        <f>SUM(D70:D76)</f>
        <v>2995605</v>
      </c>
      <c r="E69" s="71">
        <f t="shared" ref="E69:L69" si="31">SUM(E70:E76)</f>
        <v>-37649</v>
      </c>
      <c r="F69" s="70">
        <f t="shared" si="31"/>
        <v>134700</v>
      </c>
      <c r="G69" s="71">
        <f t="shared" si="31"/>
        <v>0</v>
      </c>
      <c r="H69" s="70">
        <f t="shared" si="31"/>
        <v>3000</v>
      </c>
      <c r="I69" s="71">
        <f t="shared" si="31"/>
        <v>3000</v>
      </c>
      <c r="J69" s="61">
        <f t="shared" si="31"/>
        <v>0</v>
      </c>
      <c r="K69" s="62">
        <f t="shared" si="31"/>
        <v>0</v>
      </c>
      <c r="L69" s="61">
        <f t="shared" si="31"/>
        <v>12213</v>
      </c>
    </row>
    <row r="70" spans="1:12" ht="25.5" x14ac:dyDescent="0.25">
      <c r="A70" s="66" t="s">
        <v>221</v>
      </c>
      <c r="B70" s="81" t="s">
        <v>394</v>
      </c>
      <c r="C70" s="61">
        <f>SUM(D70:L70)</f>
        <v>915882</v>
      </c>
      <c r="D70" s="63">
        <f>763823+17282</f>
        <v>781105</v>
      </c>
      <c r="E70" s="64">
        <v>0</v>
      </c>
      <c r="F70" s="67">
        <v>134700</v>
      </c>
      <c r="G70" s="64">
        <v>0</v>
      </c>
      <c r="H70" s="67">
        <v>0</v>
      </c>
      <c r="I70" s="64">
        <v>0</v>
      </c>
      <c r="J70" s="67">
        <v>0</v>
      </c>
      <c r="K70" s="65">
        <v>0</v>
      </c>
      <c r="L70" s="63">
        <v>77</v>
      </c>
    </row>
    <row r="71" spans="1:12" ht="38.25" x14ac:dyDescent="0.25">
      <c r="A71" s="66" t="s">
        <v>222</v>
      </c>
      <c r="B71" s="81" t="s">
        <v>368</v>
      </c>
      <c r="C71" s="61">
        <f t="shared" ref="C71:C74" si="32">SUM(D71:L71)</f>
        <v>1498509</v>
      </c>
      <c r="D71" s="63">
        <v>1553158</v>
      </c>
      <c r="E71" s="73">
        <v>-57649</v>
      </c>
      <c r="F71" s="67">
        <v>0</v>
      </c>
      <c r="G71" s="73">
        <v>0</v>
      </c>
      <c r="H71" s="67">
        <f>3000</f>
        <v>3000</v>
      </c>
      <c r="I71" s="73">
        <v>0</v>
      </c>
      <c r="J71" s="67">
        <v>0</v>
      </c>
      <c r="K71" s="65">
        <v>0</v>
      </c>
      <c r="L71" s="67">
        <v>0</v>
      </c>
    </row>
    <row r="72" spans="1:12" ht="51" x14ac:dyDescent="0.25">
      <c r="A72" s="66" t="s">
        <v>223</v>
      </c>
      <c r="B72" s="81" t="s">
        <v>415</v>
      </c>
      <c r="C72" s="61">
        <f t="shared" si="32"/>
        <v>294077</v>
      </c>
      <c r="D72" s="63">
        <f>285171-20000+28906</f>
        <v>294077</v>
      </c>
      <c r="E72" s="64">
        <v>0</v>
      </c>
      <c r="F72" s="67">
        <v>0</v>
      </c>
      <c r="G72" s="64">
        <v>0</v>
      </c>
      <c r="H72" s="67">
        <v>0</v>
      </c>
      <c r="I72" s="64">
        <v>0</v>
      </c>
      <c r="J72" s="67">
        <v>0</v>
      </c>
      <c r="K72" s="65">
        <v>0</v>
      </c>
      <c r="L72" s="67">
        <v>0</v>
      </c>
    </row>
    <row r="73" spans="1:12" ht="38.25" x14ac:dyDescent="0.25">
      <c r="A73" s="66" t="s">
        <v>224</v>
      </c>
      <c r="B73" s="81" t="s">
        <v>228</v>
      </c>
      <c r="C73" s="61">
        <f t="shared" si="32"/>
        <v>343580</v>
      </c>
      <c r="D73" s="63">
        <f>282765+20000+15000</f>
        <v>317765</v>
      </c>
      <c r="E73" s="64">
        <v>20000</v>
      </c>
      <c r="F73" s="67">
        <v>0</v>
      </c>
      <c r="G73" s="64">
        <v>0</v>
      </c>
      <c r="H73" s="67">
        <v>0</v>
      </c>
      <c r="I73" s="64">
        <v>0</v>
      </c>
      <c r="J73" s="67">
        <v>0</v>
      </c>
      <c r="K73" s="65">
        <v>0</v>
      </c>
      <c r="L73" s="63">
        <v>5815</v>
      </c>
    </row>
    <row r="74" spans="1:12" ht="38.25" x14ac:dyDescent="0.25">
      <c r="A74" s="66" t="s">
        <v>225</v>
      </c>
      <c r="B74" s="81" t="s">
        <v>369</v>
      </c>
      <c r="C74" s="61">
        <f t="shared" si="32"/>
        <v>37500</v>
      </c>
      <c r="D74" s="63">
        <v>34500</v>
      </c>
      <c r="E74" s="64">
        <v>0</v>
      </c>
      <c r="F74" s="67">
        <v>0</v>
      </c>
      <c r="G74" s="64">
        <v>0</v>
      </c>
      <c r="H74" s="67">
        <v>0</v>
      </c>
      <c r="I74" s="64">
        <v>3000</v>
      </c>
      <c r="J74" s="67">
        <v>0</v>
      </c>
      <c r="K74" s="65">
        <v>0</v>
      </c>
      <c r="L74" s="67">
        <v>0</v>
      </c>
    </row>
    <row r="75" spans="1:12" ht="63.75" x14ac:dyDescent="0.25">
      <c r="A75" s="66" t="s">
        <v>385</v>
      </c>
      <c r="B75" s="81" t="s">
        <v>386</v>
      </c>
      <c r="C75" s="61">
        <f t="shared" ref="C75:C76" si="33">SUM(D75:L75)</f>
        <v>15000</v>
      </c>
      <c r="D75" s="63">
        <v>15000</v>
      </c>
      <c r="E75" s="64">
        <v>0</v>
      </c>
      <c r="F75" s="67">
        <v>0</v>
      </c>
      <c r="G75" s="64">
        <v>0</v>
      </c>
      <c r="H75" s="67">
        <v>0</v>
      </c>
      <c r="I75" s="65">
        <v>0</v>
      </c>
      <c r="J75" s="67">
        <v>0</v>
      </c>
      <c r="K75" s="65">
        <v>0</v>
      </c>
      <c r="L75" s="67">
        <v>0</v>
      </c>
    </row>
    <row r="76" spans="1:12" ht="51" x14ac:dyDescent="0.25">
      <c r="A76" s="66" t="s">
        <v>437</v>
      </c>
      <c r="B76" s="81" t="s">
        <v>484</v>
      </c>
      <c r="C76" s="61">
        <f t="shared" si="33"/>
        <v>6321</v>
      </c>
      <c r="D76" s="63">
        <v>0</v>
      </c>
      <c r="E76" s="64">
        <v>0</v>
      </c>
      <c r="F76" s="67">
        <v>0</v>
      </c>
      <c r="G76" s="64">
        <v>0</v>
      </c>
      <c r="H76" s="67">
        <v>0</v>
      </c>
      <c r="I76" s="65">
        <v>0</v>
      </c>
      <c r="J76" s="67">
        <v>0</v>
      </c>
      <c r="K76" s="65">
        <v>0</v>
      </c>
      <c r="L76" s="63">
        <v>6321</v>
      </c>
    </row>
    <row r="77" spans="1:12" x14ac:dyDescent="0.25">
      <c r="A77" s="55" t="s">
        <v>132</v>
      </c>
      <c r="B77" s="56" t="s">
        <v>141</v>
      </c>
      <c r="C77" s="57">
        <f>SUM(D77:L77)</f>
        <v>455327</v>
      </c>
      <c r="D77" s="57">
        <f t="shared" ref="D77:K77" si="34">SUM(D78:D83)</f>
        <v>126251</v>
      </c>
      <c r="E77" s="58">
        <f t="shared" si="34"/>
        <v>0</v>
      </c>
      <c r="F77" s="57">
        <f t="shared" si="34"/>
        <v>0</v>
      </c>
      <c r="G77" s="58">
        <f t="shared" si="34"/>
        <v>0</v>
      </c>
      <c r="H77" s="57">
        <f t="shared" si="34"/>
        <v>150878</v>
      </c>
      <c r="I77" s="58">
        <f t="shared" si="34"/>
        <v>132167</v>
      </c>
      <c r="J77" s="57">
        <f t="shared" si="34"/>
        <v>0</v>
      </c>
      <c r="K77" s="58">
        <f t="shared" si="34"/>
        <v>0</v>
      </c>
      <c r="L77" s="57">
        <f t="shared" ref="L77" si="35">SUM(L78:L82)</f>
        <v>46031</v>
      </c>
    </row>
    <row r="78" spans="1:12" x14ac:dyDescent="0.25">
      <c r="A78" s="66" t="s">
        <v>230</v>
      </c>
      <c r="B78" s="81" t="s">
        <v>234</v>
      </c>
      <c r="C78" s="61">
        <f>SUM(D78:L78)</f>
        <v>60000</v>
      </c>
      <c r="D78" s="63">
        <v>60000</v>
      </c>
      <c r="E78" s="64">
        <v>0</v>
      </c>
      <c r="F78" s="67">
        <v>0</v>
      </c>
      <c r="G78" s="64">
        <v>0</v>
      </c>
      <c r="H78" s="67">
        <v>0</v>
      </c>
      <c r="I78" s="64">
        <v>0</v>
      </c>
      <c r="J78" s="67">
        <v>0</v>
      </c>
      <c r="K78" s="64">
        <v>0</v>
      </c>
      <c r="L78" s="67">
        <v>0</v>
      </c>
    </row>
    <row r="79" spans="1:12" ht="25.5" x14ac:dyDescent="0.25">
      <c r="A79" s="66" t="s">
        <v>231</v>
      </c>
      <c r="B79" s="81" t="s">
        <v>235</v>
      </c>
      <c r="C79" s="61">
        <f t="shared" ref="C79:C83" si="36">SUM(D79:L79)</f>
        <v>12400</v>
      </c>
      <c r="D79" s="63">
        <v>12400</v>
      </c>
      <c r="E79" s="64">
        <v>0</v>
      </c>
      <c r="F79" s="67">
        <v>0</v>
      </c>
      <c r="G79" s="64">
        <v>0</v>
      </c>
      <c r="H79" s="67">
        <v>0</v>
      </c>
      <c r="I79" s="64">
        <v>0</v>
      </c>
      <c r="J79" s="67">
        <v>0</v>
      </c>
      <c r="K79" s="64">
        <v>0</v>
      </c>
      <c r="L79" s="67">
        <v>0</v>
      </c>
    </row>
    <row r="80" spans="1:12" x14ac:dyDescent="0.25">
      <c r="A80" s="66" t="s">
        <v>232</v>
      </c>
      <c r="B80" s="81" t="s">
        <v>236</v>
      </c>
      <c r="C80" s="61">
        <f t="shared" si="36"/>
        <v>37000</v>
      </c>
      <c r="D80" s="63">
        <v>37000</v>
      </c>
      <c r="E80" s="64">
        <v>0</v>
      </c>
      <c r="F80" s="67">
        <v>0</v>
      </c>
      <c r="G80" s="64">
        <v>0</v>
      </c>
      <c r="H80" s="67">
        <v>0</v>
      </c>
      <c r="I80" s="64">
        <v>0</v>
      </c>
      <c r="J80" s="67">
        <v>0</v>
      </c>
      <c r="K80" s="64">
        <v>0</v>
      </c>
      <c r="L80" s="67">
        <v>0</v>
      </c>
    </row>
    <row r="81" spans="1:12" x14ac:dyDescent="0.25">
      <c r="A81" s="66" t="s">
        <v>233</v>
      </c>
      <c r="B81" s="81" t="s">
        <v>237</v>
      </c>
      <c r="C81" s="61">
        <f t="shared" si="36"/>
        <v>5000</v>
      </c>
      <c r="D81" s="63">
        <v>5000</v>
      </c>
      <c r="E81" s="64">
        <v>0</v>
      </c>
      <c r="F81" s="67">
        <v>0</v>
      </c>
      <c r="G81" s="64">
        <v>0</v>
      </c>
      <c r="H81" s="67">
        <v>0</v>
      </c>
      <c r="I81" s="64">
        <v>0</v>
      </c>
      <c r="J81" s="67">
        <v>0</v>
      </c>
      <c r="K81" s="64">
        <v>0</v>
      </c>
      <c r="L81" s="67">
        <v>0</v>
      </c>
    </row>
    <row r="82" spans="1:12" ht="54" customHeight="1" x14ac:dyDescent="0.25">
      <c r="A82" s="66" t="s">
        <v>422</v>
      </c>
      <c r="B82" s="81" t="s">
        <v>474</v>
      </c>
      <c r="C82" s="61">
        <f t="shared" si="36"/>
        <v>330927</v>
      </c>
      <c r="D82" s="63">
        <f>20000-18149</f>
        <v>1851</v>
      </c>
      <c r="E82" s="64">
        <v>0</v>
      </c>
      <c r="F82" s="67">
        <v>0</v>
      </c>
      <c r="G82" s="64">
        <v>0</v>
      </c>
      <c r="H82" s="67">
        <f>55655+95223</f>
        <v>150878</v>
      </c>
      <c r="I82" s="64">
        <v>132167</v>
      </c>
      <c r="J82" s="67">
        <v>0</v>
      </c>
      <c r="K82" s="64">
        <v>0</v>
      </c>
      <c r="L82" s="63">
        <v>46031</v>
      </c>
    </row>
    <row r="83" spans="1:12" ht="25.5" x14ac:dyDescent="0.25">
      <c r="A83" s="66" t="s">
        <v>782</v>
      </c>
      <c r="B83" s="81" t="s">
        <v>988</v>
      </c>
      <c r="C83" s="61">
        <f t="shared" si="36"/>
        <v>10000</v>
      </c>
      <c r="D83" s="63">
        <f>10000</f>
        <v>10000</v>
      </c>
      <c r="E83" s="64">
        <v>0</v>
      </c>
      <c r="F83" s="67">
        <v>0</v>
      </c>
      <c r="G83" s="64">
        <v>0</v>
      </c>
      <c r="H83" s="67">
        <v>0</v>
      </c>
      <c r="I83" s="64">
        <v>0</v>
      </c>
      <c r="J83" s="67">
        <v>0</v>
      </c>
      <c r="K83" s="64">
        <v>0</v>
      </c>
      <c r="L83" s="63">
        <v>0</v>
      </c>
    </row>
    <row r="84" spans="1:12" x14ac:dyDescent="0.25">
      <c r="A84" s="55" t="s">
        <v>26</v>
      </c>
      <c r="B84" s="56" t="s">
        <v>142</v>
      </c>
      <c r="C84" s="57">
        <f>SUM(D84:L84)</f>
        <v>10937591</v>
      </c>
      <c r="D84" s="57">
        <f>D85+D92+D110+D111</f>
        <v>8755021</v>
      </c>
      <c r="E84" s="58">
        <f t="shared" ref="E84:L84" si="37">E85+E92+E110+E111</f>
        <v>391391</v>
      </c>
      <c r="F84" s="57">
        <f t="shared" si="37"/>
        <v>584607</v>
      </c>
      <c r="G84" s="58">
        <f t="shared" si="37"/>
        <v>7420</v>
      </c>
      <c r="H84" s="57">
        <f t="shared" si="37"/>
        <v>225862</v>
      </c>
      <c r="I84" s="58">
        <f t="shared" si="37"/>
        <v>837498</v>
      </c>
      <c r="J84" s="57">
        <f t="shared" si="37"/>
        <v>19020</v>
      </c>
      <c r="K84" s="58">
        <f t="shared" si="37"/>
        <v>0</v>
      </c>
      <c r="L84" s="57">
        <f t="shared" si="37"/>
        <v>116772</v>
      </c>
    </row>
    <row r="85" spans="1:12" x14ac:dyDescent="0.25">
      <c r="A85" s="59" t="s">
        <v>238</v>
      </c>
      <c r="B85" s="60" t="s">
        <v>264</v>
      </c>
      <c r="C85" s="61">
        <f t="shared" ref="C85:C112" si="38">SUM(D85:L85)</f>
        <v>2432353</v>
      </c>
      <c r="D85" s="61">
        <f>SUM(D86:D90)</f>
        <v>1597791</v>
      </c>
      <c r="E85" s="62">
        <f>SUM(E86:E90)</f>
        <v>0</v>
      </c>
      <c r="F85" s="61">
        <f t="shared" ref="F85:L85" si="39">SUM(F86:F89)</f>
        <v>34148</v>
      </c>
      <c r="G85" s="62">
        <f t="shared" si="39"/>
        <v>0</v>
      </c>
      <c r="H85" s="61">
        <f t="shared" si="39"/>
        <v>0</v>
      </c>
      <c r="I85" s="62">
        <f>SUM(I86:I91)</f>
        <v>800000</v>
      </c>
      <c r="J85" s="61">
        <f t="shared" si="39"/>
        <v>0</v>
      </c>
      <c r="K85" s="62">
        <f t="shared" si="39"/>
        <v>0</v>
      </c>
      <c r="L85" s="61">
        <f t="shared" si="39"/>
        <v>414</v>
      </c>
    </row>
    <row r="86" spans="1:12" ht="25.5" x14ac:dyDescent="0.25">
      <c r="A86" s="66" t="s">
        <v>239</v>
      </c>
      <c r="B86" s="81" t="s">
        <v>395</v>
      </c>
      <c r="C86" s="61">
        <f t="shared" si="38"/>
        <v>648443</v>
      </c>
      <c r="D86" s="67">
        <f>607165+6716</f>
        <v>613881</v>
      </c>
      <c r="E86" s="64">
        <v>0</v>
      </c>
      <c r="F86" s="67">
        <v>34148</v>
      </c>
      <c r="G86" s="64">
        <v>0</v>
      </c>
      <c r="H86" s="67">
        <v>0</v>
      </c>
      <c r="I86" s="64">
        <v>0</v>
      </c>
      <c r="J86" s="67">
        <v>0</v>
      </c>
      <c r="K86" s="64">
        <v>0</v>
      </c>
      <c r="L86" s="67">
        <v>414</v>
      </c>
    </row>
    <row r="87" spans="1:12" x14ac:dyDescent="0.25">
      <c r="A87" s="66" t="s">
        <v>240</v>
      </c>
      <c r="B87" s="81" t="s">
        <v>265</v>
      </c>
      <c r="C87" s="61">
        <f t="shared" si="38"/>
        <v>621935</v>
      </c>
      <c r="D87" s="67">
        <f>609435+12500</f>
        <v>621935</v>
      </c>
      <c r="E87" s="64">
        <v>0</v>
      </c>
      <c r="F87" s="67">
        <v>0</v>
      </c>
      <c r="G87" s="64">
        <v>0</v>
      </c>
      <c r="H87" s="67">
        <v>0</v>
      </c>
      <c r="I87" s="64">
        <v>0</v>
      </c>
      <c r="J87" s="67">
        <v>0</v>
      </c>
      <c r="K87" s="64">
        <v>0</v>
      </c>
      <c r="L87" s="67">
        <v>0</v>
      </c>
    </row>
    <row r="88" spans="1:12" ht="38.25" x14ac:dyDescent="0.25">
      <c r="A88" s="66" t="s">
        <v>241</v>
      </c>
      <c r="B88" s="81" t="s">
        <v>420</v>
      </c>
      <c r="C88" s="61">
        <f t="shared" si="38"/>
        <v>5000</v>
      </c>
      <c r="D88" s="67">
        <v>5000</v>
      </c>
      <c r="E88" s="64">
        <v>0</v>
      </c>
      <c r="F88" s="67">
        <v>0</v>
      </c>
      <c r="G88" s="64">
        <v>0</v>
      </c>
      <c r="H88" s="67">
        <v>0</v>
      </c>
      <c r="I88" s="64">
        <v>0</v>
      </c>
      <c r="J88" s="67">
        <v>0</v>
      </c>
      <c r="K88" s="64">
        <v>0</v>
      </c>
      <c r="L88" s="67">
        <v>0</v>
      </c>
    </row>
    <row r="89" spans="1:12" ht="56.25" customHeight="1" x14ac:dyDescent="0.25">
      <c r="A89" s="66" t="s">
        <v>446</v>
      </c>
      <c r="B89" s="81" t="s">
        <v>447</v>
      </c>
      <c r="C89" s="61">
        <f t="shared" si="38"/>
        <v>110000</v>
      </c>
      <c r="D89" s="67">
        <v>110000</v>
      </c>
      <c r="E89" s="64">
        <v>0</v>
      </c>
      <c r="F89" s="67">
        <v>0</v>
      </c>
      <c r="G89" s="64">
        <v>0</v>
      </c>
      <c r="H89" s="67">
        <v>0</v>
      </c>
      <c r="I89" s="64">
        <v>0</v>
      </c>
      <c r="J89" s="67">
        <v>0</v>
      </c>
      <c r="K89" s="64">
        <v>0</v>
      </c>
      <c r="L89" s="67">
        <v>0</v>
      </c>
    </row>
    <row r="90" spans="1:12" ht="56.25" customHeight="1" x14ac:dyDescent="0.25">
      <c r="A90" s="66" t="s">
        <v>779</v>
      </c>
      <c r="B90" s="81" t="s">
        <v>780</v>
      </c>
      <c r="C90" s="61">
        <f t="shared" si="38"/>
        <v>246975</v>
      </c>
      <c r="D90" s="67">
        <f>236975+10000</f>
        <v>246975</v>
      </c>
      <c r="E90" s="64">
        <v>0</v>
      </c>
      <c r="F90" s="67">
        <v>0</v>
      </c>
      <c r="G90" s="64">
        <v>0</v>
      </c>
      <c r="H90" s="67">
        <v>0</v>
      </c>
      <c r="I90" s="64">
        <v>0</v>
      </c>
      <c r="J90" s="67">
        <v>0</v>
      </c>
      <c r="K90" s="64">
        <v>0</v>
      </c>
      <c r="L90" s="67">
        <v>0</v>
      </c>
    </row>
    <row r="91" spans="1:12" x14ac:dyDescent="0.25">
      <c r="A91" s="66" t="s">
        <v>1005</v>
      </c>
      <c r="B91" s="81" t="s">
        <v>1006</v>
      </c>
      <c r="C91" s="61">
        <f t="shared" si="38"/>
        <v>800000</v>
      </c>
      <c r="D91" s="67">
        <v>0</v>
      </c>
      <c r="E91" s="64">
        <v>0</v>
      </c>
      <c r="F91" s="67">
        <v>0</v>
      </c>
      <c r="G91" s="64">
        <v>0</v>
      </c>
      <c r="H91" s="67">
        <v>0</v>
      </c>
      <c r="I91" s="64">
        <v>800000</v>
      </c>
      <c r="J91" s="67">
        <v>0</v>
      </c>
      <c r="K91" s="64">
        <v>0</v>
      </c>
      <c r="L91" s="67">
        <v>0</v>
      </c>
    </row>
    <row r="92" spans="1:12" x14ac:dyDescent="0.25">
      <c r="A92" s="59" t="s">
        <v>242</v>
      </c>
      <c r="B92" s="60" t="s">
        <v>266</v>
      </c>
      <c r="C92" s="61">
        <f t="shared" si="38"/>
        <v>7833158</v>
      </c>
      <c r="D92" s="61">
        <f>D93+D97+D99+D102+D106</f>
        <v>6485350</v>
      </c>
      <c r="E92" s="71">
        <f t="shared" ref="E92:L92" si="40">E93+E97+E99+E102+E106</f>
        <v>391191</v>
      </c>
      <c r="F92" s="70">
        <f>F93+F97+F99+F102+F106</f>
        <v>550459</v>
      </c>
      <c r="G92" s="71">
        <f t="shared" si="40"/>
        <v>7420</v>
      </c>
      <c r="H92" s="70">
        <f t="shared" si="40"/>
        <v>225862</v>
      </c>
      <c r="I92" s="71">
        <f t="shared" si="40"/>
        <v>37498</v>
      </c>
      <c r="J92" s="70">
        <f t="shared" si="40"/>
        <v>19020</v>
      </c>
      <c r="K92" s="71">
        <f t="shared" si="40"/>
        <v>0</v>
      </c>
      <c r="L92" s="70">
        <f t="shared" si="40"/>
        <v>116358</v>
      </c>
    </row>
    <row r="93" spans="1:12" x14ac:dyDescent="0.25">
      <c r="A93" s="59" t="s">
        <v>243</v>
      </c>
      <c r="B93" s="60" t="s">
        <v>267</v>
      </c>
      <c r="C93" s="61">
        <f t="shared" si="38"/>
        <v>1065852</v>
      </c>
      <c r="D93" s="61">
        <f t="shared" ref="D93:L93" si="41">SUM(D94:D96)</f>
        <v>903204</v>
      </c>
      <c r="E93" s="71">
        <f t="shared" si="41"/>
        <v>20000</v>
      </c>
      <c r="F93" s="70">
        <f t="shared" si="41"/>
        <v>5318</v>
      </c>
      <c r="G93" s="71">
        <f t="shared" si="41"/>
        <v>0</v>
      </c>
      <c r="H93" s="70">
        <f t="shared" si="41"/>
        <v>71767</v>
      </c>
      <c r="I93" s="71">
        <f t="shared" si="41"/>
        <v>37498</v>
      </c>
      <c r="J93" s="70">
        <f t="shared" si="41"/>
        <v>19020</v>
      </c>
      <c r="K93" s="71">
        <f t="shared" si="41"/>
        <v>0</v>
      </c>
      <c r="L93" s="61">
        <f t="shared" si="41"/>
        <v>9045</v>
      </c>
    </row>
    <row r="94" spans="1:12" ht="25.5" x14ac:dyDescent="0.25">
      <c r="A94" s="66" t="s">
        <v>244</v>
      </c>
      <c r="B94" s="81" t="s">
        <v>396</v>
      </c>
      <c r="C94" s="61">
        <f t="shared" si="38"/>
        <v>906517</v>
      </c>
      <c r="D94" s="67">
        <v>860949</v>
      </c>
      <c r="E94" s="64">
        <v>20000</v>
      </c>
      <c r="F94" s="67">
        <v>5318</v>
      </c>
      <c r="G94" s="64">
        <v>0</v>
      </c>
      <c r="H94" s="67">
        <f>250</f>
        <v>250</v>
      </c>
      <c r="I94" s="64">
        <v>0</v>
      </c>
      <c r="J94" s="67">
        <v>19020</v>
      </c>
      <c r="K94" s="64">
        <v>0</v>
      </c>
      <c r="L94" s="67">
        <v>980</v>
      </c>
    </row>
    <row r="95" spans="1:12" ht="38.25" hidden="1" x14ac:dyDescent="0.25">
      <c r="A95" s="82" t="s">
        <v>245</v>
      </c>
      <c r="B95" s="83" t="s">
        <v>397</v>
      </c>
      <c r="C95" s="86">
        <f t="shared" si="38"/>
        <v>0</v>
      </c>
      <c r="D95" s="84"/>
      <c r="E95" s="64"/>
      <c r="F95" s="67"/>
      <c r="G95" s="64"/>
      <c r="H95" s="67"/>
      <c r="I95" s="64"/>
      <c r="J95" s="67"/>
      <c r="K95" s="312"/>
      <c r="L95" s="84"/>
    </row>
    <row r="96" spans="1:12" ht="51" x14ac:dyDescent="0.25">
      <c r="A96" s="66" t="s">
        <v>424</v>
      </c>
      <c r="B96" s="81" t="s">
        <v>423</v>
      </c>
      <c r="C96" s="61">
        <f t="shared" si="38"/>
        <v>159335</v>
      </c>
      <c r="D96" s="67">
        <v>42255</v>
      </c>
      <c r="E96" s="64">
        <v>0</v>
      </c>
      <c r="F96" s="67">
        <v>0</v>
      </c>
      <c r="G96" s="64">
        <v>0</v>
      </c>
      <c r="H96" s="67">
        <v>71517</v>
      </c>
      <c r="I96" s="64">
        <v>37498</v>
      </c>
      <c r="J96" s="67">
        <v>0</v>
      </c>
      <c r="K96" s="64">
        <v>0</v>
      </c>
      <c r="L96" s="67">
        <v>8065</v>
      </c>
    </row>
    <row r="97" spans="1:12" x14ac:dyDescent="0.25">
      <c r="A97" s="59" t="s">
        <v>246</v>
      </c>
      <c r="B97" s="60" t="s">
        <v>268</v>
      </c>
      <c r="C97" s="61">
        <f t="shared" si="38"/>
        <v>785093</v>
      </c>
      <c r="D97" s="70">
        <f>D98</f>
        <v>700548</v>
      </c>
      <c r="E97" s="71">
        <f t="shared" ref="E97:L97" si="42">E98</f>
        <v>35000</v>
      </c>
      <c r="F97" s="70">
        <f t="shared" si="42"/>
        <v>8000</v>
      </c>
      <c r="G97" s="71">
        <f t="shared" si="42"/>
        <v>5000</v>
      </c>
      <c r="H97" s="70">
        <f t="shared" si="42"/>
        <v>20164</v>
      </c>
      <c r="I97" s="71">
        <f t="shared" si="42"/>
        <v>0</v>
      </c>
      <c r="J97" s="70">
        <f t="shared" si="42"/>
        <v>0</v>
      </c>
      <c r="K97" s="71">
        <f t="shared" si="42"/>
        <v>0</v>
      </c>
      <c r="L97" s="70">
        <f t="shared" si="42"/>
        <v>16381</v>
      </c>
    </row>
    <row r="98" spans="1:12" ht="38.25" x14ac:dyDescent="0.25">
      <c r="A98" s="66" t="s">
        <v>247</v>
      </c>
      <c r="B98" s="81" t="s">
        <v>398</v>
      </c>
      <c r="C98" s="61">
        <f t="shared" si="38"/>
        <v>785093</v>
      </c>
      <c r="D98" s="67">
        <f>694619+5929</f>
        <v>700548</v>
      </c>
      <c r="E98" s="64">
        <v>35000</v>
      </c>
      <c r="F98" s="67">
        <v>8000</v>
      </c>
      <c r="G98" s="64">
        <v>5000</v>
      </c>
      <c r="H98" s="67">
        <f>17000+3164</f>
        <v>20164</v>
      </c>
      <c r="I98" s="64">
        <v>0</v>
      </c>
      <c r="J98" s="67">
        <v>0</v>
      </c>
      <c r="K98" s="64">
        <v>0</v>
      </c>
      <c r="L98" s="67">
        <v>16381</v>
      </c>
    </row>
    <row r="99" spans="1:12" x14ac:dyDescent="0.25">
      <c r="A99" s="59" t="s">
        <v>248</v>
      </c>
      <c r="B99" s="60" t="s">
        <v>269</v>
      </c>
      <c r="C99" s="61">
        <f t="shared" si="38"/>
        <v>2901224</v>
      </c>
      <c r="D99" s="70">
        <f>D100+D101</f>
        <v>2161157</v>
      </c>
      <c r="E99" s="71">
        <f t="shared" ref="E99:L99" si="43">E100+E101</f>
        <v>0</v>
      </c>
      <c r="F99" s="70">
        <f t="shared" si="43"/>
        <v>537141</v>
      </c>
      <c r="G99" s="71">
        <f t="shared" si="43"/>
        <v>2420</v>
      </c>
      <c r="H99" s="70">
        <f t="shared" si="43"/>
        <v>111575</v>
      </c>
      <c r="I99" s="71">
        <f t="shared" si="43"/>
        <v>0</v>
      </c>
      <c r="J99" s="70">
        <f t="shared" si="43"/>
        <v>0</v>
      </c>
      <c r="K99" s="71">
        <f t="shared" si="43"/>
        <v>0</v>
      </c>
      <c r="L99" s="70">
        <f t="shared" si="43"/>
        <v>88931</v>
      </c>
    </row>
    <row r="100" spans="1:12" ht="25.5" x14ac:dyDescent="0.25">
      <c r="A100" s="66" t="s">
        <v>249</v>
      </c>
      <c r="B100" s="81" t="s">
        <v>399</v>
      </c>
      <c r="C100" s="61">
        <f t="shared" si="38"/>
        <v>1898441</v>
      </c>
      <c r="D100" s="67">
        <f>1203889+17362+436443</f>
        <v>1657694</v>
      </c>
      <c r="E100" s="64">
        <v>0</v>
      </c>
      <c r="F100" s="67">
        <f>113500+34935</f>
        <v>148435</v>
      </c>
      <c r="G100" s="64">
        <v>2420</v>
      </c>
      <c r="H100" s="67">
        <f>4128</f>
        <v>4128</v>
      </c>
      <c r="I100" s="64">
        <v>0</v>
      </c>
      <c r="J100" s="67">
        <v>0</v>
      </c>
      <c r="K100" s="64">
        <v>0</v>
      </c>
      <c r="L100" s="67">
        <v>85764</v>
      </c>
    </row>
    <row r="101" spans="1:12" x14ac:dyDescent="0.25">
      <c r="A101" s="66" t="s">
        <v>250</v>
      </c>
      <c r="B101" s="81" t="s">
        <v>400</v>
      </c>
      <c r="C101" s="61">
        <f t="shared" si="38"/>
        <v>1002783</v>
      </c>
      <c r="D101" s="67">
        <f>484325+9138+10000</f>
        <v>503463</v>
      </c>
      <c r="E101" s="64">
        <v>0</v>
      </c>
      <c r="F101" s="67">
        <f>350000+29600+9106</f>
        <v>388706</v>
      </c>
      <c r="G101" s="73">
        <v>0</v>
      </c>
      <c r="H101" s="67">
        <f>60893+46554</f>
        <v>107447</v>
      </c>
      <c r="I101" s="64">
        <v>0</v>
      </c>
      <c r="J101" s="67">
        <v>0</v>
      </c>
      <c r="K101" s="64">
        <v>0</v>
      </c>
      <c r="L101" s="67">
        <v>3167</v>
      </c>
    </row>
    <row r="102" spans="1:12" x14ac:dyDescent="0.25">
      <c r="A102" s="59" t="s">
        <v>251</v>
      </c>
      <c r="B102" s="60" t="s">
        <v>270</v>
      </c>
      <c r="C102" s="61">
        <f t="shared" si="38"/>
        <v>204898</v>
      </c>
      <c r="D102" s="70">
        <f>SUM(D103:D105)</f>
        <v>202897</v>
      </c>
      <c r="E102" s="71">
        <f t="shared" ref="E102:L102" si="44">SUM(E103:E105)</f>
        <v>0</v>
      </c>
      <c r="F102" s="70">
        <f t="shared" si="44"/>
        <v>0</v>
      </c>
      <c r="G102" s="71">
        <f t="shared" si="44"/>
        <v>0</v>
      </c>
      <c r="H102" s="70">
        <f t="shared" si="44"/>
        <v>0</v>
      </c>
      <c r="I102" s="71">
        <f t="shared" si="44"/>
        <v>0</v>
      </c>
      <c r="J102" s="70">
        <f t="shared" si="44"/>
        <v>0</v>
      </c>
      <c r="K102" s="71">
        <f t="shared" si="44"/>
        <v>0</v>
      </c>
      <c r="L102" s="70">
        <f t="shared" si="44"/>
        <v>2001</v>
      </c>
    </row>
    <row r="103" spans="1:12" ht="25.5" x14ac:dyDescent="0.25">
      <c r="A103" s="66" t="s">
        <v>252</v>
      </c>
      <c r="B103" s="81" t="s">
        <v>271</v>
      </c>
      <c r="C103" s="61">
        <f t="shared" si="38"/>
        <v>102013</v>
      </c>
      <c r="D103" s="67">
        <v>102012</v>
      </c>
      <c r="E103" s="64">
        <v>0</v>
      </c>
      <c r="F103" s="67">
        <v>0</v>
      </c>
      <c r="G103" s="64">
        <v>0</v>
      </c>
      <c r="H103" s="67">
        <v>0</v>
      </c>
      <c r="I103" s="64">
        <v>0</v>
      </c>
      <c r="J103" s="67">
        <v>0</v>
      </c>
      <c r="K103" s="64">
        <v>0</v>
      </c>
      <c r="L103" s="67">
        <v>1</v>
      </c>
    </row>
    <row r="104" spans="1:12" ht="25.5" x14ac:dyDescent="0.25">
      <c r="A104" s="66" t="s">
        <v>253</v>
      </c>
      <c r="B104" s="81" t="s">
        <v>370</v>
      </c>
      <c r="C104" s="61">
        <f t="shared" si="38"/>
        <v>81871</v>
      </c>
      <c r="D104" s="63">
        <v>79871</v>
      </c>
      <c r="E104" s="64">
        <v>0</v>
      </c>
      <c r="F104" s="67">
        <v>0</v>
      </c>
      <c r="G104" s="64">
        <v>0</v>
      </c>
      <c r="H104" s="67">
        <v>0</v>
      </c>
      <c r="I104" s="64">
        <v>0</v>
      </c>
      <c r="J104" s="67">
        <v>0</v>
      </c>
      <c r="K104" s="64">
        <v>0</v>
      </c>
      <c r="L104" s="63">
        <v>2000</v>
      </c>
    </row>
    <row r="105" spans="1:12" ht="25.5" x14ac:dyDescent="0.25">
      <c r="A105" s="66" t="s">
        <v>254</v>
      </c>
      <c r="B105" s="81" t="s">
        <v>272</v>
      </c>
      <c r="C105" s="61">
        <f t="shared" si="38"/>
        <v>21014</v>
      </c>
      <c r="D105" s="63">
        <v>21014</v>
      </c>
      <c r="E105" s="64">
        <v>0</v>
      </c>
      <c r="F105" s="67">
        <v>0</v>
      </c>
      <c r="G105" s="64">
        <v>0</v>
      </c>
      <c r="H105" s="67">
        <v>0</v>
      </c>
      <c r="I105" s="64">
        <v>0</v>
      </c>
      <c r="J105" s="67">
        <v>0</v>
      </c>
      <c r="K105" s="64">
        <v>0</v>
      </c>
      <c r="L105" s="63">
        <v>0</v>
      </c>
    </row>
    <row r="106" spans="1:12" x14ac:dyDescent="0.25">
      <c r="A106" s="59" t="s">
        <v>255</v>
      </c>
      <c r="B106" s="60" t="s">
        <v>273</v>
      </c>
      <c r="C106" s="61">
        <f t="shared" si="38"/>
        <v>2876091</v>
      </c>
      <c r="D106" s="61">
        <f>SUM(D107:D109)</f>
        <v>2517544</v>
      </c>
      <c r="E106" s="71">
        <f t="shared" ref="E106:L106" si="45">SUM(E107:E109)</f>
        <v>336191</v>
      </c>
      <c r="F106" s="70">
        <f t="shared" si="45"/>
        <v>0</v>
      </c>
      <c r="G106" s="71">
        <f t="shared" si="45"/>
        <v>0</v>
      </c>
      <c r="H106" s="70">
        <f t="shared" si="45"/>
        <v>22356</v>
      </c>
      <c r="I106" s="71">
        <f t="shared" si="45"/>
        <v>0</v>
      </c>
      <c r="J106" s="61">
        <f t="shared" si="45"/>
        <v>0</v>
      </c>
      <c r="K106" s="62">
        <f t="shared" si="45"/>
        <v>0</v>
      </c>
      <c r="L106" s="61">
        <f t="shared" si="45"/>
        <v>0</v>
      </c>
    </row>
    <row r="107" spans="1:12" ht="25.5" x14ac:dyDescent="0.25">
      <c r="A107" s="66" t="s">
        <v>256</v>
      </c>
      <c r="B107" s="81" t="s">
        <v>274</v>
      </c>
      <c r="C107" s="61">
        <f t="shared" si="38"/>
        <v>399292</v>
      </c>
      <c r="D107" s="63">
        <f>375216+1720</f>
        <v>376936</v>
      </c>
      <c r="E107" s="64">
        <v>0</v>
      </c>
      <c r="F107" s="67">
        <v>0</v>
      </c>
      <c r="G107" s="64">
        <v>0</v>
      </c>
      <c r="H107" s="67">
        <v>22356</v>
      </c>
      <c r="I107" s="64">
        <v>0</v>
      </c>
      <c r="J107" s="67">
        <v>0</v>
      </c>
      <c r="K107" s="64">
        <v>0</v>
      </c>
      <c r="L107" s="67">
        <v>0</v>
      </c>
    </row>
    <row r="108" spans="1:12" x14ac:dyDescent="0.25">
      <c r="A108" s="66" t="s">
        <v>257</v>
      </c>
      <c r="B108" s="81" t="s">
        <v>275</v>
      </c>
      <c r="C108" s="61">
        <f t="shared" si="38"/>
        <v>520970</v>
      </c>
      <c r="D108" s="63">
        <v>520970</v>
      </c>
      <c r="E108" s="64">
        <v>0</v>
      </c>
      <c r="F108" s="67">
        <v>0</v>
      </c>
      <c r="G108" s="64">
        <v>0</v>
      </c>
      <c r="H108" s="67">
        <v>0</v>
      </c>
      <c r="I108" s="64">
        <v>0</v>
      </c>
      <c r="J108" s="67">
        <v>0</v>
      </c>
      <c r="K108" s="64">
        <v>0</v>
      </c>
      <c r="L108" s="67">
        <v>0</v>
      </c>
    </row>
    <row r="109" spans="1:12" ht="38.25" x14ac:dyDescent="0.25">
      <c r="A109" s="66" t="s">
        <v>448</v>
      </c>
      <c r="B109" s="81" t="s">
        <v>781</v>
      </c>
      <c r="C109" s="61">
        <f t="shared" si="38"/>
        <v>1955829</v>
      </c>
      <c r="D109" s="63">
        <f>437250+1182388</f>
        <v>1619638</v>
      </c>
      <c r="E109" s="64">
        <f>161191+175000</f>
        <v>336191</v>
      </c>
      <c r="F109" s="67">
        <v>0</v>
      </c>
      <c r="G109" s="64">
        <v>0</v>
      </c>
      <c r="H109" s="67">
        <v>0</v>
      </c>
      <c r="I109" s="64">
        <v>0</v>
      </c>
      <c r="J109" s="67">
        <v>0</v>
      </c>
      <c r="K109" s="64">
        <v>0</v>
      </c>
      <c r="L109" s="67">
        <v>0</v>
      </c>
    </row>
    <row r="110" spans="1:12" ht="27" x14ac:dyDescent="0.25">
      <c r="A110" s="59" t="s">
        <v>258</v>
      </c>
      <c r="B110" s="69" t="s">
        <v>401</v>
      </c>
      <c r="C110" s="61">
        <f t="shared" si="38"/>
        <v>399972</v>
      </c>
      <c r="D110" s="63">
        <v>399972</v>
      </c>
      <c r="E110" s="64">
        <v>0</v>
      </c>
      <c r="F110" s="67">
        <v>0</v>
      </c>
      <c r="G110" s="64">
        <v>0</v>
      </c>
      <c r="H110" s="67">
        <v>0</v>
      </c>
      <c r="I110" s="64">
        <v>0</v>
      </c>
      <c r="J110" s="67">
        <v>0</v>
      </c>
      <c r="K110" s="64">
        <v>0</v>
      </c>
      <c r="L110" s="67">
        <v>0</v>
      </c>
    </row>
    <row r="111" spans="1:12" ht="38.25" x14ac:dyDescent="0.25">
      <c r="A111" s="59" t="s">
        <v>259</v>
      </c>
      <c r="B111" s="60" t="s">
        <v>276</v>
      </c>
      <c r="C111" s="61">
        <f t="shared" si="38"/>
        <v>272108</v>
      </c>
      <c r="D111" s="61">
        <f>SUM(D112:D115)</f>
        <v>271908</v>
      </c>
      <c r="E111" s="71">
        <f t="shared" ref="E111:L111" si="46">SUM(E112:E115)</f>
        <v>200</v>
      </c>
      <c r="F111" s="70">
        <f t="shared" si="46"/>
        <v>0</v>
      </c>
      <c r="G111" s="71">
        <f t="shared" si="46"/>
        <v>0</v>
      </c>
      <c r="H111" s="70">
        <f t="shared" si="46"/>
        <v>0</v>
      </c>
      <c r="I111" s="71">
        <f t="shared" si="46"/>
        <v>0</v>
      </c>
      <c r="J111" s="70">
        <f t="shared" si="46"/>
        <v>0</v>
      </c>
      <c r="K111" s="62">
        <f t="shared" si="46"/>
        <v>0</v>
      </c>
      <c r="L111" s="61">
        <f t="shared" si="46"/>
        <v>0</v>
      </c>
    </row>
    <row r="112" spans="1:12" ht="25.5" x14ac:dyDescent="0.25">
      <c r="A112" s="66" t="s">
        <v>260</v>
      </c>
      <c r="B112" s="81" t="s">
        <v>277</v>
      </c>
      <c r="C112" s="61">
        <f t="shared" si="38"/>
        <v>41686</v>
      </c>
      <c r="D112" s="63">
        <f>42686-1000</f>
        <v>41686</v>
      </c>
      <c r="E112" s="64">
        <v>0</v>
      </c>
      <c r="F112" s="67">
        <v>0</v>
      </c>
      <c r="G112" s="64">
        <v>0</v>
      </c>
      <c r="H112" s="67">
        <v>0</v>
      </c>
      <c r="I112" s="64">
        <v>0</v>
      </c>
      <c r="J112" s="67">
        <v>0</v>
      </c>
      <c r="K112" s="64">
        <v>0</v>
      </c>
      <c r="L112" s="67">
        <v>0</v>
      </c>
    </row>
    <row r="113" spans="1:12" ht="25.5" x14ac:dyDescent="0.25">
      <c r="A113" s="66" t="s">
        <v>261</v>
      </c>
      <c r="B113" s="81" t="s">
        <v>278</v>
      </c>
      <c r="C113" s="61">
        <f t="shared" ref="C113:C115" si="47">SUM(D113:L113)</f>
        <v>22350</v>
      </c>
      <c r="D113" s="63">
        <v>22350</v>
      </c>
      <c r="E113" s="64">
        <v>0</v>
      </c>
      <c r="F113" s="67">
        <v>0</v>
      </c>
      <c r="G113" s="64">
        <v>0</v>
      </c>
      <c r="H113" s="67">
        <v>0</v>
      </c>
      <c r="I113" s="64">
        <v>0</v>
      </c>
      <c r="J113" s="67">
        <v>0</v>
      </c>
      <c r="K113" s="64">
        <v>0</v>
      </c>
      <c r="L113" s="67">
        <v>0</v>
      </c>
    </row>
    <row r="114" spans="1:12" ht="38.25" x14ac:dyDescent="0.25">
      <c r="A114" s="66" t="s">
        <v>262</v>
      </c>
      <c r="B114" s="81" t="s">
        <v>279</v>
      </c>
      <c r="C114" s="61">
        <f t="shared" si="47"/>
        <v>4300</v>
      </c>
      <c r="D114" s="67">
        <v>4300</v>
      </c>
      <c r="E114" s="64">
        <v>0</v>
      </c>
      <c r="F114" s="67">
        <v>0</v>
      </c>
      <c r="G114" s="64">
        <v>0</v>
      </c>
      <c r="H114" s="67">
        <v>0</v>
      </c>
      <c r="I114" s="64">
        <v>0</v>
      </c>
      <c r="J114" s="67">
        <v>0</v>
      </c>
      <c r="K114" s="64">
        <v>0</v>
      </c>
      <c r="L114" s="67">
        <v>0</v>
      </c>
    </row>
    <row r="115" spans="1:12" ht="25.5" x14ac:dyDescent="0.25">
      <c r="A115" s="66" t="s">
        <v>263</v>
      </c>
      <c r="B115" s="81" t="s">
        <v>280</v>
      </c>
      <c r="C115" s="61">
        <f t="shared" si="47"/>
        <v>203772</v>
      </c>
      <c r="D115" s="67">
        <f>175650+7746+20176</f>
        <v>203572</v>
      </c>
      <c r="E115" s="64">
        <v>200</v>
      </c>
      <c r="F115" s="67">
        <v>0</v>
      </c>
      <c r="G115" s="64">
        <v>0</v>
      </c>
      <c r="H115" s="67">
        <v>0</v>
      </c>
      <c r="I115" s="64">
        <v>0</v>
      </c>
      <c r="J115" s="67">
        <v>0</v>
      </c>
      <c r="K115" s="64">
        <v>0</v>
      </c>
      <c r="L115" s="67">
        <v>0</v>
      </c>
    </row>
    <row r="116" spans="1:12" x14ac:dyDescent="0.25">
      <c r="A116" s="55" t="s">
        <v>30</v>
      </c>
      <c r="B116" s="56" t="s">
        <v>143</v>
      </c>
      <c r="C116" s="57">
        <f t="shared" ref="C116:C122" si="48">SUM(D116:L116)</f>
        <v>44829928</v>
      </c>
      <c r="D116" s="57">
        <f>D117+D120+D132+D139+D142+D147</f>
        <v>26215668</v>
      </c>
      <c r="E116" s="58">
        <f t="shared" ref="E116:L116" si="49">E117+E120+E132+E139+E142+E147</f>
        <v>237276</v>
      </c>
      <c r="F116" s="57">
        <f t="shared" si="49"/>
        <v>772135</v>
      </c>
      <c r="G116" s="58">
        <f t="shared" si="49"/>
        <v>26492</v>
      </c>
      <c r="H116" s="57">
        <f t="shared" si="49"/>
        <v>9973265</v>
      </c>
      <c r="I116" s="58">
        <f t="shared" si="49"/>
        <v>6675472</v>
      </c>
      <c r="J116" s="57">
        <f t="shared" si="49"/>
        <v>0</v>
      </c>
      <c r="K116" s="58">
        <f t="shared" si="49"/>
        <v>0</v>
      </c>
      <c r="L116" s="57">
        <f t="shared" si="49"/>
        <v>929620</v>
      </c>
    </row>
    <row r="117" spans="1:12" x14ac:dyDescent="0.25">
      <c r="A117" s="59" t="s">
        <v>281</v>
      </c>
      <c r="B117" s="60" t="s">
        <v>282</v>
      </c>
      <c r="C117" s="61">
        <f t="shared" si="48"/>
        <v>9046466</v>
      </c>
      <c r="D117" s="61">
        <f>D118+D119</f>
        <v>7576090</v>
      </c>
      <c r="E117" s="62">
        <f t="shared" ref="E117:L117" si="50">E118+E119</f>
        <v>69500</v>
      </c>
      <c r="F117" s="61">
        <f t="shared" si="50"/>
        <v>109089</v>
      </c>
      <c r="G117" s="62">
        <f t="shared" si="50"/>
        <v>0</v>
      </c>
      <c r="H117" s="61">
        <f t="shared" si="50"/>
        <v>607892</v>
      </c>
      <c r="I117" s="62">
        <f t="shared" si="50"/>
        <v>625549</v>
      </c>
      <c r="J117" s="61">
        <f t="shared" si="50"/>
        <v>0</v>
      </c>
      <c r="K117" s="62">
        <f t="shared" si="50"/>
        <v>0</v>
      </c>
      <c r="L117" s="61">
        <f t="shared" si="50"/>
        <v>58346</v>
      </c>
    </row>
    <row r="118" spans="1:12" ht="25.5" x14ac:dyDescent="0.25">
      <c r="A118" s="66" t="s">
        <v>302</v>
      </c>
      <c r="B118" s="81" t="s">
        <v>317</v>
      </c>
      <c r="C118" s="61">
        <f t="shared" si="48"/>
        <v>7667735</v>
      </c>
      <c r="D118" s="67">
        <f>6432230+74150</f>
        <v>6506380</v>
      </c>
      <c r="E118" s="64">
        <f>39500+30000</f>
        <v>69500</v>
      </c>
      <c r="F118" s="67">
        <f>108072+1017</f>
        <v>109089</v>
      </c>
      <c r="G118" s="64">
        <v>0</v>
      </c>
      <c r="H118" s="67">
        <v>607892</v>
      </c>
      <c r="I118" s="64">
        <v>316528</v>
      </c>
      <c r="J118" s="67">
        <v>0</v>
      </c>
      <c r="K118" s="64">
        <v>0</v>
      </c>
      <c r="L118" s="67">
        <v>58346</v>
      </c>
    </row>
    <row r="119" spans="1:12" ht="63.75" x14ac:dyDescent="0.25">
      <c r="A119" s="87" t="s">
        <v>463</v>
      </c>
      <c r="B119" s="88" t="s">
        <v>464</v>
      </c>
      <c r="C119" s="70">
        <f t="shared" si="48"/>
        <v>1378731</v>
      </c>
      <c r="D119" s="67">
        <v>1069710</v>
      </c>
      <c r="E119" s="64">
        <v>0</v>
      </c>
      <c r="F119" s="67">
        <v>0</v>
      </c>
      <c r="G119" s="64">
        <v>0</v>
      </c>
      <c r="H119" s="67">
        <v>0</v>
      </c>
      <c r="I119" s="64">
        <v>309021</v>
      </c>
      <c r="J119" s="67">
        <v>0</v>
      </c>
      <c r="K119" s="64">
        <v>0</v>
      </c>
      <c r="L119" s="67">
        <v>0</v>
      </c>
    </row>
    <row r="120" spans="1:12" ht="25.5" x14ac:dyDescent="0.25">
      <c r="A120" s="114" t="s">
        <v>283</v>
      </c>
      <c r="B120" s="115" t="s">
        <v>308</v>
      </c>
      <c r="C120" s="70">
        <f t="shared" si="48"/>
        <v>28908625</v>
      </c>
      <c r="D120" s="70">
        <f>D121+D128</f>
        <v>14470875</v>
      </c>
      <c r="E120" s="71">
        <f t="shared" ref="E120:L120" si="51">E121+E128</f>
        <v>-10000</v>
      </c>
      <c r="F120" s="70">
        <f t="shared" si="51"/>
        <v>271506</v>
      </c>
      <c r="G120" s="71">
        <f t="shared" si="51"/>
        <v>26492</v>
      </c>
      <c r="H120" s="70">
        <f t="shared" si="51"/>
        <v>7945914</v>
      </c>
      <c r="I120" s="71">
        <f t="shared" si="51"/>
        <v>5661610</v>
      </c>
      <c r="J120" s="70">
        <f t="shared" si="51"/>
        <v>0</v>
      </c>
      <c r="K120" s="71">
        <f t="shared" si="51"/>
        <v>0</v>
      </c>
      <c r="L120" s="70">
        <f t="shared" si="51"/>
        <v>542228</v>
      </c>
    </row>
    <row r="121" spans="1:12" x14ac:dyDescent="0.25">
      <c r="A121" s="75" t="s">
        <v>284</v>
      </c>
      <c r="B121" s="60" t="s">
        <v>303</v>
      </c>
      <c r="C121" s="61">
        <f t="shared" si="48"/>
        <v>26633362</v>
      </c>
      <c r="D121" s="61">
        <f>SUM(D122:D127)</f>
        <v>13945476</v>
      </c>
      <c r="E121" s="71">
        <f t="shared" ref="E121:L121" si="52">SUM(E122:E127)</f>
        <v>0</v>
      </c>
      <c r="F121" s="70">
        <f t="shared" si="52"/>
        <v>244210</v>
      </c>
      <c r="G121" s="71">
        <f t="shared" si="52"/>
        <v>1896</v>
      </c>
      <c r="H121" s="70">
        <f t="shared" si="52"/>
        <v>6627944</v>
      </c>
      <c r="I121" s="71">
        <f t="shared" si="52"/>
        <v>5433955</v>
      </c>
      <c r="J121" s="70">
        <f t="shared" si="52"/>
        <v>0</v>
      </c>
      <c r="K121" s="62">
        <f t="shared" si="52"/>
        <v>0</v>
      </c>
      <c r="L121" s="61">
        <f t="shared" si="52"/>
        <v>379881</v>
      </c>
    </row>
    <row r="122" spans="1:12" ht="25.5" x14ac:dyDescent="0.25">
      <c r="A122" s="66" t="s">
        <v>285</v>
      </c>
      <c r="B122" s="81" t="s">
        <v>416</v>
      </c>
      <c r="C122" s="70">
        <f t="shared" si="48"/>
        <v>13375124</v>
      </c>
      <c r="D122" s="67">
        <f>4767844+99511</f>
        <v>4867355</v>
      </c>
      <c r="E122" s="64">
        <v>0</v>
      </c>
      <c r="F122" s="67">
        <f>128727+55735+27495</f>
        <v>211957</v>
      </c>
      <c r="G122" s="64">
        <v>0</v>
      </c>
      <c r="H122" s="67">
        <v>5163022</v>
      </c>
      <c r="I122" s="64">
        <v>2893813</v>
      </c>
      <c r="J122" s="67">
        <v>0</v>
      </c>
      <c r="K122" s="64">
        <v>0</v>
      </c>
      <c r="L122" s="67">
        <v>238977</v>
      </c>
    </row>
    <row r="123" spans="1:12" ht="25.5" x14ac:dyDescent="0.25">
      <c r="A123" s="66" t="s">
        <v>286</v>
      </c>
      <c r="B123" s="81" t="s">
        <v>304</v>
      </c>
      <c r="C123" s="70">
        <f t="shared" ref="C123:C150" si="53">SUM(D123:L123)</f>
        <v>2200619</v>
      </c>
      <c r="D123" s="67">
        <v>112564</v>
      </c>
      <c r="E123" s="64">
        <v>0</v>
      </c>
      <c r="F123" s="67">
        <f>11606+5172</f>
        <v>16778</v>
      </c>
      <c r="G123" s="64">
        <v>0</v>
      </c>
      <c r="H123" s="67">
        <f>1388952+26488</f>
        <v>1415440</v>
      </c>
      <c r="I123" s="64">
        <v>597805</v>
      </c>
      <c r="J123" s="67">
        <v>0</v>
      </c>
      <c r="K123" s="64">
        <v>0</v>
      </c>
      <c r="L123" s="67">
        <v>58032</v>
      </c>
    </row>
    <row r="124" spans="1:12" ht="25.5" x14ac:dyDescent="0.25">
      <c r="A124" s="66" t="s">
        <v>287</v>
      </c>
      <c r="B124" s="81" t="s">
        <v>305</v>
      </c>
      <c r="C124" s="61">
        <f t="shared" si="53"/>
        <v>253689</v>
      </c>
      <c r="D124" s="63">
        <v>0</v>
      </c>
      <c r="E124" s="64">
        <v>0</v>
      </c>
      <c r="F124" s="67">
        <f>3375+12100</f>
        <v>15475</v>
      </c>
      <c r="G124" s="64">
        <v>1896</v>
      </c>
      <c r="H124" s="67">
        <f>43063+6419</f>
        <v>49482</v>
      </c>
      <c r="I124" s="64">
        <v>103964</v>
      </c>
      <c r="J124" s="67">
        <v>0</v>
      </c>
      <c r="K124" s="64">
        <v>0</v>
      </c>
      <c r="L124" s="67">
        <v>82872</v>
      </c>
    </row>
    <row r="125" spans="1:12" ht="51" x14ac:dyDescent="0.25">
      <c r="A125" s="66" t="s">
        <v>387</v>
      </c>
      <c r="B125" s="81" t="s">
        <v>783</v>
      </c>
      <c r="C125" s="61">
        <f t="shared" si="53"/>
        <v>10018394</v>
      </c>
      <c r="D125" s="63">
        <f>7735802+444219</f>
        <v>8180021</v>
      </c>
      <c r="E125" s="64">
        <v>0</v>
      </c>
      <c r="F125" s="67">
        <v>0</v>
      </c>
      <c r="G125" s="64">
        <v>0</v>
      </c>
      <c r="H125" s="67">
        <v>0</v>
      </c>
      <c r="I125" s="64">
        <v>1838373</v>
      </c>
      <c r="J125" s="67">
        <v>0</v>
      </c>
      <c r="K125" s="64">
        <v>0</v>
      </c>
      <c r="L125" s="67">
        <v>0</v>
      </c>
    </row>
    <row r="126" spans="1:12" ht="51" x14ac:dyDescent="0.25">
      <c r="A126" s="87" t="s">
        <v>470</v>
      </c>
      <c r="B126" s="88" t="s">
        <v>471</v>
      </c>
      <c r="C126" s="70">
        <f t="shared" si="53"/>
        <v>785536</v>
      </c>
      <c r="D126" s="67">
        <v>785536</v>
      </c>
      <c r="E126" s="64">
        <v>0</v>
      </c>
      <c r="F126" s="67">
        <v>0</v>
      </c>
      <c r="G126" s="64">
        <v>0</v>
      </c>
      <c r="H126" s="67">
        <v>0</v>
      </c>
      <c r="I126" s="64">
        <v>0</v>
      </c>
      <c r="J126" s="67">
        <v>0</v>
      </c>
      <c r="K126" s="64">
        <v>0</v>
      </c>
      <c r="L126" s="67">
        <v>0</v>
      </c>
    </row>
    <row r="127" spans="1:12" hidden="1" x14ac:dyDescent="0.25">
      <c r="A127" s="82"/>
      <c r="B127" s="83"/>
      <c r="C127" s="86">
        <f t="shared" ref="C127" si="54">SUM(D127:L127)</f>
        <v>0</v>
      </c>
      <c r="D127" s="84"/>
      <c r="E127" s="312"/>
      <c r="F127" s="84"/>
      <c r="G127" s="312"/>
      <c r="H127" s="84"/>
      <c r="I127" s="312"/>
      <c r="J127" s="84"/>
      <c r="K127" s="312"/>
      <c r="L127" s="84"/>
    </row>
    <row r="128" spans="1:12" x14ac:dyDescent="0.25">
      <c r="A128" s="75" t="s">
        <v>309</v>
      </c>
      <c r="B128" s="60" t="s">
        <v>306</v>
      </c>
      <c r="C128" s="61">
        <f>SUM(D128:L128)</f>
        <v>2275263</v>
      </c>
      <c r="D128" s="61">
        <f t="shared" ref="D128:L128" si="55">SUM(D129:D131)</f>
        <v>525399</v>
      </c>
      <c r="E128" s="71">
        <f t="shared" si="55"/>
        <v>-10000</v>
      </c>
      <c r="F128" s="70">
        <f t="shared" si="55"/>
        <v>27296</v>
      </c>
      <c r="G128" s="71">
        <f t="shared" si="55"/>
        <v>24596</v>
      </c>
      <c r="H128" s="70">
        <f t="shared" si="55"/>
        <v>1317970</v>
      </c>
      <c r="I128" s="71">
        <f t="shared" si="55"/>
        <v>227655</v>
      </c>
      <c r="J128" s="70">
        <f t="shared" si="55"/>
        <v>0</v>
      </c>
      <c r="K128" s="71">
        <f t="shared" si="55"/>
        <v>0</v>
      </c>
      <c r="L128" s="61">
        <f t="shared" si="55"/>
        <v>162347</v>
      </c>
    </row>
    <row r="129" spans="1:12" ht="25.5" x14ac:dyDescent="0.25">
      <c r="A129" s="66" t="s">
        <v>288</v>
      </c>
      <c r="B129" s="81" t="s">
        <v>417</v>
      </c>
      <c r="C129" s="61">
        <f t="shared" si="53"/>
        <v>1036684</v>
      </c>
      <c r="D129" s="63">
        <v>525399</v>
      </c>
      <c r="E129" s="64">
        <v>-10000</v>
      </c>
      <c r="F129" s="67">
        <v>17554</v>
      </c>
      <c r="G129" s="64">
        <v>0</v>
      </c>
      <c r="H129" s="67">
        <f>333992+293</f>
        <v>334285</v>
      </c>
      <c r="I129" s="64">
        <v>143500</v>
      </c>
      <c r="J129" s="67">
        <v>0</v>
      </c>
      <c r="K129" s="64">
        <v>0</v>
      </c>
      <c r="L129" s="63">
        <v>25946</v>
      </c>
    </row>
    <row r="130" spans="1:12" ht="25.5" x14ac:dyDescent="0.25">
      <c r="A130" s="66" t="s">
        <v>289</v>
      </c>
      <c r="B130" s="81" t="s">
        <v>310</v>
      </c>
      <c r="C130" s="61">
        <f t="shared" si="53"/>
        <v>888579</v>
      </c>
      <c r="D130" s="63">
        <v>0</v>
      </c>
      <c r="E130" s="64">
        <v>0</v>
      </c>
      <c r="F130" s="67">
        <f>5364+4378</f>
        <v>9742</v>
      </c>
      <c r="G130" s="64">
        <v>24596</v>
      </c>
      <c r="H130" s="67">
        <f>289857+109036+284792</f>
        <v>683685</v>
      </c>
      <c r="I130" s="64">
        <v>34155</v>
      </c>
      <c r="J130" s="67">
        <v>0</v>
      </c>
      <c r="K130" s="64">
        <v>0</v>
      </c>
      <c r="L130" s="63">
        <v>136401</v>
      </c>
    </row>
    <row r="131" spans="1:12" ht="54" customHeight="1" x14ac:dyDescent="0.25">
      <c r="A131" s="87" t="s">
        <v>465</v>
      </c>
      <c r="B131" s="88" t="s">
        <v>778</v>
      </c>
      <c r="C131" s="70">
        <f t="shared" si="53"/>
        <v>350000</v>
      </c>
      <c r="D131" s="67">
        <v>0</v>
      </c>
      <c r="E131" s="64">
        <v>0</v>
      </c>
      <c r="F131" s="67">
        <v>0</v>
      </c>
      <c r="G131" s="64">
        <v>0</v>
      </c>
      <c r="H131" s="67">
        <v>300000</v>
      </c>
      <c r="I131" s="64">
        <v>50000</v>
      </c>
      <c r="J131" s="67">
        <v>0</v>
      </c>
      <c r="K131" s="64">
        <v>0</v>
      </c>
      <c r="L131" s="67">
        <v>0</v>
      </c>
    </row>
    <row r="132" spans="1:12" ht="25.5" x14ac:dyDescent="0.25">
      <c r="A132" s="59" t="s">
        <v>290</v>
      </c>
      <c r="B132" s="60" t="s">
        <v>307</v>
      </c>
      <c r="C132" s="61">
        <f>SUM(D132:L132)</f>
        <v>4157598</v>
      </c>
      <c r="D132" s="61">
        <f t="shared" ref="D132:L132" si="56">SUM(D133:D138)</f>
        <v>2516358</v>
      </c>
      <c r="E132" s="71">
        <f t="shared" si="56"/>
        <v>165200</v>
      </c>
      <c r="F132" s="70">
        <f t="shared" si="56"/>
        <v>184586</v>
      </c>
      <c r="G132" s="71">
        <f t="shared" si="56"/>
        <v>0</v>
      </c>
      <c r="H132" s="70">
        <f t="shared" si="56"/>
        <v>1006515</v>
      </c>
      <c r="I132" s="71">
        <f t="shared" si="56"/>
        <v>212623</v>
      </c>
      <c r="J132" s="70">
        <f t="shared" si="56"/>
        <v>0</v>
      </c>
      <c r="K132" s="71">
        <f t="shared" si="56"/>
        <v>0</v>
      </c>
      <c r="L132" s="61">
        <f t="shared" si="56"/>
        <v>72316</v>
      </c>
    </row>
    <row r="133" spans="1:12" ht="38.25" x14ac:dyDescent="0.25">
      <c r="A133" s="66" t="s">
        <v>42</v>
      </c>
      <c r="B133" s="81" t="s">
        <v>311</v>
      </c>
      <c r="C133" s="61">
        <f t="shared" si="53"/>
        <v>947817</v>
      </c>
      <c r="D133" s="63">
        <v>365199</v>
      </c>
      <c r="E133" s="64">
        <v>0</v>
      </c>
      <c r="F133" s="67">
        <v>58274</v>
      </c>
      <c r="G133" s="64">
        <v>0</v>
      </c>
      <c r="H133" s="67">
        <v>336984</v>
      </c>
      <c r="I133" s="64">
        <v>180364</v>
      </c>
      <c r="J133" s="67">
        <v>0</v>
      </c>
      <c r="K133" s="64">
        <v>0</v>
      </c>
      <c r="L133" s="63">
        <v>6996</v>
      </c>
    </row>
    <row r="134" spans="1:12" ht="25.5" x14ac:dyDescent="0.25">
      <c r="A134" s="66" t="s">
        <v>44</v>
      </c>
      <c r="B134" s="81" t="s">
        <v>418</v>
      </c>
      <c r="C134" s="61">
        <f t="shared" si="53"/>
        <v>255929</v>
      </c>
      <c r="D134" s="63">
        <f>152635+1000</f>
        <v>153635</v>
      </c>
      <c r="E134" s="64">
        <v>0</v>
      </c>
      <c r="F134" s="67">
        <v>14606</v>
      </c>
      <c r="G134" s="64">
        <v>0</v>
      </c>
      <c r="H134" s="67">
        <f>53204+1004</f>
        <v>54208</v>
      </c>
      <c r="I134" s="64">
        <v>28401</v>
      </c>
      <c r="J134" s="67">
        <v>0</v>
      </c>
      <c r="K134" s="64">
        <v>0</v>
      </c>
      <c r="L134" s="63">
        <v>5079</v>
      </c>
    </row>
    <row r="135" spans="1:12" ht="25.5" x14ac:dyDescent="0.25">
      <c r="A135" s="66" t="s">
        <v>291</v>
      </c>
      <c r="B135" s="81" t="s">
        <v>419</v>
      </c>
      <c r="C135" s="61">
        <f t="shared" si="53"/>
        <v>2208674</v>
      </c>
      <c r="D135" s="63">
        <f>1608590+20000</f>
        <v>1628590</v>
      </c>
      <c r="E135" s="64">
        <v>0</v>
      </c>
      <c r="F135" s="67">
        <f>108506+3200</f>
        <v>111706</v>
      </c>
      <c r="G135" s="64">
        <v>0</v>
      </c>
      <c r="H135" s="67">
        <v>417807</v>
      </c>
      <c r="I135" s="64">
        <v>3858</v>
      </c>
      <c r="J135" s="67">
        <v>0</v>
      </c>
      <c r="K135" s="64">
        <v>0</v>
      </c>
      <c r="L135" s="63">
        <v>46713</v>
      </c>
    </row>
    <row r="136" spans="1:12" ht="38.25" x14ac:dyDescent="0.25">
      <c r="A136" s="87" t="s">
        <v>292</v>
      </c>
      <c r="B136" s="88" t="s">
        <v>312</v>
      </c>
      <c r="C136" s="70">
        <f t="shared" si="53"/>
        <v>13528</v>
      </c>
      <c r="D136" s="67">
        <v>0</v>
      </c>
      <c r="E136" s="64">
        <v>0</v>
      </c>
      <c r="F136" s="67">
        <v>0</v>
      </c>
      <c r="G136" s="64">
        <v>0</v>
      </c>
      <c r="H136" s="67">
        <v>0</v>
      </c>
      <c r="I136" s="64">
        <v>0</v>
      </c>
      <c r="J136" s="67">
        <v>0</v>
      </c>
      <c r="K136" s="64">
        <v>0</v>
      </c>
      <c r="L136" s="67">
        <v>13528</v>
      </c>
    </row>
    <row r="137" spans="1:12" ht="76.5" x14ac:dyDescent="0.25">
      <c r="A137" s="87" t="s">
        <v>460</v>
      </c>
      <c r="B137" s="88" t="s">
        <v>459</v>
      </c>
      <c r="C137" s="70">
        <f t="shared" ref="C137:C138" si="57">SUM(D137:L137)</f>
        <v>409747</v>
      </c>
      <c r="D137" s="67">
        <v>244547</v>
      </c>
      <c r="E137" s="64">
        <v>165200</v>
      </c>
      <c r="F137" s="67">
        <v>0</v>
      </c>
      <c r="G137" s="64">
        <v>0</v>
      </c>
      <c r="H137" s="67">
        <v>0</v>
      </c>
      <c r="I137" s="64">
        <v>0</v>
      </c>
      <c r="J137" s="67">
        <v>0</v>
      </c>
      <c r="K137" s="64">
        <v>0</v>
      </c>
      <c r="L137" s="67">
        <v>0</v>
      </c>
    </row>
    <row r="138" spans="1:12" ht="51" x14ac:dyDescent="0.25">
      <c r="A138" s="87" t="s">
        <v>462</v>
      </c>
      <c r="B138" s="88" t="s">
        <v>461</v>
      </c>
      <c r="C138" s="70">
        <f t="shared" si="57"/>
        <v>321903</v>
      </c>
      <c r="D138" s="67">
        <v>124387</v>
      </c>
      <c r="E138" s="64">
        <v>0</v>
      </c>
      <c r="F138" s="67">
        <v>0</v>
      </c>
      <c r="G138" s="64">
        <v>0</v>
      </c>
      <c r="H138" s="67">
        <f>197516</f>
        <v>197516</v>
      </c>
      <c r="I138" s="64">
        <v>0</v>
      </c>
      <c r="J138" s="67">
        <v>0</v>
      </c>
      <c r="K138" s="64">
        <v>0</v>
      </c>
      <c r="L138" s="67">
        <v>0</v>
      </c>
    </row>
    <row r="139" spans="1:12" x14ac:dyDescent="0.25">
      <c r="A139" s="59" t="s">
        <v>296</v>
      </c>
      <c r="B139" s="60" t="s">
        <v>313</v>
      </c>
      <c r="C139" s="61">
        <f>SUM(D139:L139)</f>
        <v>8295</v>
      </c>
      <c r="D139" s="61">
        <f>SUM(D140:D141)</f>
        <v>6795</v>
      </c>
      <c r="E139" s="71">
        <f t="shared" ref="E139:L139" si="58">SUM(E140:E141)</f>
        <v>1500</v>
      </c>
      <c r="F139" s="70">
        <f t="shared" si="58"/>
        <v>0</v>
      </c>
      <c r="G139" s="71">
        <f t="shared" si="58"/>
        <v>0</v>
      </c>
      <c r="H139" s="70">
        <f t="shared" si="58"/>
        <v>0</v>
      </c>
      <c r="I139" s="71">
        <f t="shared" si="58"/>
        <v>0</v>
      </c>
      <c r="J139" s="70">
        <f t="shared" si="58"/>
        <v>0</v>
      </c>
      <c r="K139" s="71">
        <f t="shared" si="58"/>
        <v>0</v>
      </c>
      <c r="L139" s="61">
        <f t="shared" si="58"/>
        <v>0</v>
      </c>
    </row>
    <row r="140" spans="1:12" ht="25.5" x14ac:dyDescent="0.25">
      <c r="A140" s="66" t="s">
        <v>48</v>
      </c>
      <c r="B140" s="81" t="s">
        <v>314</v>
      </c>
      <c r="C140" s="61">
        <f t="shared" si="53"/>
        <v>6895</v>
      </c>
      <c r="D140" s="63">
        <v>5395</v>
      </c>
      <c r="E140" s="64">
        <v>1500</v>
      </c>
      <c r="F140" s="67">
        <v>0</v>
      </c>
      <c r="G140" s="64">
        <v>0</v>
      </c>
      <c r="H140" s="67">
        <v>0</v>
      </c>
      <c r="I140" s="64">
        <v>0</v>
      </c>
      <c r="J140" s="67">
        <v>0</v>
      </c>
      <c r="K140" s="64">
        <v>0</v>
      </c>
      <c r="L140" s="63">
        <v>0</v>
      </c>
    </row>
    <row r="141" spans="1:12" ht="25.5" x14ac:dyDescent="0.25">
      <c r="A141" s="66" t="s">
        <v>297</v>
      </c>
      <c r="B141" s="81" t="s">
        <v>318</v>
      </c>
      <c r="C141" s="61">
        <f t="shared" si="53"/>
        <v>1400</v>
      </c>
      <c r="D141" s="63">
        <v>1400</v>
      </c>
      <c r="E141" s="64">
        <v>0</v>
      </c>
      <c r="F141" s="67">
        <v>0</v>
      </c>
      <c r="G141" s="64">
        <v>0</v>
      </c>
      <c r="H141" s="67">
        <v>0</v>
      </c>
      <c r="I141" s="64">
        <v>0</v>
      </c>
      <c r="J141" s="67">
        <v>0</v>
      </c>
      <c r="K141" s="64">
        <v>0</v>
      </c>
      <c r="L141" s="63">
        <v>0</v>
      </c>
    </row>
    <row r="142" spans="1:12" ht="12.75" customHeight="1" x14ac:dyDescent="0.25">
      <c r="A142" s="59" t="s">
        <v>293</v>
      </c>
      <c r="B142" s="60" t="s">
        <v>315</v>
      </c>
      <c r="C142" s="61">
        <f>SUM(D142:L142)</f>
        <v>1418064</v>
      </c>
      <c r="D142" s="61">
        <f t="shared" ref="D142:L142" si="59">SUM(D143:D146)</f>
        <v>863522</v>
      </c>
      <c r="E142" s="71">
        <f t="shared" si="59"/>
        <v>16076</v>
      </c>
      <c r="F142" s="70">
        <f t="shared" si="59"/>
        <v>195884</v>
      </c>
      <c r="G142" s="71">
        <f t="shared" si="59"/>
        <v>0</v>
      </c>
      <c r="H142" s="70">
        <f t="shared" si="59"/>
        <v>225771</v>
      </c>
      <c r="I142" s="71">
        <f t="shared" si="59"/>
        <v>20135</v>
      </c>
      <c r="J142" s="70">
        <f t="shared" si="59"/>
        <v>0</v>
      </c>
      <c r="K142" s="71">
        <f t="shared" si="59"/>
        <v>0</v>
      </c>
      <c r="L142" s="61">
        <f t="shared" si="59"/>
        <v>96676</v>
      </c>
    </row>
    <row r="143" spans="1:12" ht="38.25" x14ac:dyDescent="0.25">
      <c r="A143" s="66" t="s">
        <v>294</v>
      </c>
      <c r="B143" s="81" t="s">
        <v>402</v>
      </c>
      <c r="C143" s="61">
        <f t="shared" si="53"/>
        <v>1081623</v>
      </c>
      <c r="D143" s="63">
        <f>807297+51225</f>
        <v>858522</v>
      </c>
      <c r="E143" s="64">
        <v>16076</v>
      </c>
      <c r="F143" s="67">
        <f>136661+26600+4200</f>
        <v>167461</v>
      </c>
      <c r="G143" s="64">
        <v>0</v>
      </c>
      <c r="H143" s="67">
        <v>0</v>
      </c>
      <c r="I143" s="64">
        <v>0</v>
      </c>
      <c r="J143" s="67">
        <v>0</v>
      </c>
      <c r="K143" s="64">
        <v>0</v>
      </c>
      <c r="L143" s="63">
        <v>39564</v>
      </c>
    </row>
    <row r="144" spans="1:12" ht="38.25" x14ac:dyDescent="0.25">
      <c r="A144" s="66" t="s">
        <v>295</v>
      </c>
      <c r="B144" s="81" t="s">
        <v>403</v>
      </c>
      <c r="C144" s="61">
        <f t="shared" si="53"/>
        <v>247943</v>
      </c>
      <c r="D144" s="63">
        <v>0</v>
      </c>
      <c r="E144" s="64">
        <v>0</v>
      </c>
      <c r="F144" s="67">
        <v>28423</v>
      </c>
      <c r="G144" s="64">
        <v>0</v>
      </c>
      <c r="H144" s="67">
        <f>48231+81000+30000</f>
        <v>159231</v>
      </c>
      <c r="I144" s="64">
        <v>11146</v>
      </c>
      <c r="J144" s="67">
        <v>0</v>
      </c>
      <c r="K144" s="64">
        <v>0</v>
      </c>
      <c r="L144" s="63">
        <v>49143</v>
      </c>
    </row>
    <row r="145" spans="1:12" x14ac:dyDescent="0.25">
      <c r="A145" s="66" t="s">
        <v>375</v>
      </c>
      <c r="B145" s="81" t="s">
        <v>476</v>
      </c>
      <c r="C145" s="61">
        <f t="shared" ref="C145:C146" si="60">SUM(D145:L145)</f>
        <v>87933</v>
      </c>
      <c r="D145" s="63">
        <v>5000</v>
      </c>
      <c r="E145" s="64">
        <v>0</v>
      </c>
      <c r="F145" s="67">
        <v>0</v>
      </c>
      <c r="G145" s="64">
        <v>0</v>
      </c>
      <c r="H145" s="67">
        <f>39008+27419</f>
        <v>66427</v>
      </c>
      <c r="I145" s="64">
        <v>8537</v>
      </c>
      <c r="J145" s="67">
        <v>0</v>
      </c>
      <c r="K145" s="64">
        <v>0</v>
      </c>
      <c r="L145" s="63">
        <v>7969</v>
      </c>
    </row>
    <row r="146" spans="1:12" ht="38.25" x14ac:dyDescent="0.25">
      <c r="A146" s="87" t="s">
        <v>472</v>
      </c>
      <c r="B146" s="88" t="s">
        <v>473</v>
      </c>
      <c r="C146" s="70">
        <f t="shared" si="60"/>
        <v>565</v>
      </c>
      <c r="D146" s="67">
        <v>0</v>
      </c>
      <c r="E146" s="64">
        <v>0</v>
      </c>
      <c r="F146" s="67">
        <v>0</v>
      </c>
      <c r="G146" s="64">
        <v>0</v>
      </c>
      <c r="H146" s="67">
        <v>113</v>
      </c>
      <c r="I146" s="64">
        <v>452</v>
      </c>
      <c r="J146" s="67">
        <v>0</v>
      </c>
      <c r="K146" s="64">
        <v>0</v>
      </c>
      <c r="L146" s="67">
        <v>0</v>
      </c>
    </row>
    <row r="147" spans="1:12" x14ac:dyDescent="0.25">
      <c r="A147" s="59" t="s">
        <v>298</v>
      </c>
      <c r="B147" s="60" t="s">
        <v>316</v>
      </c>
      <c r="C147" s="61">
        <f>SUM(D147:L147)</f>
        <v>1290880</v>
      </c>
      <c r="D147" s="61">
        <f>SUM(D148:D150)</f>
        <v>782028</v>
      </c>
      <c r="E147" s="71">
        <f t="shared" ref="E147:L147" si="61">SUM(E148:E150)</f>
        <v>-5000</v>
      </c>
      <c r="F147" s="70">
        <f t="shared" si="61"/>
        <v>11070</v>
      </c>
      <c r="G147" s="71">
        <f t="shared" si="61"/>
        <v>0</v>
      </c>
      <c r="H147" s="70">
        <f t="shared" si="61"/>
        <v>187173</v>
      </c>
      <c r="I147" s="71">
        <f t="shared" si="61"/>
        <v>155555</v>
      </c>
      <c r="J147" s="70">
        <f t="shared" si="61"/>
        <v>0</v>
      </c>
      <c r="K147" s="71">
        <f t="shared" si="61"/>
        <v>0</v>
      </c>
      <c r="L147" s="61">
        <f t="shared" si="61"/>
        <v>160054</v>
      </c>
    </row>
    <row r="148" spans="1:12" ht="25.5" x14ac:dyDescent="0.25">
      <c r="A148" s="66" t="s">
        <v>299</v>
      </c>
      <c r="B148" s="81" t="s">
        <v>404</v>
      </c>
      <c r="C148" s="61">
        <f t="shared" si="53"/>
        <v>725795</v>
      </c>
      <c r="D148" s="63">
        <v>717447</v>
      </c>
      <c r="E148" s="64">
        <v>-5000</v>
      </c>
      <c r="F148" s="67">
        <v>8910</v>
      </c>
      <c r="G148" s="64">
        <v>0</v>
      </c>
      <c r="H148" s="67">
        <v>0</v>
      </c>
      <c r="I148" s="64">
        <v>0</v>
      </c>
      <c r="J148" s="67">
        <v>0</v>
      </c>
      <c r="K148" s="64">
        <v>0</v>
      </c>
      <c r="L148" s="63">
        <v>4438</v>
      </c>
    </row>
    <row r="149" spans="1:12" ht="25.5" x14ac:dyDescent="0.25">
      <c r="A149" s="87" t="s">
        <v>300</v>
      </c>
      <c r="B149" s="88" t="s">
        <v>405</v>
      </c>
      <c r="C149" s="70">
        <f t="shared" si="53"/>
        <v>491332</v>
      </c>
      <c r="D149" s="67">
        <v>0</v>
      </c>
      <c r="E149" s="64">
        <v>0</v>
      </c>
      <c r="F149" s="67">
        <v>0</v>
      </c>
      <c r="G149" s="64">
        <v>0</v>
      </c>
      <c r="H149" s="67">
        <f>30000+100678+56495</f>
        <v>187173</v>
      </c>
      <c r="I149" s="64">
        <v>155555</v>
      </c>
      <c r="J149" s="67">
        <v>0</v>
      </c>
      <c r="K149" s="64">
        <v>0</v>
      </c>
      <c r="L149" s="67">
        <v>148604</v>
      </c>
    </row>
    <row r="150" spans="1:12" ht="38.25" x14ac:dyDescent="0.25">
      <c r="A150" s="66" t="s">
        <v>301</v>
      </c>
      <c r="B150" s="81" t="s">
        <v>406</v>
      </c>
      <c r="C150" s="61">
        <f t="shared" si="53"/>
        <v>73753</v>
      </c>
      <c r="D150" s="63">
        <v>64581</v>
      </c>
      <c r="E150" s="64">
        <v>0</v>
      </c>
      <c r="F150" s="67">
        <f>350+910+900</f>
        <v>2160</v>
      </c>
      <c r="G150" s="64">
        <v>0</v>
      </c>
      <c r="H150" s="67">
        <v>0</v>
      </c>
      <c r="I150" s="64">
        <v>0</v>
      </c>
      <c r="J150" s="67">
        <v>0</v>
      </c>
      <c r="K150" s="64">
        <v>0</v>
      </c>
      <c r="L150" s="63">
        <v>7012</v>
      </c>
    </row>
    <row r="151" spans="1:12" x14ac:dyDescent="0.25">
      <c r="A151" s="55" t="s">
        <v>56</v>
      </c>
      <c r="B151" s="56" t="s">
        <v>144</v>
      </c>
      <c r="C151" s="57">
        <f>SUM(D151:L151)</f>
        <v>4832533</v>
      </c>
      <c r="D151" s="57">
        <f>D152+D160+D163+D167+D168+D169+D176</f>
        <v>4284983</v>
      </c>
      <c r="E151" s="58">
        <f t="shared" ref="E151:L151" si="62">E152+E160+E163+E167+E168+E169+E176</f>
        <v>-16555</v>
      </c>
      <c r="F151" s="57">
        <f t="shared" si="62"/>
        <v>42608</v>
      </c>
      <c r="G151" s="58">
        <f t="shared" si="62"/>
        <v>0</v>
      </c>
      <c r="H151" s="57">
        <f t="shared" si="62"/>
        <v>435925</v>
      </c>
      <c r="I151" s="58">
        <f t="shared" si="62"/>
        <v>0</v>
      </c>
      <c r="J151" s="57">
        <f t="shared" si="62"/>
        <v>6957</v>
      </c>
      <c r="K151" s="58">
        <f t="shared" si="62"/>
        <v>0</v>
      </c>
      <c r="L151" s="57">
        <f t="shared" si="62"/>
        <v>78615</v>
      </c>
    </row>
    <row r="152" spans="1:12" ht="25.5" x14ac:dyDescent="0.25">
      <c r="A152" s="59" t="s">
        <v>319</v>
      </c>
      <c r="B152" s="60" t="s">
        <v>360</v>
      </c>
      <c r="C152" s="61">
        <f>SUM(D152:L152)</f>
        <v>786988</v>
      </c>
      <c r="D152" s="61">
        <f t="shared" ref="D152:L152" si="63">SUM(D153:D159)</f>
        <v>398529</v>
      </c>
      <c r="E152" s="62">
        <f t="shared" si="63"/>
        <v>0</v>
      </c>
      <c r="F152" s="61">
        <f t="shared" si="63"/>
        <v>22214</v>
      </c>
      <c r="G152" s="62">
        <f t="shared" si="63"/>
        <v>0</v>
      </c>
      <c r="H152" s="61">
        <f t="shared" si="63"/>
        <v>330207</v>
      </c>
      <c r="I152" s="62">
        <f t="shared" si="63"/>
        <v>0</v>
      </c>
      <c r="J152" s="61">
        <f t="shared" si="63"/>
        <v>6857</v>
      </c>
      <c r="K152" s="62">
        <f t="shared" si="63"/>
        <v>0</v>
      </c>
      <c r="L152" s="61">
        <f t="shared" si="63"/>
        <v>29181</v>
      </c>
    </row>
    <row r="153" spans="1:12" ht="38.25" x14ac:dyDescent="0.25">
      <c r="A153" s="66" t="s">
        <v>320</v>
      </c>
      <c r="B153" s="81" t="s">
        <v>414</v>
      </c>
      <c r="C153" s="61">
        <f>SUM(D153:L153)</f>
        <v>349163</v>
      </c>
      <c r="D153" s="63">
        <f>110116+9000</f>
        <v>119116</v>
      </c>
      <c r="E153" s="64">
        <v>0</v>
      </c>
      <c r="F153" s="67">
        <v>0</v>
      </c>
      <c r="G153" s="64">
        <v>0</v>
      </c>
      <c r="H153" s="67">
        <v>229585</v>
      </c>
      <c r="I153" s="64">
        <v>0</v>
      </c>
      <c r="J153" s="63">
        <v>0</v>
      </c>
      <c r="K153" s="64">
        <v>0</v>
      </c>
      <c r="L153" s="63">
        <v>462</v>
      </c>
    </row>
    <row r="154" spans="1:12" x14ac:dyDescent="0.25">
      <c r="A154" s="66" t="s">
        <v>321</v>
      </c>
      <c r="B154" s="81" t="s">
        <v>1024</v>
      </c>
      <c r="C154" s="61">
        <f t="shared" ref="C154:C166" si="64">SUM(D154:L154)</f>
        <v>92454</v>
      </c>
      <c r="D154" s="63">
        <v>62718</v>
      </c>
      <c r="E154" s="64">
        <v>-1000</v>
      </c>
      <c r="F154" s="67">
        <v>11258</v>
      </c>
      <c r="G154" s="64">
        <v>0</v>
      </c>
      <c r="H154" s="67">
        <v>0</v>
      </c>
      <c r="I154" s="64">
        <v>0</v>
      </c>
      <c r="J154" s="63">
        <v>6857</v>
      </c>
      <c r="K154" s="64">
        <v>0</v>
      </c>
      <c r="L154" s="63">
        <v>12621</v>
      </c>
    </row>
    <row r="155" spans="1:12" x14ac:dyDescent="0.25">
      <c r="A155" s="66" t="s">
        <v>322</v>
      </c>
      <c r="B155" s="81" t="s">
        <v>344</v>
      </c>
      <c r="C155" s="61">
        <f t="shared" si="64"/>
        <v>76598</v>
      </c>
      <c r="D155" s="63">
        <v>70402</v>
      </c>
      <c r="E155" s="64">
        <v>0</v>
      </c>
      <c r="F155" s="67">
        <v>4456</v>
      </c>
      <c r="G155" s="64">
        <v>0</v>
      </c>
      <c r="H155" s="67">
        <v>0</v>
      </c>
      <c r="I155" s="64">
        <v>0</v>
      </c>
      <c r="J155" s="63">
        <v>0</v>
      </c>
      <c r="K155" s="64">
        <v>0</v>
      </c>
      <c r="L155" s="63">
        <v>1740</v>
      </c>
    </row>
    <row r="156" spans="1:12" x14ac:dyDescent="0.25">
      <c r="A156" s="66" t="s">
        <v>323</v>
      </c>
      <c r="B156" s="81" t="s">
        <v>345</v>
      </c>
      <c r="C156" s="61">
        <f t="shared" si="64"/>
        <v>72128</v>
      </c>
      <c r="D156" s="63">
        <v>70094</v>
      </c>
      <c r="E156" s="64">
        <v>0</v>
      </c>
      <c r="F156" s="67">
        <v>2000</v>
      </c>
      <c r="G156" s="64">
        <v>0</v>
      </c>
      <c r="H156" s="67">
        <v>0</v>
      </c>
      <c r="I156" s="64">
        <v>0</v>
      </c>
      <c r="J156" s="63">
        <v>0</v>
      </c>
      <c r="K156" s="64">
        <v>0</v>
      </c>
      <c r="L156" s="63">
        <v>34</v>
      </c>
    </row>
    <row r="157" spans="1:12" x14ac:dyDescent="0.25">
      <c r="A157" s="66" t="s">
        <v>324</v>
      </c>
      <c r="B157" s="81" t="s">
        <v>346</v>
      </c>
      <c r="C157" s="61">
        <f t="shared" si="64"/>
        <v>106791</v>
      </c>
      <c r="D157" s="63">
        <v>56199</v>
      </c>
      <c r="E157" s="64">
        <v>0</v>
      </c>
      <c r="F157" s="67">
        <v>4500</v>
      </c>
      <c r="G157" s="64">
        <v>0</v>
      </c>
      <c r="H157" s="67">
        <v>44355</v>
      </c>
      <c r="I157" s="64">
        <v>0</v>
      </c>
      <c r="J157" s="67">
        <v>0</v>
      </c>
      <c r="K157" s="64">
        <v>0</v>
      </c>
      <c r="L157" s="63">
        <v>1737</v>
      </c>
    </row>
    <row r="158" spans="1:12" ht="25.5" x14ac:dyDescent="0.25">
      <c r="A158" s="66" t="s">
        <v>376</v>
      </c>
      <c r="B158" s="81" t="s">
        <v>475</v>
      </c>
      <c r="C158" s="61">
        <f t="shared" ref="C158:C159" si="65">SUM(D158:L158)</f>
        <v>59173</v>
      </c>
      <c r="D158" s="63">
        <v>20000</v>
      </c>
      <c r="E158" s="64">
        <v>0</v>
      </c>
      <c r="F158" s="67">
        <v>0</v>
      </c>
      <c r="G158" s="64">
        <v>0</v>
      </c>
      <c r="H158" s="67">
        <f>10917+15669</f>
        <v>26586</v>
      </c>
      <c r="I158" s="64">
        <v>0</v>
      </c>
      <c r="J158" s="67">
        <v>0</v>
      </c>
      <c r="K158" s="64">
        <v>0</v>
      </c>
      <c r="L158" s="63">
        <v>12587</v>
      </c>
    </row>
    <row r="159" spans="1:12" ht="51" x14ac:dyDescent="0.25">
      <c r="A159" s="66" t="s">
        <v>784</v>
      </c>
      <c r="B159" s="81" t="s">
        <v>785</v>
      </c>
      <c r="C159" s="61">
        <f t="shared" si="65"/>
        <v>30681</v>
      </c>
      <c r="D159" s="63">
        <v>0</v>
      </c>
      <c r="E159" s="64">
        <v>1000</v>
      </c>
      <c r="F159" s="67">
        <v>0</v>
      </c>
      <c r="G159" s="64">
        <v>0</v>
      </c>
      <c r="H159" s="67">
        <f>29681</f>
        <v>29681</v>
      </c>
      <c r="I159" s="64">
        <v>0</v>
      </c>
      <c r="J159" s="67">
        <v>0</v>
      </c>
      <c r="K159" s="64">
        <v>0</v>
      </c>
      <c r="L159" s="63">
        <v>0</v>
      </c>
    </row>
    <row r="160" spans="1:12" x14ac:dyDescent="0.25">
      <c r="A160" s="59" t="s">
        <v>325</v>
      </c>
      <c r="B160" s="60" t="s">
        <v>371</v>
      </c>
      <c r="C160" s="61">
        <f>SUM(D160:L160)</f>
        <v>490255</v>
      </c>
      <c r="D160" s="61">
        <f>SUM(D161:D162)</f>
        <v>476732</v>
      </c>
      <c r="E160" s="71">
        <f t="shared" ref="E160:L160" si="66">SUM(E161:E162)</f>
        <v>5500</v>
      </c>
      <c r="F160" s="70">
        <f t="shared" si="66"/>
        <v>936</v>
      </c>
      <c r="G160" s="71">
        <f t="shared" si="66"/>
        <v>0</v>
      </c>
      <c r="H160" s="70">
        <f t="shared" si="66"/>
        <v>0</v>
      </c>
      <c r="I160" s="71">
        <f t="shared" si="66"/>
        <v>0</v>
      </c>
      <c r="J160" s="70">
        <f t="shared" si="66"/>
        <v>0</v>
      </c>
      <c r="K160" s="62">
        <f t="shared" si="66"/>
        <v>0</v>
      </c>
      <c r="L160" s="61">
        <f t="shared" si="66"/>
        <v>7087</v>
      </c>
    </row>
    <row r="161" spans="1:12" ht="22.5" customHeight="1" x14ac:dyDescent="0.25">
      <c r="A161" s="66" t="s">
        <v>326</v>
      </c>
      <c r="B161" s="81" t="s">
        <v>347</v>
      </c>
      <c r="C161" s="61">
        <f t="shared" si="64"/>
        <v>227919</v>
      </c>
      <c r="D161" s="63">
        <v>244176</v>
      </c>
      <c r="E161" s="64">
        <v>-18100</v>
      </c>
      <c r="F161" s="67">
        <v>0</v>
      </c>
      <c r="G161" s="64">
        <v>0</v>
      </c>
      <c r="H161" s="67">
        <v>0</v>
      </c>
      <c r="I161" s="64">
        <v>0</v>
      </c>
      <c r="J161" s="67">
        <v>0</v>
      </c>
      <c r="K161" s="64">
        <v>0</v>
      </c>
      <c r="L161" s="63">
        <v>1843</v>
      </c>
    </row>
    <row r="162" spans="1:12" x14ac:dyDescent="0.25">
      <c r="A162" s="66" t="s">
        <v>327</v>
      </c>
      <c r="B162" s="81" t="s">
        <v>348</v>
      </c>
      <c r="C162" s="61">
        <f t="shared" si="64"/>
        <v>262336</v>
      </c>
      <c r="D162" s="63">
        <f>197845+34711</f>
        <v>232556</v>
      </c>
      <c r="E162" s="64">
        <v>23600</v>
      </c>
      <c r="F162" s="67">
        <v>936</v>
      </c>
      <c r="G162" s="64">
        <v>0</v>
      </c>
      <c r="H162" s="67">
        <v>0</v>
      </c>
      <c r="I162" s="64">
        <v>0</v>
      </c>
      <c r="J162" s="67">
        <v>0</v>
      </c>
      <c r="K162" s="64">
        <v>0</v>
      </c>
      <c r="L162" s="63">
        <v>5244</v>
      </c>
    </row>
    <row r="163" spans="1:12" x14ac:dyDescent="0.25">
      <c r="A163" s="59" t="s">
        <v>328</v>
      </c>
      <c r="B163" s="60" t="s">
        <v>349</v>
      </c>
      <c r="C163" s="61">
        <f>SUM(D163:L163)</f>
        <v>930123</v>
      </c>
      <c r="D163" s="61">
        <f>SUM(D164:D166)</f>
        <v>873721</v>
      </c>
      <c r="E163" s="71">
        <f t="shared" ref="E163:L163" si="67">SUM(E164:E166)</f>
        <v>16000</v>
      </c>
      <c r="F163" s="70">
        <f t="shared" si="67"/>
        <v>5358</v>
      </c>
      <c r="G163" s="71">
        <f t="shared" si="67"/>
        <v>0</v>
      </c>
      <c r="H163" s="70">
        <f t="shared" si="67"/>
        <v>31171</v>
      </c>
      <c r="I163" s="71">
        <f t="shared" si="67"/>
        <v>0</v>
      </c>
      <c r="J163" s="70">
        <f t="shared" si="67"/>
        <v>0</v>
      </c>
      <c r="K163" s="62">
        <f t="shared" si="67"/>
        <v>0</v>
      </c>
      <c r="L163" s="61">
        <f t="shared" si="67"/>
        <v>3873</v>
      </c>
    </row>
    <row r="164" spans="1:12" ht="38.25" x14ac:dyDescent="0.25">
      <c r="A164" s="66" t="s">
        <v>329</v>
      </c>
      <c r="B164" s="81" t="s">
        <v>350</v>
      </c>
      <c r="C164" s="61">
        <f t="shared" si="64"/>
        <v>751614</v>
      </c>
      <c r="D164" s="63">
        <f>667772+19404+10650</f>
        <v>697826</v>
      </c>
      <c r="E164" s="64">
        <v>16000</v>
      </c>
      <c r="F164" s="67">
        <f>2134+2264</f>
        <v>4398</v>
      </c>
      <c r="G164" s="64">
        <v>0</v>
      </c>
      <c r="H164" s="67">
        <f>28451+1120</f>
        <v>29571</v>
      </c>
      <c r="I164" s="64">
        <v>0</v>
      </c>
      <c r="J164" s="67">
        <v>0</v>
      </c>
      <c r="K164" s="64">
        <v>0</v>
      </c>
      <c r="L164" s="63">
        <v>3819</v>
      </c>
    </row>
    <row r="165" spans="1:12" ht="25.5" x14ac:dyDescent="0.25">
      <c r="A165" s="66" t="s">
        <v>330</v>
      </c>
      <c r="B165" s="81" t="s">
        <v>407</v>
      </c>
      <c r="C165" s="61">
        <f t="shared" si="64"/>
        <v>175949</v>
      </c>
      <c r="D165" s="63">
        <v>175895</v>
      </c>
      <c r="E165" s="64">
        <v>0</v>
      </c>
      <c r="F165" s="67">
        <v>0</v>
      </c>
      <c r="G165" s="64">
        <v>0</v>
      </c>
      <c r="H165" s="67">
        <v>0</v>
      </c>
      <c r="I165" s="64">
        <v>0</v>
      </c>
      <c r="J165" s="67">
        <v>0</v>
      </c>
      <c r="K165" s="64">
        <v>0</v>
      </c>
      <c r="L165" s="63">
        <v>54</v>
      </c>
    </row>
    <row r="166" spans="1:12" ht="76.5" x14ac:dyDescent="0.25">
      <c r="A166" s="66" t="s">
        <v>331</v>
      </c>
      <c r="B166" s="81" t="s">
        <v>485</v>
      </c>
      <c r="C166" s="61">
        <f t="shared" si="64"/>
        <v>2560</v>
      </c>
      <c r="D166" s="63">
        <v>0</v>
      </c>
      <c r="E166" s="64">
        <v>0</v>
      </c>
      <c r="F166" s="67">
        <v>960</v>
      </c>
      <c r="G166" s="64">
        <v>0</v>
      </c>
      <c r="H166" s="67">
        <v>1600</v>
      </c>
      <c r="I166" s="64">
        <v>0</v>
      </c>
      <c r="J166" s="67">
        <v>0</v>
      </c>
      <c r="K166" s="64">
        <v>0</v>
      </c>
      <c r="L166" s="63">
        <v>0</v>
      </c>
    </row>
    <row r="167" spans="1:12" x14ac:dyDescent="0.25">
      <c r="A167" s="68" t="s">
        <v>332</v>
      </c>
      <c r="B167" s="69" t="s">
        <v>351</v>
      </c>
      <c r="C167" s="61">
        <f>SUM(D167:L167)</f>
        <v>74089</v>
      </c>
      <c r="D167" s="61">
        <v>23000</v>
      </c>
      <c r="E167" s="64">
        <v>0</v>
      </c>
      <c r="F167" s="70">
        <v>0</v>
      </c>
      <c r="G167" s="64">
        <v>0</v>
      </c>
      <c r="H167" s="70">
        <v>50000</v>
      </c>
      <c r="I167" s="64">
        <v>0</v>
      </c>
      <c r="J167" s="70">
        <v>0</v>
      </c>
      <c r="K167" s="64">
        <v>0</v>
      </c>
      <c r="L167" s="61">
        <v>1089</v>
      </c>
    </row>
    <row r="168" spans="1:12" ht="35.25" customHeight="1" x14ac:dyDescent="0.25">
      <c r="A168" s="68" t="s">
        <v>333</v>
      </c>
      <c r="B168" s="69" t="s">
        <v>352</v>
      </c>
      <c r="C168" s="61">
        <f>SUM(D168:L168)</f>
        <v>360000</v>
      </c>
      <c r="D168" s="61">
        <v>390000</v>
      </c>
      <c r="E168" s="64">
        <v>-30000</v>
      </c>
      <c r="F168" s="70">
        <v>0</v>
      </c>
      <c r="G168" s="64">
        <v>0</v>
      </c>
      <c r="H168" s="70">
        <v>0</v>
      </c>
      <c r="I168" s="64">
        <v>0</v>
      </c>
      <c r="J168" s="70">
        <v>0</v>
      </c>
      <c r="K168" s="64">
        <v>0</v>
      </c>
      <c r="L168" s="61">
        <v>0</v>
      </c>
    </row>
    <row r="169" spans="1:12" ht="36" customHeight="1" x14ac:dyDescent="0.25">
      <c r="A169" s="59" t="s">
        <v>334</v>
      </c>
      <c r="B169" s="60" t="s">
        <v>353</v>
      </c>
      <c r="C169" s="61">
        <f>SUM(D169:L169)</f>
        <v>884750</v>
      </c>
      <c r="D169" s="61">
        <f>SUM(D170:D175)</f>
        <v>872925</v>
      </c>
      <c r="E169" s="71">
        <f t="shared" ref="E169:L169" si="68">SUM(E170:E175)</f>
        <v>-8055</v>
      </c>
      <c r="F169" s="70">
        <f t="shared" si="68"/>
        <v>13600</v>
      </c>
      <c r="G169" s="71">
        <f t="shared" si="68"/>
        <v>0</v>
      </c>
      <c r="H169" s="70">
        <f t="shared" si="68"/>
        <v>595</v>
      </c>
      <c r="I169" s="71">
        <f t="shared" si="68"/>
        <v>0</v>
      </c>
      <c r="J169" s="70">
        <f t="shared" si="68"/>
        <v>100</v>
      </c>
      <c r="K169" s="62">
        <f t="shared" si="68"/>
        <v>0</v>
      </c>
      <c r="L169" s="61">
        <f t="shared" si="68"/>
        <v>5585</v>
      </c>
    </row>
    <row r="170" spans="1:12" x14ac:dyDescent="0.25">
      <c r="A170" s="66" t="s">
        <v>335</v>
      </c>
      <c r="B170" s="81" t="s">
        <v>354</v>
      </c>
      <c r="C170" s="61">
        <f t="shared" ref="C170:C180" si="69">SUM(D170:L170)</f>
        <v>8719</v>
      </c>
      <c r="D170" s="63">
        <v>8719</v>
      </c>
      <c r="E170" s="64">
        <v>0</v>
      </c>
      <c r="F170" s="67">
        <v>0</v>
      </c>
      <c r="G170" s="64">
        <v>0</v>
      </c>
      <c r="H170" s="67">
        <v>0</v>
      </c>
      <c r="I170" s="64">
        <v>0</v>
      </c>
      <c r="J170" s="67">
        <v>0</v>
      </c>
      <c r="K170" s="64">
        <v>0</v>
      </c>
      <c r="L170" s="63">
        <v>0</v>
      </c>
    </row>
    <row r="171" spans="1:12" ht="53.25" customHeight="1" x14ac:dyDescent="0.25">
      <c r="A171" s="66" t="s">
        <v>336</v>
      </c>
      <c r="B171" s="81" t="s">
        <v>413</v>
      </c>
      <c r="C171" s="61">
        <f t="shared" si="69"/>
        <v>66794</v>
      </c>
      <c r="D171" s="63">
        <f>91699-20000</f>
        <v>71699</v>
      </c>
      <c r="E171" s="64">
        <v>-5500</v>
      </c>
      <c r="F171" s="67">
        <v>0</v>
      </c>
      <c r="G171" s="64">
        <v>0</v>
      </c>
      <c r="H171" s="67">
        <f>270+325</f>
        <v>595</v>
      </c>
      <c r="I171" s="64">
        <v>0</v>
      </c>
      <c r="J171" s="67">
        <v>0</v>
      </c>
      <c r="K171" s="64">
        <v>0</v>
      </c>
      <c r="L171" s="63">
        <v>0</v>
      </c>
    </row>
    <row r="172" spans="1:12" x14ac:dyDescent="0.25">
      <c r="A172" s="66" t="s">
        <v>337</v>
      </c>
      <c r="B172" s="81" t="s">
        <v>355</v>
      </c>
      <c r="C172" s="61">
        <f t="shared" si="69"/>
        <v>92506</v>
      </c>
      <c r="D172" s="63">
        <v>87850</v>
      </c>
      <c r="E172" s="64">
        <v>0</v>
      </c>
      <c r="F172" s="67">
        <v>4000</v>
      </c>
      <c r="G172" s="64">
        <v>0</v>
      </c>
      <c r="H172" s="67">
        <v>0</v>
      </c>
      <c r="I172" s="64">
        <v>0</v>
      </c>
      <c r="J172" s="67">
        <v>0</v>
      </c>
      <c r="K172" s="64">
        <v>0</v>
      </c>
      <c r="L172" s="63">
        <v>656</v>
      </c>
    </row>
    <row r="173" spans="1:12" ht="38.25" x14ac:dyDescent="0.25">
      <c r="A173" s="66" t="s">
        <v>338</v>
      </c>
      <c r="B173" s="81" t="s">
        <v>408</v>
      </c>
      <c r="C173" s="61">
        <f t="shared" si="69"/>
        <v>591704</v>
      </c>
      <c r="D173" s="63">
        <f>700126-59238-48686</f>
        <v>592202</v>
      </c>
      <c r="E173" s="73">
        <v>-11872</v>
      </c>
      <c r="F173" s="67">
        <v>6500</v>
      </c>
      <c r="G173" s="64">
        <v>0</v>
      </c>
      <c r="H173" s="67">
        <v>0</v>
      </c>
      <c r="I173" s="64">
        <v>0</v>
      </c>
      <c r="J173" s="67">
        <v>0</v>
      </c>
      <c r="K173" s="64">
        <v>0</v>
      </c>
      <c r="L173" s="63">
        <v>4874</v>
      </c>
    </row>
    <row r="174" spans="1:12" x14ac:dyDescent="0.25">
      <c r="A174" s="66" t="s">
        <v>339</v>
      </c>
      <c r="B174" s="81" t="s">
        <v>356</v>
      </c>
      <c r="C174" s="61">
        <f t="shared" si="69"/>
        <v>17158</v>
      </c>
      <c r="D174" s="63">
        <v>14158</v>
      </c>
      <c r="E174" s="64">
        <v>0</v>
      </c>
      <c r="F174" s="67">
        <v>3000</v>
      </c>
      <c r="G174" s="64">
        <v>0</v>
      </c>
      <c r="H174" s="67">
        <v>0</v>
      </c>
      <c r="I174" s="64">
        <v>0</v>
      </c>
      <c r="J174" s="67">
        <v>0</v>
      </c>
      <c r="K174" s="64">
        <v>0</v>
      </c>
      <c r="L174" s="63">
        <v>0</v>
      </c>
    </row>
    <row r="175" spans="1:12" ht="25.5" x14ac:dyDescent="0.25">
      <c r="A175" s="66" t="s">
        <v>340</v>
      </c>
      <c r="B175" s="81" t="s">
        <v>409</v>
      </c>
      <c r="C175" s="61">
        <f t="shared" si="69"/>
        <v>107869</v>
      </c>
      <c r="D175" s="63">
        <v>98297</v>
      </c>
      <c r="E175" s="64">
        <v>9317</v>
      </c>
      <c r="F175" s="67">
        <v>100</v>
      </c>
      <c r="G175" s="64">
        <v>0</v>
      </c>
      <c r="H175" s="67">
        <v>0</v>
      </c>
      <c r="I175" s="64">
        <v>0</v>
      </c>
      <c r="J175" s="67">
        <v>100</v>
      </c>
      <c r="K175" s="64">
        <v>0</v>
      </c>
      <c r="L175" s="63">
        <v>55</v>
      </c>
    </row>
    <row r="176" spans="1:12" ht="25.5" x14ac:dyDescent="0.25">
      <c r="A176" s="59" t="s">
        <v>341</v>
      </c>
      <c r="B176" s="60" t="s">
        <v>357</v>
      </c>
      <c r="C176" s="61">
        <f>SUM(D176:L176)</f>
        <v>1306328</v>
      </c>
      <c r="D176" s="61">
        <f>SUM(D177:D180)</f>
        <v>1250076</v>
      </c>
      <c r="E176" s="71">
        <f t="shared" ref="E176:L176" si="70">SUM(E177:E180)</f>
        <v>0</v>
      </c>
      <c r="F176" s="70">
        <f t="shared" si="70"/>
        <v>500</v>
      </c>
      <c r="G176" s="71">
        <f t="shared" si="70"/>
        <v>0</v>
      </c>
      <c r="H176" s="70">
        <f t="shared" si="70"/>
        <v>23952</v>
      </c>
      <c r="I176" s="71">
        <f t="shared" si="70"/>
        <v>0</v>
      </c>
      <c r="J176" s="70">
        <f t="shared" si="70"/>
        <v>0</v>
      </c>
      <c r="K176" s="62">
        <f t="shared" si="70"/>
        <v>0</v>
      </c>
      <c r="L176" s="61">
        <f t="shared" si="70"/>
        <v>31800</v>
      </c>
    </row>
    <row r="177" spans="1:12" ht="38.25" x14ac:dyDescent="0.25">
      <c r="A177" s="66" t="s">
        <v>358</v>
      </c>
      <c r="B177" s="81" t="s">
        <v>410</v>
      </c>
      <c r="C177" s="61">
        <f t="shared" si="69"/>
        <v>1053128</v>
      </c>
      <c r="D177" s="63">
        <f>1022410+3380</f>
        <v>1025790</v>
      </c>
      <c r="E177" s="64">
        <v>0</v>
      </c>
      <c r="F177" s="67">
        <v>500</v>
      </c>
      <c r="G177" s="64">
        <v>0</v>
      </c>
      <c r="H177" s="67">
        <v>23952</v>
      </c>
      <c r="I177" s="64">
        <v>0</v>
      </c>
      <c r="J177" s="67">
        <v>0</v>
      </c>
      <c r="K177" s="64">
        <v>0</v>
      </c>
      <c r="L177" s="63">
        <v>2886</v>
      </c>
    </row>
    <row r="178" spans="1:12" ht="25.5" x14ac:dyDescent="0.25">
      <c r="A178" s="66" t="s">
        <v>342</v>
      </c>
      <c r="B178" s="81" t="s">
        <v>372</v>
      </c>
      <c r="C178" s="61">
        <f t="shared" ref="C178:C179" si="71">SUM(D178:L178)</f>
        <v>8200</v>
      </c>
      <c r="D178" s="63">
        <v>8200</v>
      </c>
      <c r="E178" s="64">
        <v>0</v>
      </c>
      <c r="F178" s="67">
        <v>0</v>
      </c>
      <c r="G178" s="64">
        <v>0</v>
      </c>
      <c r="H178" s="67">
        <v>0</v>
      </c>
      <c r="I178" s="64">
        <v>0</v>
      </c>
      <c r="J178" s="67">
        <v>0</v>
      </c>
      <c r="K178" s="64">
        <v>0</v>
      </c>
      <c r="L178" s="63">
        <v>0</v>
      </c>
    </row>
    <row r="179" spans="1:12" ht="38.25" x14ac:dyDescent="0.25">
      <c r="A179" s="66" t="s">
        <v>343</v>
      </c>
      <c r="B179" s="81" t="s">
        <v>359</v>
      </c>
      <c r="C179" s="61">
        <f t="shared" si="71"/>
        <v>245000</v>
      </c>
      <c r="D179" s="63">
        <v>216086</v>
      </c>
      <c r="E179" s="64">
        <v>0</v>
      </c>
      <c r="F179" s="63">
        <v>0</v>
      </c>
      <c r="G179" s="64">
        <v>0</v>
      </c>
      <c r="H179" s="63">
        <v>0</v>
      </c>
      <c r="I179" s="64">
        <v>0</v>
      </c>
      <c r="J179" s="63">
        <v>0</v>
      </c>
      <c r="K179" s="64">
        <v>0</v>
      </c>
      <c r="L179" s="63">
        <v>28914</v>
      </c>
    </row>
    <row r="180" spans="1:12" hidden="1" x14ac:dyDescent="0.25">
      <c r="A180" s="109"/>
      <c r="B180" s="110"/>
      <c r="C180" s="111">
        <f t="shared" si="69"/>
        <v>0</v>
      </c>
      <c r="D180" s="112"/>
      <c r="E180" s="113"/>
      <c r="F180" s="112"/>
      <c r="G180" s="113"/>
      <c r="H180" s="112"/>
      <c r="I180" s="113"/>
      <c r="J180" s="112"/>
      <c r="K180" s="113"/>
      <c r="L180" s="112"/>
    </row>
    <row r="181" spans="1:12" x14ac:dyDescent="0.25">
      <c r="A181" s="53"/>
      <c r="B181" s="76" t="s">
        <v>133</v>
      </c>
      <c r="C181" s="37">
        <f>SUM(D181:L181)</f>
        <v>8806154</v>
      </c>
      <c r="D181" s="37">
        <f>D182+D183+D189</f>
        <v>866353</v>
      </c>
      <c r="E181" s="54">
        <f>E182+E183+E189</f>
        <v>3084840</v>
      </c>
      <c r="F181" s="37">
        <f t="shared" ref="F181:L181" si="72">F182+F183</f>
        <v>0</v>
      </c>
      <c r="G181" s="54">
        <f t="shared" si="72"/>
        <v>0</v>
      </c>
      <c r="H181" s="37">
        <f>H182+H183</f>
        <v>2761444</v>
      </c>
      <c r="I181" s="54">
        <f t="shared" si="72"/>
        <v>0</v>
      </c>
      <c r="J181" s="37">
        <f t="shared" si="72"/>
        <v>0</v>
      </c>
      <c r="K181" s="54">
        <f t="shared" si="72"/>
        <v>0</v>
      </c>
      <c r="L181" s="37">
        <f t="shared" si="72"/>
        <v>2093517</v>
      </c>
    </row>
    <row r="182" spans="1:12" ht="25.5" x14ac:dyDescent="0.25">
      <c r="A182" s="59" t="s">
        <v>134</v>
      </c>
      <c r="B182" s="60" t="s">
        <v>145</v>
      </c>
      <c r="C182" s="61">
        <f>SUM(D182:L182)</f>
        <v>4693770</v>
      </c>
      <c r="D182" s="61">
        <v>0</v>
      </c>
      <c r="E182" s="64">
        <v>-161191</v>
      </c>
      <c r="F182" s="70">
        <v>0</v>
      </c>
      <c r="G182" s="64">
        <v>0</v>
      </c>
      <c r="H182" s="70">
        <v>2761444</v>
      </c>
      <c r="I182" s="64">
        <v>0</v>
      </c>
      <c r="J182" s="70">
        <v>0</v>
      </c>
      <c r="K182" s="64">
        <v>0</v>
      </c>
      <c r="L182" s="61">
        <v>2093517</v>
      </c>
    </row>
    <row r="183" spans="1:12" ht="25.5" x14ac:dyDescent="0.25">
      <c r="A183" s="59" t="s">
        <v>135</v>
      </c>
      <c r="B183" s="60" t="s">
        <v>146</v>
      </c>
      <c r="C183" s="61">
        <f>SUM(D183:L183)</f>
        <v>3712997</v>
      </c>
      <c r="D183" s="61">
        <f>SUM(D184:D188)</f>
        <v>230153</v>
      </c>
      <c r="E183" s="71">
        <f t="shared" ref="E183:L183" si="73">SUM(E184:E188)</f>
        <v>3482844</v>
      </c>
      <c r="F183" s="70">
        <f t="shared" si="73"/>
        <v>0</v>
      </c>
      <c r="G183" s="71">
        <f t="shared" si="73"/>
        <v>0</v>
      </c>
      <c r="H183" s="70">
        <f t="shared" si="73"/>
        <v>0</v>
      </c>
      <c r="I183" s="71">
        <f t="shared" si="73"/>
        <v>0</v>
      </c>
      <c r="J183" s="70">
        <f t="shared" si="73"/>
        <v>0</v>
      </c>
      <c r="K183" s="62">
        <f t="shared" si="73"/>
        <v>0</v>
      </c>
      <c r="L183" s="61">
        <f t="shared" si="73"/>
        <v>0</v>
      </c>
    </row>
    <row r="184" spans="1:12" ht="25.5" hidden="1" x14ac:dyDescent="0.25">
      <c r="A184" s="74"/>
      <c r="B184" s="81" t="s">
        <v>411</v>
      </c>
      <c r="C184" s="61">
        <f t="shared" ref="C184:C188" si="74">SUM(D184:L184)</f>
        <v>0</v>
      </c>
      <c r="D184" s="63"/>
      <c r="E184" s="64"/>
      <c r="F184" s="63"/>
      <c r="G184" s="65"/>
      <c r="H184" s="63"/>
      <c r="I184" s="65"/>
      <c r="J184" s="63"/>
      <c r="K184" s="65"/>
      <c r="L184" s="40"/>
    </row>
    <row r="185" spans="1:12" x14ac:dyDescent="0.25">
      <c r="A185" s="74"/>
      <c r="B185" s="81" t="s">
        <v>384</v>
      </c>
      <c r="C185" s="61">
        <f t="shared" si="74"/>
        <v>3482844</v>
      </c>
      <c r="D185" s="63">
        <v>0</v>
      </c>
      <c r="E185" s="64">
        <v>3482844</v>
      </c>
      <c r="F185" s="63">
        <v>0</v>
      </c>
      <c r="G185" s="65">
        <v>0</v>
      </c>
      <c r="H185" s="63">
        <v>0</v>
      </c>
      <c r="I185" s="65">
        <v>0</v>
      </c>
      <c r="J185" s="63">
        <v>0</v>
      </c>
      <c r="K185" s="65">
        <v>0</v>
      </c>
      <c r="L185" s="40">
        <v>0</v>
      </c>
    </row>
    <row r="186" spans="1:12" ht="16.5" customHeight="1" x14ac:dyDescent="0.25">
      <c r="A186" s="74"/>
      <c r="B186" s="81" t="s">
        <v>383</v>
      </c>
      <c r="C186" s="61">
        <f t="shared" si="74"/>
        <v>230153</v>
      </c>
      <c r="D186" s="63">
        <f>467128-236975</f>
        <v>230153</v>
      </c>
      <c r="E186" s="64">
        <v>0</v>
      </c>
      <c r="F186" s="67">
        <v>0</v>
      </c>
      <c r="G186" s="64">
        <v>0</v>
      </c>
      <c r="H186" s="67">
        <v>0</v>
      </c>
      <c r="I186" s="65">
        <v>0</v>
      </c>
      <c r="J186" s="63">
        <v>0</v>
      </c>
      <c r="K186" s="65">
        <v>0</v>
      </c>
      <c r="L186" s="40">
        <v>0</v>
      </c>
    </row>
    <row r="187" spans="1:12" hidden="1" x14ac:dyDescent="0.25">
      <c r="A187" s="74"/>
      <c r="B187" s="81" t="s">
        <v>381</v>
      </c>
      <c r="C187" s="61">
        <f t="shared" si="74"/>
        <v>0</v>
      </c>
      <c r="D187" s="63"/>
      <c r="E187" s="64"/>
      <c r="F187" s="63"/>
      <c r="G187" s="65"/>
      <c r="H187" s="63"/>
      <c r="I187" s="65"/>
      <c r="J187" s="63"/>
      <c r="K187" s="65"/>
      <c r="L187" s="40"/>
    </row>
    <row r="188" spans="1:12" hidden="1" x14ac:dyDescent="0.25">
      <c r="A188" s="74"/>
      <c r="B188" s="81" t="s">
        <v>380</v>
      </c>
      <c r="C188" s="61">
        <f t="shared" si="74"/>
        <v>0</v>
      </c>
      <c r="D188" s="63"/>
      <c r="E188" s="64"/>
      <c r="F188" s="63"/>
      <c r="G188" s="65"/>
      <c r="H188" s="63"/>
      <c r="I188" s="65"/>
      <c r="J188" s="63"/>
      <c r="K188" s="65"/>
      <c r="L188" s="40"/>
    </row>
    <row r="189" spans="1:12" ht="25.5" x14ac:dyDescent="0.25">
      <c r="A189" s="59" t="s">
        <v>113</v>
      </c>
      <c r="B189" s="60" t="s">
        <v>148</v>
      </c>
      <c r="C189" s="61">
        <f>D189+E189</f>
        <v>399387</v>
      </c>
      <c r="D189" s="107">
        <f>828973-143415+5570-20000-34928</f>
        <v>636200</v>
      </c>
      <c r="E189" s="127">
        <f>-171905-30000-34908</f>
        <v>-236813</v>
      </c>
      <c r="F189" s="107">
        <v>0</v>
      </c>
      <c r="G189" s="127">
        <v>0</v>
      </c>
      <c r="H189" s="107">
        <v>0</v>
      </c>
      <c r="I189" s="127">
        <v>0</v>
      </c>
      <c r="J189" s="107">
        <v>0</v>
      </c>
      <c r="K189" s="127">
        <v>0</v>
      </c>
      <c r="L189" s="107">
        <v>0</v>
      </c>
    </row>
    <row r="190" spans="1:12" x14ac:dyDescent="0.25">
      <c r="A190" s="77"/>
      <c r="B190" s="78" t="s">
        <v>361</v>
      </c>
      <c r="C190" s="79">
        <f>C11+C181</f>
        <v>95252955</v>
      </c>
      <c r="D190" s="79">
        <f>D11+D181</f>
        <v>58445500</v>
      </c>
      <c r="E190" s="80">
        <f>E11+E181</f>
        <v>3850304</v>
      </c>
      <c r="F190" s="79">
        <f t="shared" ref="F190:L190" si="75">F11+F181</f>
        <v>1829206</v>
      </c>
      <c r="G190" s="80">
        <f t="shared" si="75"/>
        <v>117784</v>
      </c>
      <c r="H190" s="79">
        <f t="shared" si="75"/>
        <v>17176497</v>
      </c>
      <c r="I190" s="80">
        <f t="shared" si="75"/>
        <v>8954265</v>
      </c>
      <c r="J190" s="79">
        <f t="shared" si="75"/>
        <v>681852</v>
      </c>
      <c r="K190" s="80">
        <f t="shared" si="75"/>
        <v>0</v>
      </c>
      <c r="L190" s="79">
        <f t="shared" si="75"/>
        <v>4197547</v>
      </c>
    </row>
    <row r="191" spans="1:12" x14ac:dyDescent="0.25">
      <c r="A191" s="19"/>
      <c r="B191" s="16"/>
      <c r="C191" s="108"/>
      <c r="D191" s="19"/>
      <c r="E191" s="19"/>
      <c r="F191" s="19"/>
      <c r="G191" s="19"/>
      <c r="H191" s="19"/>
      <c r="I191" s="19"/>
      <c r="J191" s="19"/>
      <c r="K191" s="19"/>
    </row>
    <row r="192" spans="1:12" x14ac:dyDescent="0.25">
      <c r="A192" s="19"/>
      <c r="B192" s="16"/>
      <c r="C192" s="108"/>
      <c r="D192" s="19"/>
      <c r="E192" s="19"/>
      <c r="F192" s="19"/>
      <c r="G192" s="19"/>
      <c r="H192" s="19"/>
      <c r="I192" s="19"/>
      <c r="J192" s="19"/>
      <c r="K192" s="19"/>
    </row>
    <row r="193" spans="1:12" ht="18.75" x14ac:dyDescent="0.3">
      <c r="A193" s="503" t="s">
        <v>123</v>
      </c>
      <c r="B193" s="503"/>
      <c r="C193" s="361"/>
      <c r="D193" s="12"/>
      <c r="E193" s="316"/>
      <c r="F193" s="12"/>
      <c r="G193" s="12"/>
      <c r="H193" s="12"/>
      <c r="I193" s="12"/>
      <c r="J193" s="12"/>
      <c r="K193" s="504" t="s">
        <v>124</v>
      </c>
      <c r="L193" s="504"/>
    </row>
    <row r="194" spans="1:12" x14ac:dyDescent="0.25">
      <c r="A194" s="19"/>
      <c r="B194" s="16"/>
      <c r="C194" s="108"/>
      <c r="D194" s="19"/>
      <c r="E194" s="19"/>
      <c r="F194" s="19"/>
      <c r="G194" s="19"/>
      <c r="H194" s="19"/>
      <c r="I194" s="19"/>
      <c r="J194" s="19"/>
      <c r="K194" s="19"/>
    </row>
    <row r="195" spans="1:12" x14ac:dyDescent="0.25">
      <c r="A195" s="19"/>
      <c r="B195" s="16"/>
      <c r="C195" s="108"/>
      <c r="D195" s="19"/>
      <c r="E195" s="19"/>
      <c r="F195" s="19"/>
      <c r="G195" s="19"/>
      <c r="H195" s="19"/>
      <c r="I195" s="19"/>
      <c r="J195" s="19"/>
      <c r="K195" s="19"/>
    </row>
    <row r="196" spans="1:12" x14ac:dyDescent="0.25">
      <c r="A196" s="19"/>
      <c r="C196" s="108"/>
      <c r="D196" s="19"/>
      <c r="E196" s="19"/>
      <c r="F196" s="19"/>
      <c r="G196" s="19"/>
      <c r="H196" s="19"/>
      <c r="I196" s="19"/>
      <c r="J196" s="19"/>
      <c r="K196" s="19"/>
    </row>
    <row r="197" spans="1:12" x14ac:dyDescent="0.25">
      <c r="A197" s="19"/>
      <c r="C197" s="108"/>
      <c r="D197" s="19"/>
      <c r="E197" s="19"/>
      <c r="F197" s="19"/>
      <c r="G197" s="19"/>
      <c r="H197" s="19"/>
      <c r="I197" s="19"/>
      <c r="J197" s="19"/>
      <c r="K197" s="19"/>
    </row>
    <row r="198" spans="1:12" x14ac:dyDescent="0.25">
      <c r="A198" s="19"/>
      <c r="C198" s="108"/>
      <c r="D198" s="19"/>
      <c r="E198" s="19"/>
      <c r="F198" s="19"/>
      <c r="G198" s="19"/>
      <c r="H198" s="19"/>
      <c r="I198" s="19"/>
      <c r="J198" s="19"/>
      <c r="K198" s="19"/>
    </row>
    <row r="199" spans="1:12" x14ac:dyDescent="0.25">
      <c r="A199" s="19"/>
      <c r="C199" s="108"/>
      <c r="D199" s="19"/>
      <c r="E199" s="19"/>
      <c r="F199" s="19"/>
      <c r="G199" s="19"/>
      <c r="H199" s="19"/>
      <c r="I199" s="19"/>
      <c r="J199" s="19"/>
      <c r="K199" s="19"/>
    </row>
    <row r="200" spans="1:12" x14ac:dyDescent="0.25">
      <c r="A200" s="19"/>
      <c r="C200" s="108"/>
      <c r="D200" s="19"/>
      <c r="E200" s="19"/>
      <c r="F200" s="19"/>
      <c r="G200" s="19"/>
      <c r="H200" s="19"/>
      <c r="I200" s="19"/>
      <c r="J200" s="19"/>
      <c r="K200" s="19"/>
    </row>
    <row r="201" spans="1:12" x14ac:dyDescent="0.25">
      <c r="A201" s="19"/>
      <c r="B201" s="16"/>
      <c r="C201" s="108"/>
      <c r="D201" s="19"/>
      <c r="E201" s="19"/>
      <c r="F201" s="19"/>
      <c r="G201" s="19"/>
      <c r="H201" s="19"/>
      <c r="I201" s="19"/>
      <c r="J201" s="19"/>
      <c r="K201" s="19"/>
    </row>
    <row r="202" spans="1:12" x14ac:dyDescent="0.25">
      <c r="A202" s="19"/>
      <c r="B202" s="16"/>
      <c r="C202" s="108"/>
      <c r="D202" s="19"/>
      <c r="E202" s="19"/>
      <c r="F202" s="19"/>
      <c r="G202" s="19"/>
      <c r="H202" s="19"/>
      <c r="I202" s="19"/>
      <c r="J202" s="19"/>
      <c r="K202" s="19"/>
    </row>
    <row r="203" spans="1:12" x14ac:dyDescent="0.25">
      <c r="A203" s="19"/>
      <c r="B203" s="16"/>
      <c r="C203" s="108"/>
      <c r="D203" s="19"/>
      <c r="E203" s="19"/>
      <c r="F203" s="19"/>
      <c r="G203" s="19"/>
      <c r="H203" s="19"/>
      <c r="I203" s="19"/>
      <c r="J203" s="19"/>
      <c r="K203" s="19"/>
    </row>
    <row r="204" spans="1:12" x14ac:dyDescent="0.25">
      <c r="A204" s="19"/>
      <c r="B204" s="16"/>
      <c r="C204" s="108"/>
      <c r="D204" s="19"/>
      <c r="E204" s="19"/>
      <c r="F204" s="19"/>
      <c r="G204" s="19"/>
      <c r="H204" s="19"/>
      <c r="I204" s="19"/>
      <c r="J204" s="19"/>
      <c r="K204" s="19"/>
    </row>
    <row r="205" spans="1:12" x14ac:dyDescent="0.25">
      <c r="A205" s="19"/>
      <c r="B205" s="16"/>
      <c r="C205" s="108"/>
      <c r="D205" s="19"/>
      <c r="E205" s="19"/>
      <c r="F205" s="19"/>
      <c r="G205" s="19"/>
      <c r="H205" s="19"/>
      <c r="I205" s="19"/>
      <c r="J205" s="19"/>
      <c r="K205" s="19"/>
    </row>
    <row r="206" spans="1:12" x14ac:dyDescent="0.25">
      <c r="A206" s="19"/>
      <c r="B206" s="16"/>
      <c r="C206" s="108"/>
      <c r="D206" s="19"/>
      <c r="E206" s="19"/>
      <c r="F206" s="19"/>
      <c r="G206" s="19"/>
      <c r="H206" s="19"/>
      <c r="I206" s="19"/>
      <c r="J206" s="19"/>
      <c r="K206" s="19"/>
    </row>
    <row r="207" spans="1:12" x14ac:dyDescent="0.25">
      <c r="A207" s="19"/>
      <c r="B207" s="16"/>
      <c r="C207" s="108"/>
      <c r="D207" s="19"/>
      <c r="E207" s="19"/>
      <c r="F207" s="19"/>
      <c r="G207" s="19"/>
      <c r="H207" s="19"/>
      <c r="I207" s="19"/>
      <c r="J207" s="19"/>
      <c r="K207" s="19"/>
    </row>
    <row r="208" spans="1:12" x14ac:dyDescent="0.25">
      <c r="A208" s="19"/>
      <c r="B208" s="16"/>
      <c r="C208" s="108"/>
      <c r="D208" s="19"/>
      <c r="E208" s="19"/>
      <c r="F208" s="19"/>
      <c r="G208" s="19"/>
      <c r="H208" s="19"/>
      <c r="I208" s="19"/>
      <c r="J208" s="19"/>
      <c r="K208" s="19"/>
    </row>
    <row r="209" spans="1:11" x14ac:dyDescent="0.25">
      <c r="A209" s="19"/>
      <c r="B209" s="16"/>
      <c r="C209" s="108"/>
      <c r="D209" s="19"/>
      <c r="E209" s="19"/>
      <c r="F209" s="19"/>
      <c r="G209" s="19"/>
      <c r="H209" s="19"/>
      <c r="I209" s="19"/>
      <c r="J209" s="19"/>
      <c r="K209" s="19"/>
    </row>
    <row r="210" spans="1:11" x14ac:dyDescent="0.25">
      <c r="A210" s="19"/>
      <c r="B210" s="16"/>
      <c r="C210" s="108"/>
      <c r="D210" s="19"/>
      <c r="E210" s="19"/>
      <c r="F210" s="19"/>
      <c r="G210" s="19"/>
      <c r="H210" s="19"/>
      <c r="I210" s="19"/>
      <c r="J210" s="19"/>
      <c r="K210" s="19"/>
    </row>
    <row r="211" spans="1:11" x14ac:dyDescent="0.25">
      <c r="A211" s="19"/>
      <c r="B211" s="16"/>
      <c r="C211" s="108"/>
      <c r="D211" s="19"/>
      <c r="E211" s="19"/>
      <c r="F211" s="19"/>
      <c r="G211" s="19"/>
      <c r="H211" s="19"/>
      <c r="I211" s="19"/>
      <c r="J211" s="19"/>
      <c r="K211" s="19"/>
    </row>
    <row r="212" spans="1:11" x14ac:dyDescent="0.25">
      <c r="A212" s="19"/>
      <c r="B212" s="16"/>
      <c r="C212" s="108"/>
      <c r="D212" s="19"/>
      <c r="E212" s="19"/>
      <c r="F212" s="19"/>
      <c r="G212" s="19"/>
      <c r="H212" s="19"/>
      <c r="I212" s="19"/>
      <c r="J212" s="19"/>
      <c r="K212" s="19"/>
    </row>
    <row r="213" spans="1:11" x14ac:dyDescent="0.25">
      <c r="A213" s="19"/>
      <c r="B213" s="16"/>
      <c r="C213" s="108"/>
      <c r="D213" s="19"/>
      <c r="E213" s="19"/>
      <c r="F213" s="19"/>
      <c r="G213" s="19"/>
      <c r="H213" s="19"/>
      <c r="I213" s="19"/>
      <c r="J213" s="19"/>
      <c r="K213" s="19"/>
    </row>
    <row r="214" spans="1:11" x14ac:dyDescent="0.25">
      <c r="A214" s="19"/>
      <c r="B214" s="16"/>
      <c r="C214" s="108"/>
      <c r="D214" s="19"/>
      <c r="E214" s="19"/>
      <c r="F214" s="19"/>
      <c r="G214" s="19"/>
      <c r="H214" s="19"/>
      <c r="I214" s="19"/>
      <c r="J214" s="19"/>
      <c r="K214" s="19"/>
    </row>
    <row r="215" spans="1:11" x14ac:dyDescent="0.25">
      <c r="A215" s="19"/>
      <c r="B215" s="16"/>
      <c r="C215" s="108"/>
      <c r="D215" s="19"/>
      <c r="E215" s="19"/>
      <c r="F215" s="19"/>
      <c r="G215" s="19"/>
      <c r="H215" s="19"/>
      <c r="I215" s="19"/>
      <c r="J215" s="19"/>
      <c r="K215" s="19"/>
    </row>
    <row r="216" spans="1:11" x14ac:dyDescent="0.25">
      <c r="A216" s="19"/>
      <c r="B216" s="16"/>
      <c r="C216" s="108"/>
      <c r="D216" s="19"/>
      <c r="E216" s="19"/>
      <c r="F216" s="19"/>
      <c r="G216" s="19"/>
      <c r="H216" s="19"/>
      <c r="I216" s="19"/>
      <c r="J216" s="19"/>
      <c r="K216" s="19"/>
    </row>
    <row r="217" spans="1:11" x14ac:dyDescent="0.25">
      <c r="A217" s="19"/>
      <c r="B217" s="16"/>
      <c r="C217" s="108"/>
      <c r="D217" s="19"/>
      <c r="E217" s="19"/>
      <c r="F217" s="19"/>
      <c r="G217" s="19"/>
      <c r="H217" s="19"/>
      <c r="I217" s="19"/>
      <c r="J217" s="19"/>
      <c r="K217" s="19"/>
    </row>
    <row r="218" spans="1:11" x14ac:dyDescent="0.25">
      <c r="A218" s="19"/>
      <c r="B218" s="16"/>
      <c r="C218" s="108"/>
      <c r="D218" s="19"/>
      <c r="E218" s="19"/>
      <c r="F218" s="19"/>
      <c r="G218" s="19"/>
      <c r="H218" s="19"/>
      <c r="I218" s="19"/>
      <c r="J218" s="19"/>
      <c r="K218" s="19"/>
    </row>
    <row r="219" spans="1:11" x14ac:dyDescent="0.25">
      <c r="A219" s="19"/>
      <c r="B219" s="16"/>
      <c r="C219" s="108"/>
      <c r="D219" s="19"/>
      <c r="E219" s="19"/>
      <c r="F219" s="19"/>
      <c r="G219" s="19"/>
      <c r="H219" s="19"/>
      <c r="I219" s="19"/>
      <c r="J219" s="19"/>
      <c r="K219" s="19"/>
    </row>
    <row r="220" spans="1:11" x14ac:dyDescent="0.25">
      <c r="A220" s="19"/>
      <c r="B220" s="16"/>
      <c r="C220" s="108"/>
      <c r="D220" s="19"/>
      <c r="E220" s="19"/>
      <c r="F220" s="19"/>
      <c r="G220" s="19"/>
      <c r="H220" s="19"/>
      <c r="I220" s="19"/>
      <c r="J220" s="19"/>
      <c r="K220" s="19"/>
    </row>
    <row r="221" spans="1:11" x14ac:dyDescent="0.25">
      <c r="A221" s="19"/>
      <c r="B221" s="16"/>
      <c r="C221" s="108"/>
      <c r="D221" s="19"/>
      <c r="E221" s="19"/>
      <c r="F221" s="19"/>
      <c r="G221" s="19"/>
      <c r="H221" s="19"/>
      <c r="I221" s="19"/>
      <c r="J221" s="19"/>
      <c r="K221" s="19"/>
    </row>
    <row r="222" spans="1:11" x14ac:dyDescent="0.25">
      <c r="A222" s="19"/>
      <c r="B222" s="16"/>
      <c r="C222" s="108"/>
      <c r="D222" s="19"/>
      <c r="E222" s="19"/>
      <c r="F222" s="19"/>
      <c r="G222" s="19"/>
      <c r="H222" s="19"/>
      <c r="I222" s="19"/>
      <c r="J222" s="19"/>
      <c r="K222" s="19"/>
    </row>
    <row r="223" spans="1:11" x14ac:dyDescent="0.25">
      <c r="A223" s="19"/>
      <c r="B223" s="16"/>
      <c r="C223" s="108"/>
      <c r="D223" s="19"/>
      <c r="E223" s="19"/>
      <c r="F223" s="19"/>
      <c r="G223" s="19"/>
      <c r="H223" s="19"/>
      <c r="I223" s="19"/>
      <c r="J223" s="19"/>
      <c r="K223" s="19"/>
    </row>
  </sheetData>
  <mergeCells count="10">
    <mergeCell ref="A193:B193"/>
    <mergeCell ref="K193:L193"/>
    <mergeCell ref="K1:L1"/>
    <mergeCell ref="A5:L5"/>
    <mergeCell ref="A6:L6"/>
    <mergeCell ref="A8:A9"/>
    <mergeCell ref="B8:B9"/>
    <mergeCell ref="C8:C9"/>
    <mergeCell ref="D8:L8"/>
    <mergeCell ref="H2:L2"/>
  </mergeCells>
  <printOptions horizontalCentered="1"/>
  <pageMargins left="0.39370078740157483" right="0.39370078740157483" top="1.1811023622047245" bottom="0.39370078740157483" header="0.19685039370078741" footer="0.19685039370078741"/>
  <pageSetup paperSize="9" scale="92" fitToHeight="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781"/>
  <sheetViews>
    <sheetView showGridLines="0" topLeftCell="A649" workbookViewId="0">
      <selection activeCell="B773" sqref="B773"/>
    </sheetView>
  </sheetViews>
  <sheetFormatPr defaultRowHeight="15" x14ac:dyDescent="0.25"/>
  <cols>
    <col min="1" max="1" width="5.140625" style="366" customWidth="1"/>
    <col min="2" max="2" width="52.5703125" style="366" customWidth="1"/>
    <col min="3" max="3" width="15.7109375" style="366" customWidth="1"/>
    <col min="4" max="4" width="15.5703125" style="366" customWidth="1"/>
    <col min="5" max="5" width="17.5703125" style="366" customWidth="1"/>
    <col min="6" max="16384" width="9.140625" style="366"/>
  </cols>
  <sheetData>
    <row r="1" spans="1:5" ht="14.25" customHeight="1" x14ac:dyDescent="0.25">
      <c r="D1" s="507" t="s">
        <v>984</v>
      </c>
      <c r="E1" s="507"/>
    </row>
    <row r="2" spans="1:5" ht="14.25" customHeight="1" x14ac:dyDescent="0.25">
      <c r="C2" s="508" t="s">
        <v>787</v>
      </c>
      <c r="D2" s="508"/>
      <c r="E2" s="508"/>
    </row>
    <row r="3" spans="1:5" ht="15" customHeight="1" x14ac:dyDescent="0.25">
      <c r="C3" s="520" t="s">
        <v>1000</v>
      </c>
      <c r="D3" s="521"/>
      <c r="E3" s="521"/>
    </row>
    <row r="4" spans="1:5" ht="15" customHeight="1" x14ac:dyDescent="0.25">
      <c r="C4" s="520"/>
      <c r="D4" s="520"/>
      <c r="E4" s="520"/>
    </row>
    <row r="6" spans="1:5" ht="36" customHeight="1" x14ac:dyDescent="0.25">
      <c r="A6" s="522" t="s">
        <v>850</v>
      </c>
      <c r="B6" s="523"/>
      <c r="C6" s="523"/>
      <c r="D6" s="523"/>
      <c r="E6" s="523"/>
    </row>
    <row r="7" spans="1:5" ht="28.5" customHeight="1" x14ac:dyDescent="0.25">
      <c r="A7" s="524" t="s">
        <v>789</v>
      </c>
      <c r="B7" s="525"/>
      <c r="C7" s="367" t="s">
        <v>821</v>
      </c>
      <c r="D7" s="367" t="s">
        <v>985</v>
      </c>
      <c r="E7" s="367" t="s">
        <v>1001</v>
      </c>
    </row>
    <row r="8" spans="1:5" ht="9" customHeight="1" x14ac:dyDescent="0.25"/>
    <row r="9" spans="1:5" ht="19.5" customHeight="1" x14ac:dyDescent="0.25">
      <c r="A9" s="518" t="s">
        <v>822</v>
      </c>
      <c r="B9" s="519"/>
      <c r="C9" s="519"/>
      <c r="D9" s="519"/>
      <c r="E9" s="519"/>
    </row>
    <row r="10" spans="1:5" ht="14.25" customHeight="1" x14ac:dyDescent="0.25">
      <c r="A10" s="481"/>
      <c r="B10" s="368" t="s">
        <v>823</v>
      </c>
      <c r="C10" s="369">
        <v>23231550</v>
      </c>
      <c r="D10" s="369">
        <f>4316757+175000</f>
        <v>4491757</v>
      </c>
      <c r="E10" s="369">
        <f>27548307+175000</f>
        <v>27723307</v>
      </c>
    </row>
    <row r="11" spans="1:5" ht="14.25" customHeight="1" x14ac:dyDescent="0.25">
      <c r="A11" s="481"/>
      <c r="B11" s="368" t="s">
        <v>830</v>
      </c>
      <c r="C11" s="369">
        <v>3282466</v>
      </c>
      <c r="D11" s="369">
        <v>38697</v>
      </c>
      <c r="E11" s="369">
        <v>3321163</v>
      </c>
    </row>
    <row r="12" spans="1:5" ht="14.25" customHeight="1" x14ac:dyDescent="0.25">
      <c r="A12" s="481"/>
      <c r="B12" s="368" t="s">
        <v>824</v>
      </c>
      <c r="C12" s="369">
        <v>2194028</v>
      </c>
      <c r="D12" s="369">
        <v>195945</v>
      </c>
      <c r="E12" s="369">
        <v>2389973</v>
      </c>
    </row>
    <row r="13" spans="1:5" ht="14.25" customHeight="1" x14ac:dyDescent="0.25">
      <c r="A13" s="481"/>
      <c r="B13" s="368" t="s">
        <v>827</v>
      </c>
      <c r="C13" s="369">
        <v>121886</v>
      </c>
      <c r="D13" s="369">
        <v>0</v>
      </c>
      <c r="E13" s="369">
        <v>121886</v>
      </c>
    </row>
    <row r="14" spans="1:5" ht="14.25" customHeight="1" x14ac:dyDescent="0.25">
      <c r="A14" s="481"/>
      <c r="B14" s="368" t="s">
        <v>831</v>
      </c>
      <c r="C14" s="369">
        <v>17306429</v>
      </c>
      <c r="D14" s="369">
        <f>3839493+175000</f>
        <v>4014493</v>
      </c>
      <c r="E14" s="369">
        <f>21145922+175000</f>
        <v>21320922</v>
      </c>
    </row>
    <row r="15" spans="1:5" ht="14.25" customHeight="1" x14ac:dyDescent="0.25">
      <c r="A15" s="481"/>
      <c r="B15" s="368" t="s">
        <v>904</v>
      </c>
      <c r="C15" s="369">
        <v>0</v>
      </c>
      <c r="D15" s="369">
        <v>700</v>
      </c>
      <c r="E15" s="369">
        <v>700</v>
      </c>
    </row>
    <row r="16" spans="1:5" ht="30" x14ac:dyDescent="0.25">
      <c r="A16" s="481"/>
      <c r="B16" s="368" t="s">
        <v>828</v>
      </c>
      <c r="C16" s="369">
        <v>326741</v>
      </c>
      <c r="D16" s="369">
        <v>241922</v>
      </c>
      <c r="E16" s="369">
        <v>568663</v>
      </c>
    </row>
    <row r="18" spans="1:5" ht="19.5" customHeight="1" x14ac:dyDescent="0.25">
      <c r="A18" s="511" t="s">
        <v>825</v>
      </c>
      <c r="B18" s="512"/>
      <c r="C18" s="512"/>
      <c r="D18" s="512"/>
      <c r="E18" s="512"/>
    </row>
    <row r="19" spans="1:5" ht="14.25" customHeight="1" x14ac:dyDescent="0.25">
      <c r="A19" s="479"/>
      <c r="B19" s="370" t="s">
        <v>823</v>
      </c>
      <c r="C19" s="371">
        <v>3730215</v>
      </c>
      <c r="D19" s="371">
        <v>0</v>
      </c>
      <c r="E19" s="371">
        <v>3730215</v>
      </c>
    </row>
    <row r="20" spans="1:5" ht="14.25" customHeight="1" x14ac:dyDescent="0.25">
      <c r="B20" s="362" t="s">
        <v>830</v>
      </c>
      <c r="C20" s="363">
        <v>3093679</v>
      </c>
      <c r="D20" s="363">
        <v>0</v>
      </c>
      <c r="E20" s="363">
        <v>3093679</v>
      </c>
    </row>
    <row r="21" spans="1:5" ht="14.25" customHeight="1" x14ac:dyDescent="0.25">
      <c r="B21" s="362" t="s">
        <v>824</v>
      </c>
      <c r="C21" s="363">
        <v>623536</v>
      </c>
      <c r="D21" s="363">
        <v>0</v>
      </c>
      <c r="E21" s="363">
        <v>623536</v>
      </c>
    </row>
    <row r="22" spans="1:5" ht="14.25" customHeight="1" x14ac:dyDescent="0.25">
      <c r="B22" s="362" t="s">
        <v>831</v>
      </c>
      <c r="C22" s="363">
        <v>13000</v>
      </c>
      <c r="D22" s="363">
        <v>0</v>
      </c>
      <c r="E22" s="363">
        <v>13000</v>
      </c>
    </row>
    <row r="24" spans="1:5" ht="19.5" customHeight="1" x14ac:dyDescent="0.25">
      <c r="A24" s="511" t="s">
        <v>851</v>
      </c>
      <c r="B24" s="512"/>
      <c r="C24" s="512"/>
      <c r="D24" s="512"/>
      <c r="E24" s="512"/>
    </row>
    <row r="25" spans="1:5" ht="14.25" customHeight="1" x14ac:dyDescent="0.25">
      <c r="B25" s="478" t="s">
        <v>823</v>
      </c>
      <c r="C25" s="371">
        <v>118406</v>
      </c>
      <c r="D25" s="371">
        <v>83872</v>
      </c>
      <c r="E25" s="371">
        <v>202278</v>
      </c>
    </row>
    <row r="26" spans="1:5" ht="14.25" customHeight="1" x14ac:dyDescent="0.25">
      <c r="B26" s="362" t="s">
        <v>830</v>
      </c>
      <c r="C26" s="363">
        <v>3050</v>
      </c>
      <c r="D26" s="363">
        <v>1489</v>
      </c>
      <c r="E26" s="363">
        <v>4539</v>
      </c>
    </row>
    <row r="27" spans="1:5" ht="14.25" customHeight="1" x14ac:dyDescent="0.25">
      <c r="B27" s="362" t="s">
        <v>824</v>
      </c>
      <c r="C27" s="363">
        <v>17722</v>
      </c>
      <c r="D27" s="363">
        <v>0</v>
      </c>
      <c r="E27" s="363">
        <v>17722</v>
      </c>
    </row>
    <row r="28" spans="1:5" ht="30" x14ac:dyDescent="0.25">
      <c r="B28" s="362" t="s">
        <v>828</v>
      </c>
      <c r="C28" s="363">
        <v>97634</v>
      </c>
      <c r="D28" s="363">
        <v>82383</v>
      </c>
      <c r="E28" s="363">
        <v>180017</v>
      </c>
    </row>
    <row r="30" spans="1:5" ht="28.5" customHeight="1" x14ac:dyDescent="0.25">
      <c r="A30" s="511" t="s">
        <v>852</v>
      </c>
      <c r="B30" s="512"/>
      <c r="C30" s="512"/>
      <c r="D30" s="512"/>
      <c r="E30" s="512"/>
    </row>
    <row r="31" spans="1:5" ht="14.25" customHeight="1" x14ac:dyDescent="0.25">
      <c r="B31" s="478" t="s">
        <v>823</v>
      </c>
      <c r="C31" s="371">
        <v>13343</v>
      </c>
      <c r="D31" s="371">
        <v>0</v>
      </c>
      <c r="E31" s="371">
        <v>13343</v>
      </c>
    </row>
    <row r="32" spans="1:5" ht="14.25" customHeight="1" x14ac:dyDescent="0.25">
      <c r="B32" s="362" t="s">
        <v>830</v>
      </c>
      <c r="C32" s="363">
        <v>7574</v>
      </c>
      <c r="D32" s="363">
        <v>0</v>
      </c>
      <c r="E32" s="363">
        <v>7574</v>
      </c>
    </row>
    <row r="33" spans="1:5" ht="14.25" customHeight="1" x14ac:dyDescent="0.25">
      <c r="B33" s="362" t="s">
        <v>824</v>
      </c>
      <c r="C33" s="363">
        <v>5769</v>
      </c>
      <c r="D33" s="363">
        <v>0</v>
      </c>
      <c r="E33" s="363">
        <v>5769</v>
      </c>
    </row>
    <row r="35" spans="1:5" ht="19.5" customHeight="1" x14ac:dyDescent="0.25">
      <c r="A35" s="511" t="s">
        <v>853</v>
      </c>
      <c r="B35" s="512"/>
      <c r="C35" s="512"/>
      <c r="D35" s="512"/>
      <c r="E35" s="512"/>
    </row>
    <row r="36" spans="1:5" ht="14.25" customHeight="1" x14ac:dyDescent="0.25">
      <c r="B36" s="478" t="s">
        <v>823</v>
      </c>
      <c r="C36" s="371">
        <v>81700</v>
      </c>
      <c r="D36" s="371">
        <v>0</v>
      </c>
      <c r="E36" s="371">
        <v>81700</v>
      </c>
    </row>
    <row r="37" spans="1:5" ht="14.25" customHeight="1" x14ac:dyDescent="0.25">
      <c r="B37" s="362" t="s">
        <v>824</v>
      </c>
      <c r="C37" s="363">
        <v>81700</v>
      </c>
      <c r="D37" s="363">
        <v>0</v>
      </c>
      <c r="E37" s="363">
        <v>81700</v>
      </c>
    </row>
    <row r="39" spans="1:5" ht="19.5" customHeight="1" x14ac:dyDescent="0.25">
      <c r="A39" s="511" t="s">
        <v>854</v>
      </c>
      <c r="B39" s="512"/>
      <c r="C39" s="512"/>
      <c r="D39" s="512"/>
      <c r="E39" s="512"/>
    </row>
    <row r="40" spans="1:5" ht="14.25" customHeight="1" x14ac:dyDescent="0.25">
      <c r="B40" s="478" t="s">
        <v>823</v>
      </c>
      <c r="C40" s="371">
        <v>493273</v>
      </c>
      <c r="D40" s="371">
        <v>0</v>
      </c>
      <c r="E40" s="371">
        <v>493273</v>
      </c>
    </row>
    <row r="41" spans="1:5" ht="14.25" customHeight="1" x14ac:dyDescent="0.25">
      <c r="B41" s="362" t="s">
        <v>824</v>
      </c>
      <c r="C41" s="363">
        <v>330873</v>
      </c>
      <c r="D41" s="363">
        <v>0</v>
      </c>
      <c r="E41" s="363">
        <v>330873</v>
      </c>
    </row>
    <row r="42" spans="1:5" ht="14.25" customHeight="1" x14ac:dyDescent="0.25">
      <c r="B42" s="362" t="s">
        <v>831</v>
      </c>
      <c r="C42" s="363">
        <v>162400</v>
      </c>
      <c r="D42" s="363">
        <v>0</v>
      </c>
      <c r="E42" s="363">
        <v>162400</v>
      </c>
    </row>
    <row r="44" spans="1:5" ht="28.5" customHeight="1" x14ac:dyDescent="0.25">
      <c r="A44" s="511" t="s">
        <v>855</v>
      </c>
      <c r="B44" s="512"/>
      <c r="C44" s="512"/>
      <c r="D44" s="512"/>
      <c r="E44" s="512"/>
    </row>
    <row r="45" spans="1:5" ht="14.25" customHeight="1" x14ac:dyDescent="0.25">
      <c r="B45" s="478" t="s">
        <v>823</v>
      </c>
      <c r="C45" s="371">
        <v>181801</v>
      </c>
      <c r="D45" s="371">
        <v>138643</v>
      </c>
      <c r="E45" s="371">
        <v>320444</v>
      </c>
    </row>
    <row r="46" spans="1:5" ht="14.25" customHeight="1" x14ac:dyDescent="0.25">
      <c r="B46" s="362" t="s">
        <v>824</v>
      </c>
      <c r="C46" s="363">
        <v>35209</v>
      </c>
      <c r="D46" s="363">
        <v>23639</v>
      </c>
      <c r="E46" s="363">
        <v>58848</v>
      </c>
    </row>
    <row r="47" spans="1:5" ht="14.25" customHeight="1" x14ac:dyDescent="0.25">
      <c r="B47" s="362" t="s">
        <v>831</v>
      </c>
      <c r="C47" s="363">
        <v>146529</v>
      </c>
      <c r="D47" s="363">
        <v>105465</v>
      </c>
      <c r="E47" s="363">
        <v>251994</v>
      </c>
    </row>
    <row r="48" spans="1:5" ht="30" x14ac:dyDescent="0.25">
      <c r="B48" s="362" t="s">
        <v>828</v>
      </c>
      <c r="C48" s="363">
        <v>63</v>
      </c>
      <c r="D48" s="363">
        <v>9539</v>
      </c>
      <c r="E48" s="363">
        <v>9602</v>
      </c>
    </row>
    <row r="50" spans="1:5" ht="19.5" customHeight="1" x14ac:dyDescent="0.25">
      <c r="A50" s="511" t="s">
        <v>1011</v>
      </c>
      <c r="B50" s="512"/>
      <c r="C50" s="512"/>
      <c r="D50" s="512"/>
      <c r="E50" s="512"/>
    </row>
    <row r="51" spans="1:5" ht="14.25" customHeight="1" x14ac:dyDescent="0.25">
      <c r="B51" s="478" t="s">
        <v>823</v>
      </c>
      <c r="C51" s="371">
        <v>0</v>
      </c>
      <c r="D51" s="371">
        <v>46058</v>
      </c>
      <c r="E51" s="371">
        <v>46058</v>
      </c>
    </row>
    <row r="52" spans="1:5" ht="14.25" customHeight="1" x14ac:dyDescent="0.25">
      <c r="B52" s="362" t="s">
        <v>830</v>
      </c>
      <c r="C52" s="363">
        <v>0</v>
      </c>
      <c r="D52" s="363">
        <v>36756</v>
      </c>
      <c r="E52" s="363">
        <v>36756</v>
      </c>
    </row>
    <row r="53" spans="1:5" ht="14.25" customHeight="1" x14ac:dyDescent="0.25">
      <c r="B53" s="362" t="s">
        <v>824</v>
      </c>
      <c r="C53" s="363">
        <v>0</v>
      </c>
      <c r="D53" s="363">
        <v>9302</v>
      </c>
      <c r="E53" s="363">
        <v>9302</v>
      </c>
    </row>
    <row r="55" spans="1:5" ht="28.5" customHeight="1" x14ac:dyDescent="0.25">
      <c r="A55" s="511" t="s">
        <v>856</v>
      </c>
      <c r="B55" s="512"/>
      <c r="C55" s="512"/>
      <c r="D55" s="512"/>
      <c r="E55" s="512"/>
    </row>
    <row r="56" spans="1:5" ht="14.25" customHeight="1" x14ac:dyDescent="0.25">
      <c r="B56" s="478" t="s">
        <v>823</v>
      </c>
      <c r="C56" s="371">
        <v>3000000</v>
      </c>
      <c r="D56" s="371">
        <v>402983</v>
      </c>
      <c r="E56" s="371">
        <v>3402983</v>
      </c>
    </row>
    <row r="57" spans="1:5" ht="14.25" customHeight="1" x14ac:dyDescent="0.25">
      <c r="B57" s="362" t="s">
        <v>831</v>
      </c>
      <c r="C57" s="363">
        <v>3000000</v>
      </c>
      <c r="D57" s="363">
        <v>402983</v>
      </c>
      <c r="E57" s="363">
        <v>3402983</v>
      </c>
    </row>
    <row r="59" spans="1:5" ht="28.5" customHeight="1" x14ac:dyDescent="0.25">
      <c r="A59" s="511" t="s">
        <v>857</v>
      </c>
      <c r="B59" s="512"/>
      <c r="C59" s="512"/>
      <c r="D59" s="512"/>
      <c r="E59" s="512"/>
    </row>
    <row r="60" spans="1:5" ht="14.25" customHeight="1" x14ac:dyDescent="0.25">
      <c r="B60" s="478" t="s">
        <v>823</v>
      </c>
      <c r="C60" s="371">
        <v>104277</v>
      </c>
      <c r="D60" s="371">
        <v>14309</v>
      </c>
      <c r="E60" s="371">
        <v>118586</v>
      </c>
    </row>
    <row r="61" spans="1:5" ht="14.25" customHeight="1" x14ac:dyDescent="0.25">
      <c r="B61" s="362" t="s">
        <v>824</v>
      </c>
      <c r="C61" s="363">
        <v>8432</v>
      </c>
      <c r="D61" s="363">
        <v>0</v>
      </c>
      <c r="E61" s="363">
        <v>8432</v>
      </c>
    </row>
    <row r="62" spans="1:5" ht="14.25" customHeight="1" x14ac:dyDescent="0.25">
      <c r="B62" s="362" t="s">
        <v>831</v>
      </c>
      <c r="C62" s="363">
        <v>95845</v>
      </c>
      <c r="D62" s="363">
        <v>14309</v>
      </c>
      <c r="E62" s="363">
        <v>110154</v>
      </c>
    </row>
    <row r="64" spans="1:5" ht="18" customHeight="1" x14ac:dyDescent="0.25">
      <c r="A64" s="511" t="s">
        <v>858</v>
      </c>
      <c r="B64" s="512"/>
      <c r="C64" s="512"/>
      <c r="D64" s="512"/>
      <c r="E64" s="512"/>
    </row>
    <row r="65" spans="1:5" ht="14.25" customHeight="1" x14ac:dyDescent="0.25">
      <c r="B65" s="478" t="s">
        <v>823</v>
      </c>
      <c r="C65" s="371">
        <v>155906</v>
      </c>
      <c r="D65" s="371">
        <v>0</v>
      </c>
      <c r="E65" s="371">
        <v>155906</v>
      </c>
    </row>
    <row r="66" spans="1:5" ht="14.25" customHeight="1" x14ac:dyDescent="0.25">
      <c r="B66" s="362" t="s">
        <v>831</v>
      </c>
      <c r="C66" s="363">
        <v>155906</v>
      </c>
      <c r="D66" s="363">
        <v>0</v>
      </c>
      <c r="E66" s="363">
        <v>155906</v>
      </c>
    </row>
    <row r="68" spans="1:5" ht="28.5" customHeight="1" x14ac:dyDescent="0.25">
      <c r="A68" s="511" t="s">
        <v>859</v>
      </c>
      <c r="B68" s="512"/>
      <c r="C68" s="512"/>
      <c r="D68" s="512"/>
      <c r="E68" s="512"/>
    </row>
    <row r="69" spans="1:5" ht="14.25" customHeight="1" x14ac:dyDescent="0.25">
      <c r="B69" s="478" t="s">
        <v>823</v>
      </c>
      <c r="C69" s="371">
        <v>864123</v>
      </c>
      <c r="D69" s="371">
        <v>150000</v>
      </c>
      <c r="E69" s="371">
        <v>1014123</v>
      </c>
    </row>
    <row r="70" spans="1:5" ht="14.25" customHeight="1" x14ac:dyDescent="0.25">
      <c r="B70" s="362" t="s">
        <v>824</v>
      </c>
      <c r="C70" s="363">
        <v>6736</v>
      </c>
      <c r="D70" s="363">
        <v>0</v>
      </c>
      <c r="E70" s="363">
        <v>6736</v>
      </c>
    </row>
    <row r="71" spans="1:5" ht="14.25" customHeight="1" x14ac:dyDescent="0.25">
      <c r="B71" s="362" t="s">
        <v>827</v>
      </c>
      <c r="C71" s="363">
        <v>45200</v>
      </c>
      <c r="D71" s="363">
        <v>0</v>
      </c>
      <c r="E71" s="363">
        <v>45200</v>
      </c>
    </row>
    <row r="72" spans="1:5" ht="14.25" customHeight="1" x14ac:dyDescent="0.25">
      <c r="B72" s="362" t="s">
        <v>831</v>
      </c>
      <c r="C72" s="363">
        <v>633200</v>
      </c>
      <c r="D72" s="363">
        <v>0</v>
      </c>
      <c r="E72" s="363">
        <v>633200</v>
      </c>
    </row>
    <row r="73" spans="1:5" ht="30" x14ac:dyDescent="0.25">
      <c r="B73" s="362" t="s">
        <v>828</v>
      </c>
      <c r="C73" s="363">
        <v>178987</v>
      </c>
      <c r="D73" s="363">
        <v>150000</v>
      </c>
      <c r="E73" s="363">
        <v>328987</v>
      </c>
    </row>
    <row r="75" spans="1:5" ht="28.5" customHeight="1" x14ac:dyDescent="0.25">
      <c r="A75" s="511" t="s">
        <v>860</v>
      </c>
      <c r="B75" s="512"/>
      <c r="C75" s="512"/>
      <c r="D75" s="512"/>
      <c r="E75" s="512"/>
    </row>
    <row r="76" spans="1:5" ht="14.25" customHeight="1" x14ac:dyDescent="0.25">
      <c r="B76" s="478" t="s">
        <v>823</v>
      </c>
      <c r="C76" s="371">
        <v>2251</v>
      </c>
      <c r="D76" s="371">
        <v>0</v>
      </c>
      <c r="E76" s="371">
        <v>2251</v>
      </c>
    </row>
    <row r="77" spans="1:5" ht="14.25" customHeight="1" x14ac:dyDescent="0.25">
      <c r="B77" s="362" t="s">
        <v>824</v>
      </c>
      <c r="C77" s="363">
        <v>2251</v>
      </c>
      <c r="D77" s="363">
        <v>0</v>
      </c>
      <c r="E77" s="363">
        <v>2251</v>
      </c>
    </row>
    <row r="79" spans="1:5" ht="16.5" customHeight="1" x14ac:dyDescent="0.25">
      <c r="A79" s="511" t="s">
        <v>861</v>
      </c>
      <c r="B79" s="512"/>
      <c r="C79" s="512"/>
      <c r="D79" s="512"/>
      <c r="E79" s="512"/>
    </row>
    <row r="80" spans="1:5" ht="14.25" customHeight="1" x14ac:dyDescent="0.25">
      <c r="B80" s="478" t="s">
        <v>823</v>
      </c>
      <c r="C80" s="371">
        <v>90078</v>
      </c>
      <c r="D80" s="371">
        <v>0</v>
      </c>
      <c r="E80" s="371">
        <v>90078</v>
      </c>
    </row>
    <row r="81" spans="1:5" ht="14.25" customHeight="1" x14ac:dyDescent="0.25">
      <c r="B81" s="362" t="s">
        <v>824</v>
      </c>
      <c r="C81" s="363">
        <v>70078</v>
      </c>
      <c r="D81" s="363">
        <v>0</v>
      </c>
      <c r="E81" s="363">
        <v>70078</v>
      </c>
    </row>
    <row r="82" spans="1:5" ht="14.25" customHeight="1" x14ac:dyDescent="0.25">
      <c r="B82" s="362" t="s">
        <v>831</v>
      </c>
      <c r="C82" s="363">
        <v>20000</v>
      </c>
      <c r="D82" s="363">
        <v>0</v>
      </c>
      <c r="E82" s="363">
        <v>20000</v>
      </c>
    </row>
    <row r="84" spans="1:5" ht="19.5" customHeight="1" x14ac:dyDescent="0.25">
      <c r="A84" s="511" t="s">
        <v>862</v>
      </c>
      <c r="B84" s="512"/>
      <c r="C84" s="512"/>
      <c r="D84" s="512"/>
      <c r="E84" s="512"/>
    </row>
    <row r="85" spans="1:5" ht="14.25" customHeight="1" x14ac:dyDescent="0.25">
      <c r="B85" s="478" t="s">
        <v>823</v>
      </c>
      <c r="C85" s="371">
        <v>94889</v>
      </c>
      <c r="D85" s="371">
        <v>0</v>
      </c>
      <c r="E85" s="371">
        <v>94889</v>
      </c>
    </row>
    <row r="86" spans="1:5" ht="14.25" customHeight="1" x14ac:dyDescent="0.25">
      <c r="B86" s="362" t="s">
        <v>824</v>
      </c>
      <c r="C86" s="363">
        <v>11300</v>
      </c>
      <c r="D86" s="363">
        <v>0</v>
      </c>
      <c r="E86" s="363">
        <v>11300</v>
      </c>
    </row>
    <row r="87" spans="1:5" ht="14.25" customHeight="1" x14ac:dyDescent="0.25">
      <c r="B87" s="362" t="s">
        <v>831</v>
      </c>
      <c r="C87" s="363">
        <v>83589</v>
      </c>
      <c r="D87" s="363">
        <v>0</v>
      </c>
      <c r="E87" s="363">
        <v>83589</v>
      </c>
    </row>
    <row r="89" spans="1:5" ht="28.5" customHeight="1" x14ac:dyDescent="0.25">
      <c r="A89" s="511" t="s">
        <v>863</v>
      </c>
      <c r="B89" s="512"/>
      <c r="C89" s="512"/>
      <c r="D89" s="512"/>
      <c r="E89" s="512"/>
    </row>
    <row r="90" spans="1:5" ht="14.25" customHeight="1" x14ac:dyDescent="0.25">
      <c r="B90" s="478" t="s">
        <v>823</v>
      </c>
      <c r="C90" s="371">
        <v>266671</v>
      </c>
      <c r="D90" s="371">
        <v>7260</v>
      </c>
      <c r="E90" s="371">
        <v>273931</v>
      </c>
    </row>
    <row r="91" spans="1:5" ht="14.25" customHeight="1" x14ac:dyDescent="0.25">
      <c r="B91" s="362" t="s">
        <v>824</v>
      </c>
      <c r="C91" s="363">
        <v>14800</v>
      </c>
      <c r="D91" s="363">
        <v>0</v>
      </c>
      <c r="E91" s="363">
        <v>14800</v>
      </c>
    </row>
    <row r="92" spans="1:5" ht="14.25" customHeight="1" x14ac:dyDescent="0.25">
      <c r="B92" s="362" t="s">
        <v>831</v>
      </c>
      <c r="C92" s="363">
        <v>201814</v>
      </c>
      <c r="D92" s="363">
        <v>7260</v>
      </c>
      <c r="E92" s="363">
        <v>209074</v>
      </c>
    </row>
    <row r="93" spans="1:5" ht="30" x14ac:dyDescent="0.25">
      <c r="B93" s="362" t="s">
        <v>828</v>
      </c>
      <c r="C93" s="363">
        <v>50057</v>
      </c>
      <c r="D93" s="363">
        <v>0</v>
      </c>
      <c r="E93" s="363">
        <v>50057</v>
      </c>
    </row>
    <row r="95" spans="1:5" ht="19.5" customHeight="1" x14ac:dyDescent="0.25">
      <c r="A95" s="511" t="s">
        <v>864</v>
      </c>
      <c r="B95" s="512"/>
      <c r="C95" s="512"/>
      <c r="D95" s="512"/>
      <c r="E95" s="512"/>
    </row>
    <row r="96" spans="1:5" ht="14.25" customHeight="1" x14ac:dyDescent="0.25">
      <c r="B96" s="478" t="s">
        <v>823</v>
      </c>
      <c r="C96" s="371">
        <v>909299</v>
      </c>
      <c r="D96" s="371">
        <v>-14309</v>
      </c>
      <c r="E96" s="371">
        <v>894990</v>
      </c>
    </row>
    <row r="97" spans="1:5" ht="14.25" customHeight="1" x14ac:dyDescent="0.25">
      <c r="B97" s="362" t="s">
        <v>824</v>
      </c>
      <c r="C97" s="363">
        <v>56348</v>
      </c>
      <c r="D97" s="363">
        <v>0</v>
      </c>
      <c r="E97" s="363">
        <v>56348</v>
      </c>
    </row>
    <row r="98" spans="1:5" ht="14.25" customHeight="1" x14ac:dyDescent="0.25">
      <c r="B98" s="362" t="s">
        <v>831</v>
      </c>
      <c r="C98" s="363">
        <v>852951</v>
      </c>
      <c r="D98" s="363">
        <v>-14309</v>
      </c>
      <c r="E98" s="363">
        <v>838642</v>
      </c>
    </row>
    <row r="99" spans="1:5" ht="9" customHeight="1" x14ac:dyDescent="0.25"/>
    <row r="100" spans="1:5" ht="19.5" customHeight="1" x14ac:dyDescent="0.25">
      <c r="A100" s="511" t="s">
        <v>865</v>
      </c>
      <c r="B100" s="512"/>
      <c r="C100" s="512"/>
      <c r="D100" s="512"/>
      <c r="E100" s="512"/>
    </row>
    <row r="101" spans="1:5" ht="14.25" customHeight="1" x14ac:dyDescent="0.25">
      <c r="B101" s="478" t="s">
        <v>823</v>
      </c>
      <c r="C101" s="371">
        <v>323580</v>
      </c>
      <c r="D101" s="371">
        <v>20000</v>
      </c>
      <c r="E101" s="371">
        <v>343580</v>
      </c>
    </row>
    <row r="102" spans="1:5" ht="14.25" customHeight="1" x14ac:dyDescent="0.25">
      <c r="B102" s="362" t="s">
        <v>824</v>
      </c>
      <c r="C102" s="363">
        <v>256580</v>
      </c>
      <c r="D102" s="363">
        <v>19300</v>
      </c>
      <c r="E102" s="363">
        <v>275880</v>
      </c>
    </row>
    <row r="103" spans="1:5" ht="14.25" customHeight="1" x14ac:dyDescent="0.25">
      <c r="B103" s="362" t="s">
        <v>827</v>
      </c>
      <c r="C103" s="363">
        <v>20000</v>
      </c>
      <c r="D103" s="363">
        <v>0</v>
      </c>
      <c r="E103" s="363">
        <v>20000</v>
      </c>
    </row>
    <row r="104" spans="1:5" ht="14.25" customHeight="1" x14ac:dyDescent="0.25">
      <c r="B104" s="362" t="s">
        <v>831</v>
      </c>
      <c r="C104" s="363">
        <v>47000</v>
      </c>
      <c r="D104" s="363">
        <v>0</v>
      </c>
      <c r="E104" s="363">
        <v>47000</v>
      </c>
    </row>
    <row r="105" spans="1:5" ht="14.25" customHeight="1" x14ac:dyDescent="0.25">
      <c r="B105" s="362" t="s">
        <v>904</v>
      </c>
      <c r="C105" s="363">
        <v>0</v>
      </c>
      <c r="D105" s="363">
        <v>700</v>
      </c>
      <c r="E105" s="363">
        <v>700</v>
      </c>
    </row>
    <row r="107" spans="1:5" ht="19.5" customHeight="1" x14ac:dyDescent="0.25">
      <c r="A107" s="511" t="s">
        <v>866</v>
      </c>
      <c r="B107" s="512"/>
      <c r="C107" s="512"/>
      <c r="D107" s="512"/>
      <c r="E107" s="512"/>
    </row>
    <row r="108" spans="1:5" ht="14.25" customHeight="1" x14ac:dyDescent="0.25">
      <c r="B108" s="478" t="s">
        <v>823</v>
      </c>
      <c r="C108" s="371">
        <v>34500</v>
      </c>
      <c r="D108" s="371">
        <v>3000</v>
      </c>
      <c r="E108" s="371">
        <v>37500</v>
      </c>
    </row>
    <row r="109" spans="1:5" ht="14.25" customHeight="1" x14ac:dyDescent="0.25">
      <c r="B109" s="362" t="s">
        <v>830</v>
      </c>
      <c r="C109" s="363">
        <v>3500</v>
      </c>
      <c r="D109" s="363">
        <v>0</v>
      </c>
      <c r="E109" s="363">
        <v>3500</v>
      </c>
    </row>
    <row r="110" spans="1:5" ht="14.25" customHeight="1" x14ac:dyDescent="0.25">
      <c r="B110" s="362" t="s">
        <v>824</v>
      </c>
      <c r="C110" s="363">
        <v>31000</v>
      </c>
      <c r="D110" s="363">
        <v>3000</v>
      </c>
      <c r="E110" s="363">
        <v>34000</v>
      </c>
    </row>
    <row r="112" spans="1:5" ht="28.5" customHeight="1" x14ac:dyDescent="0.25">
      <c r="A112" s="511" t="s">
        <v>867</v>
      </c>
      <c r="B112" s="512"/>
      <c r="C112" s="512"/>
      <c r="D112" s="512"/>
      <c r="E112" s="512"/>
    </row>
    <row r="113" spans="1:5" ht="14.25" customHeight="1" x14ac:dyDescent="0.25">
      <c r="B113" s="478" t="s">
        <v>823</v>
      </c>
      <c r="C113" s="371">
        <v>15000</v>
      </c>
      <c r="D113" s="371">
        <v>0</v>
      </c>
      <c r="E113" s="371">
        <v>15000</v>
      </c>
    </row>
    <row r="114" spans="1:5" ht="14.25" customHeight="1" x14ac:dyDescent="0.25">
      <c r="B114" s="362" t="s">
        <v>827</v>
      </c>
      <c r="C114" s="363">
        <v>15000</v>
      </c>
      <c r="D114" s="363">
        <v>0</v>
      </c>
      <c r="E114" s="363">
        <v>15000</v>
      </c>
    </row>
    <row r="116" spans="1:5" ht="28.5" customHeight="1" x14ac:dyDescent="0.25">
      <c r="A116" s="511" t="s">
        <v>868</v>
      </c>
      <c r="B116" s="512"/>
      <c r="C116" s="512"/>
      <c r="D116" s="512"/>
      <c r="E116" s="512"/>
    </row>
    <row r="117" spans="1:5" ht="14.25" customHeight="1" x14ac:dyDescent="0.25">
      <c r="B117" s="478" t="s">
        <v>823</v>
      </c>
      <c r="C117" s="371">
        <v>6321</v>
      </c>
      <c r="D117" s="371">
        <v>0</v>
      </c>
      <c r="E117" s="371">
        <v>6321</v>
      </c>
    </row>
    <row r="118" spans="1:5" ht="14.25" customHeight="1" x14ac:dyDescent="0.25">
      <c r="B118" s="362" t="s">
        <v>830</v>
      </c>
      <c r="C118" s="363">
        <v>6321</v>
      </c>
      <c r="D118" s="363">
        <v>0</v>
      </c>
      <c r="E118" s="363">
        <v>6321</v>
      </c>
    </row>
    <row r="120" spans="1:5" ht="28.5" customHeight="1" x14ac:dyDescent="0.25">
      <c r="A120" s="511" t="s">
        <v>869</v>
      </c>
      <c r="B120" s="512"/>
      <c r="C120" s="512"/>
      <c r="D120" s="512"/>
      <c r="E120" s="512"/>
    </row>
    <row r="121" spans="1:5" ht="14.25" customHeight="1" x14ac:dyDescent="0.25">
      <c r="B121" s="478" t="s">
        <v>823</v>
      </c>
      <c r="C121" s="371">
        <v>198760</v>
      </c>
      <c r="D121" s="371">
        <v>132167</v>
      </c>
      <c r="E121" s="371">
        <v>330927</v>
      </c>
    </row>
    <row r="122" spans="1:5" ht="14.25" customHeight="1" x14ac:dyDescent="0.25">
      <c r="B122" s="362" t="s">
        <v>830</v>
      </c>
      <c r="C122" s="363">
        <v>19224</v>
      </c>
      <c r="D122" s="363">
        <v>0</v>
      </c>
      <c r="E122" s="363">
        <v>19224</v>
      </c>
    </row>
    <row r="123" spans="1:5" ht="14.25" customHeight="1" x14ac:dyDescent="0.25">
      <c r="B123" s="362" t="s">
        <v>824</v>
      </c>
      <c r="C123" s="363">
        <v>179536</v>
      </c>
      <c r="D123" s="363">
        <v>132167</v>
      </c>
      <c r="E123" s="363">
        <v>311703</v>
      </c>
    </row>
    <row r="125" spans="1:5" ht="28.5" customHeight="1" x14ac:dyDescent="0.25">
      <c r="A125" s="511" t="s">
        <v>870</v>
      </c>
      <c r="B125" s="512"/>
      <c r="C125" s="512"/>
      <c r="D125" s="512"/>
      <c r="E125" s="512"/>
    </row>
    <row r="126" spans="1:5" ht="14.25" customHeight="1" x14ac:dyDescent="0.25">
      <c r="B126" s="478" t="s">
        <v>823</v>
      </c>
      <c r="C126" s="371">
        <v>110000</v>
      </c>
      <c r="D126" s="371">
        <v>0</v>
      </c>
      <c r="E126" s="371">
        <v>110000</v>
      </c>
    </row>
    <row r="127" spans="1:5" ht="14.25" customHeight="1" x14ac:dyDescent="0.25">
      <c r="B127" s="362" t="s">
        <v>831</v>
      </c>
      <c r="C127" s="363">
        <v>110000</v>
      </c>
      <c r="D127" s="363">
        <v>0</v>
      </c>
      <c r="E127" s="363">
        <v>110000</v>
      </c>
    </row>
    <row r="129" spans="1:5" ht="19.5" customHeight="1" x14ac:dyDescent="0.25">
      <c r="A129" s="511" t="s">
        <v>1012</v>
      </c>
      <c r="B129" s="512"/>
      <c r="C129" s="512"/>
      <c r="D129" s="512"/>
      <c r="E129" s="512"/>
    </row>
    <row r="130" spans="1:5" ht="14.25" customHeight="1" x14ac:dyDescent="0.25">
      <c r="B130" s="478" t="s">
        <v>823</v>
      </c>
      <c r="C130" s="371">
        <v>0</v>
      </c>
      <c r="D130" s="371">
        <v>800000</v>
      </c>
      <c r="E130" s="371">
        <v>800000</v>
      </c>
    </row>
    <row r="131" spans="1:5" ht="14.25" customHeight="1" x14ac:dyDescent="0.25">
      <c r="B131" s="362" t="s">
        <v>831</v>
      </c>
      <c r="C131" s="363">
        <v>0</v>
      </c>
      <c r="D131" s="363">
        <v>800000</v>
      </c>
      <c r="E131" s="363">
        <v>800000</v>
      </c>
    </row>
    <row r="133" spans="1:5" ht="19.5" customHeight="1" x14ac:dyDescent="0.25">
      <c r="A133" s="511" t="s">
        <v>871</v>
      </c>
      <c r="B133" s="512"/>
      <c r="C133" s="512"/>
      <c r="D133" s="512"/>
      <c r="E133" s="512"/>
    </row>
    <row r="134" spans="1:5" ht="14.25" customHeight="1" x14ac:dyDescent="0.25">
      <c r="B134" s="478" t="s">
        <v>823</v>
      </c>
      <c r="C134" s="371">
        <v>520970</v>
      </c>
      <c r="D134" s="371">
        <v>0</v>
      </c>
      <c r="E134" s="371">
        <v>520970</v>
      </c>
    </row>
    <row r="135" spans="1:5" ht="14.25" customHeight="1" x14ac:dyDescent="0.25">
      <c r="B135" s="362" t="s">
        <v>830</v>
      </c>
      <c r="C135" s="363">
        <v>61715</v>
      </c>
      <c r="D135" s="363">
        <v>0</v>
      </c>
      <c r="E135" s="363">
        <v>61715</v>
      </c>
    </row>
    <row r="136" spans="1:5" ht="14.25" customHeight="1" x14ac:dyDescent="0.25">
      <c r="B136" s="362" t="s">
        <v>824</v>
      </c>
      <c r="C136" s="363">
        <v>410879</v>
      </c>
      <c r="D136" s="363">
        <v>0</v>
      </c>
      <c r="E136" s="363">
        <v>410879</v>
      </c>
    </row>
    <row r="137" spans="1:5" ht="14.25" customHeight="1" x14ac:dyDescent="0.25">
      <c r="B137" s="362" t="s">
        <v>831</v>
      </c>
      <c r="C137" s="363">
        <v>48376</v>
      </c>
      <c r="D137" s="363">
        <v>0</v>
      </c>
      <c r="E137" s="363">
        <v>48376</v>
      </c>
    </row>
    <row r="139" spans="1:5" ht="19.5" customHeight="1" x14ac:dyDescent="0.25">
      <c r="A139" s="511" t="s">
        <v>872</v>
      </c>
      <c r="B139" s="512"/>
      <c r="C139" s="512"/>
      <c r="D139" s="512"/>
      <c r="E139" s="512"/>
    </row>
    <row r="140" spans="1:5" ht="14.25" customHeight="1" x14ac:dyDescent="0.25">
      <c r="B140" s="478" t="s">
        <v>823</v>
      </c>
      <c r="C140" s="371">
        <v>1619638</v>
      </c>
      <c r="D140" s="371">
        <f>161191+175000</f>
        <v>336191</v>
      </c>
      <c r="E140" s="371">
        <f>1780829+175000</f>
        <v>1955829</v>
      </c>
    </row>
    <row r="141" spans="1:5" ht="14.25" customHeight="1" x14ac:dyDescent="0.25">
      <c r="B141" s="362" t="s">
        <v>831</v>
      </c>
      <c r="C141" s="363">
        <v>1619638</v>
      </c>
      <c r="D141" s="363">
        <f>161191+175000</f>
        <v>336191</v>
      </c>
      <c r="E141" s="363">
        <f>1780829+175000</f>
        <v>1955829</v>
      </c>
    </row>
    <row r="143" spans="1:5" ht="19.5" customHeight="1" x14ac:dyDescent="0.25">
      <c r="A143" s="511" t="s">
        <v>873</v>
      </c>
      <c r="B143" s="512"/>
      <c r="C143" s="512"/>
      <c r="D143" s="512"/>
      <c r="E143" s="512"/>
    </row>
    <row r="144" spans="1:5" ht="14.25" customHeight="1" x14ac:dyDescent="0.25">
      <c r="B144" s="478" t="s">
        <v>823</v>
      </c>
      <c r="C144" s="371">
        <v>41686</v>
      </c>
      <c r="D144" s="371">
        <v>0</v>
      </c>
      <c r="E144" s="371">
        <v>41686</v>
      </c>
    </row>
    <row r="145" spans="1:5" ht="14.25" customHeight="1" x14ac:dyDescent="0.25">
      <c r="B145" s="362" t="s">
        <v>827</v>
      </c>
      <c r="C145" s="363">
        <v>41686</v>
      </c>
      <c r="D145" s="363">
        <v>0</v>
      </c>
      <c r="E145" s="363">
        <v>41686</v>
      </c>
    </row>
    <row r="147" spans="1:5" ht="28.5" customHeight="1" x14ac:dyDescent="0.25">
      <c r="A147" s="511" t="s">
        <v>874</v>
      </c>
      <c r="B147" s="512"/>
      <c r="C147" s="512"/>
      <c r="D147" s="512"/>
      <c r="E147" s="512"/>
    </row>
    <row r="148" spans="1:5" ht="14.25" customHeight="1" x14ac:dyDescent="0.25">
      <c r="B148" s="478" t="s">
        <v>823</v>
      </c>
      <c r="C148" s="371">
        <v>1069710</v>
      </c>
      <c r="D148" s="371">
        <v>309021</v>
      </c>
      <c r="E148" s="371">
        <v>1378731</v>
      </c>
    </row>
    <row r="149" spans="1:5" ht="14.25" customHeight="1" x14ac:dyDescent="0.25">
      <c r="B149" s="362" t="s">
        <v>831</v>
      </c>
      <c r="C149" s="363">
        <v>1069710</v>
      </c>
      <c r="D149" s="363">
        <v>309021</v>
      </c>
      <c r="E149" s="363">
        <v>1378731</v>
      </c>
    </row>
    <row r="151" spans="1:5" ht="28.5" customHeight="1" x14ac:dyDescent="0.25">
      <c r="A151" s="511" t="s">
        <v>1013</v>
      </c>
      <c r="B151" s="512"/>
      <c r="C151" s="512"/>
      <c r="D151" s="512"/>
      <c r="E151" s="512"/>
    </row>
    <row r="152" spans="1:5" ht="14.25" customHeight="1" x14ac:dyDescent="0.25">
      <c r="B152" s="478" t="s">
        <v>823</v>
      </c>
      <c r="C152" s="371">
        <v>8180021</v>
      </c>
      <c r="D152" s="371">
        <v>1838373</v>
      </c>
      <c r="E152" s="371">
        <v>10018394</v>
      </c>
    </row>
    <row r="153" spans="1:5" ht="14.25" customHeight="1" x14ac:dyDescent="0.25">
      <c r="B153" s="362" t="s">
        <v>831</v>
      </c>
      <c r="C153" s="363">
        <v>8180021</v>
      </c>
      <c r="D153" s="363">
        <v>1838373</v>
      </c>
      <c r="E153" s="363">
        <v>10018394</v>
      </c>
    </row>
    <row r="155" spans="1:5" ht="28.5" customHeight="1" x14ac:dyDescent="0.25">
      <c r="A155" s="511" t="s">
        <v>875</v>
      </c>
      <c r="B155" s="512"/>
      <c r="C155" s="512"/>
      <c r="D155" s="512"/>
      <c r="E155" s="512"/>
    </row>
    <row r="156" spans="1:5" ht="14.25" customHeight="1" x14ac:dyDescent="0.25">
      <c r="B156" s="478" t="s">
        <v>823</v>
      </c>
      <c r="C156" s="371">
        <v>300000</v>
      </c>
      <c r="D156" s="371">
        <v>50000</v>
      </c>
      <c r="E156" s="371">
        <v>350000</v>
      </c>
    </row>
    <row r="157" spans="1:5" ht="14.25" customHeight="1" x14ac:dyDescent="0.25">
      <c r="B157" s="362" t="s">
        <v>831</v>
      </c>
      <c r="C157" s="363">
        <v>300000</v>
      </c>
      <c r="D157" s="363">
        <v>50000</v>
      </c>
      <c r="E157" s="363">
        <v>350000</v>
      </c>
    </row>
    <row r="159" spans="1:5" ht="28.5" customHeight="1" x14ac:dyDescent="0.25">
      <c r="A159" s="511" t="s">
        <v>876</v>
      </c>
      <c r="B159" s="512"/>
      <c r="C159" s="512"/>
      <c r="D159" s="512"/>
      <c r="E159" s="512"/>
    </row>
    <row r="160" spans="1:5" ht="14.25" customHeight="1" x14ac:dyDescent="0.25">
      <c r="B160" s="478" t="s">
        <v>823</v>
      </c>
      <c r="C160" s="371">
        <v>244547</v>
      </c>
      <c r="D160" s="371">
        <v>165200</v>
      </c>
      <c r="E160" s="371">
        <v>409747</v>
      </c>
    </row>
    <row r="161" spans="1:5" ht="14.25" customHeight="1" x14ac:dyDescent="0.25">
      <c r="B161" s="362" t="s">
        <v>831</v>
      </c>
      <c r="C161" s="363">
        <v>244547</v>
      </c>
      <c r="D161" s="363">
        <v>165200</v>
      </c>
      <c r="E161" s="363">
        <v>409747</v>
      </c>
    </row>
    <row r="163" spans="1:5" ht="28.5" customHeight="1" x14ac:dyDescent="0.25">
      <c r="A163" s="511" t="s">
        <v>877</v>
      </c>
      <c r="B163" s="512"/>
      <c r="C163" s="512"/>
      <c r="D163" s="512"/>
      <c r="E163" s="512"/>
    </row>
    <row r="164" spans="1:5" ht="14.25" customHeight="1" x14ac:dyDescent="0.25">
      <c r="B164" s="478" t="s">
        <v>823</v>
      </c>
      <c r="C164" s="371">
        <v>321903</v>
      </c>
      <c r="D164" s="371">
        <v>0</v>
      </c>
      <c r="E164" s="371">
        <v>321903</v>
      </c>
    </row>
    <row r="165" spans="1:5" ht="14.25" customHeight="1" x14ac:dyDescent="0.25">
      <c r="B165" s="362" t="s">
        <v>831</v>
      </c>
      <c r="C165" s="363">
        <v>321903</v>
      </c>
      <c r="D165" s="363">
        <v>0</v>
      </c>
      <c r="E165" s="363">
        <v>321903</v>
      </c>
    </row>
    <row r="167" spans="1:5" ht="19.5" customHeight="1" x14ac:dyDescent="0.25">
      <c r="A167" s="511" t="s">
        <v>878</v>
      </c>
      <c r="B167" s="512"/>
      <c r="C167" s="512"/>
      <c r="D167" s="512"/>
      <c r="E167" s="512"/>
    </row>
    <row r="168" spans="1:5" ht="14.25" customHeight="1" x14ac:dyDescent="0.25">
      <c r="B168" s="478" t="s">
        <v>823</v>
      </c>
      <c r="C168" s="371">
        <v>79396</v>
      </c>
      <c r="D168" s="371">
        <v>8537</v>
      </c>
      <c r="E168" s="371">
        <v>87933</v>
      </c>
    </row>
    <row r="169" spans="1:5" ht="14.25" customHeight="1" x14ac:dyDescent="0.25">
      <c r="B169" s="362" t="s">
        <v>830</v>
      </c>
      <c r="C169" s="363">
        <v>60035</v>
      </c>
      <c r="D169" s="363">
        <v>0</v>
      </c>
      <c r="E169" s="363">
        <v>60035</v>
      </c>
    </row>
    <row r="170" spans="1:5" ht="14.25" customHeight="1" x14ac:dyDescent="0.25">
      <c r="B170" s="362" t="s">
        <v>824</v>
      </c>
      <c r="C170" s="363">
        <v>19361</v>
      </c>
      <c r="D170" s="363">
        <v>8537</v>
      </c>
      <c r="E170" s="363">
        <v>27898</v>
      </c>
    </row>
    <row r="172" spans="1:5" ht="19.5" customHeight="1" x14ac:dyDescent="0.25">
      <c r="A172" s="511" t="s">
        <v>879</v>
      </c>
      <c r="B172" s="512"/>
      <c r="C172" s="512"/>
      <c r="D172" s="512"/>
      <c r="E172" s="512"/>
    </row>
    <row r="173" spans="1:5" ht="14.25" customHeight="1" x14ac:dyDescent="0.25">
      <c r="B173" s="478" t="s">
        <v>823</v>
      </c>
      <c r="C173" s="371">
        <v>113</v>
      </c>
      <c r="D173" s="371">
        <v>452</v>
      </c>
      <c r="E173" s="371">
        <v>565</v>
      </c>
    </row>
    <row r="174" spans="1:5" ht="14.25" customHeight="1" x14ac:dyDescent="0.25">
      <c r="B174" s="362" t="s">
        <v>830</v>
      </c>
      <c r="C174" s="363">
        <v>113</v>
      </c>
      <c r="D174" s="363">
        <v>452</v>
      </c>
      <c r="E174" s="363">
        <v>565</v>
      </c>
    </row>
    <row r="176" spans="1:5" ht="19.5" customHeight="1" x14ac:dyDescent="0.25">
      <c r="A176" s="511" t="s">
        <v>880</v>
      </c>
      <c r="B176" s="512"/>
      <c r="C176" s="512"/>
      <c r="D176" s="512"/>
      <c r="E176" s="512"/>
    </row>
    <row r="177" spans="1:5" ht="14.25" customHeight="1" x14ac:dyDescent="0.25">
      <c r="B177" s="478" t="s">
        <v>823</v>
      </c>
      <c r="C177" s="371">
        <v>59173</v>
      </c>
      <c r="D177" s="371">
        <v>0</v>
      </c>
      <c r="E177" s="371">
        <v>59173</v>
      </c>
    </row>
    <row r="178" spans="1:5" ht="14.25" customHeight="1" x14ac:dyDescent="0.25">
      <c r="B178" s="362" t="s">
        <v>830</v>
      </c>
      <c r="C178" s="363">
        <v>27255</v>
      </c>
      <c r="D178" s="363">
        <v>0</v>
      </c>
      <c r="E178" s="363">
        <v>27255</v>
      </c>
    </row>
    <row r="179" spans="1:5" ht="14.25" customHeight="1" x14ac:dyDescent="0.25">
      <c r="B179" s="362" t="s">
        <v>824</v>
      </c>
      <c r="C179" s="363">
        <v>31918</v>
      </c>
      <c r="D179" s="363">
        <v>0</v>
      </c>
      <c r="E179" s="363">
        <v>31918</v>
      </c>
    </row>
    <row r="181" spans="1:5" ht="36.75" customHeight="1" x14ac:dyDescent="0.25">
      <c r="A181" s="515" t="s">
        <v>826</v>
      </c>
      <c r="B181" s="517"/>
      <c r="C181" s="517"/>
      <c r="D181" s="517"/>
      <c r="E181" s="517"/>
    </row>
    <row r="182" spans="1:5" ht="14.25" customHeight="1" x14ac:dyDescent="0.25">
      <c r="A182" s="479"/>
      <c r="B182" s="480" t="s">
        <v>823</v>
      </c>
      <c r="C182" s="369">
        <v>3226708</v>
      </c>
      <c r="D182" s="369">
        <v>-5313</v>
      </c>
      <c r="E182" s="369">
        <v>3221395</v>
      </c>
    </row>
    <row r="183" spans="1:5" ht="14.25" customHeight="1" x14ac:dyDescent="0.25">
      <c r="A183" s="479"/>
      <c r="B183" s="480" t="s">
        <v>824</v>
      </c>
      <c r="C183" s="369">
        <v>402625</v>
      </c>
      <c r="D183" s="369">
        <v>-41921</v>
      </c>
      <c r="E183" s="369">
        <v>360704</v>
      </c>
    </row>
    <row r="184" spans="1:5" ht="14.25" customHeight="1" x14ac:dyDescent="0.25">
      <c r="A184" s="479"/>
      <c r="B184" s="480" t="s">
        <v>827</v>
      </c>
      <c r="C184" s="369">
        <v>2811083</v>
      </c>
      <c r="D184" s="369">
        <v>36608</v>
      </c>
      <c r="E184" s="369">
        <v>2847691</v>
      </c>
    </row>
    <row r="185" spans="1:5" ht="14.25" customHeight="1" x14ac:dyDescent="0.25">
      <c r="A185" s="479"/>
      <c r="B185" s="480" t="s">
        <v>881</v>
      </c>
      <c r="C185" s="369">
        <v>10000</v>
      </c>
      <c r="D185" s="369">
        <v>0</v>
      </c>
      <c r="E185" s="369">
        <v>10000</v>
      </c>
    </row>
    <row r="186" spans="1:5" ht="30" x14ac:dyDescent="0.25">
      <c r="A186" s="479"/>
      <c r="B186" s="480" t="s">
        <v>828</v>
      </c>
      <c r="C186" s="369">
        <v>3000</v>
      </c>
      <c r="D186" s="369">
        <v>0</v>
      </c>
      <c r="E186" s="369">
        <v>3000</v>
      </c>
    </row>
    <row r="187" spans="1:5" ht="9" customHeight="1" x14ac:dyDescent="0.25"/>
    <row r="188" spans="1:5" ht="19.5" customHeight="1" x14ac:dyDescent="0.25">
      <c r="A188" s="511" t="s">
        <v>882</v>
      </c>
      <c r="B188" s="512"/>
      <c r="C188" s="512"/>
      <c r="D188" s="512"/>
      <c r="E188" s="512"/>
    </row>
    <row r="189" spans="1:5" ht="14.25" customHeight="1" x14ac:dyDescent="0.25">
      <c r="B189" s="478" t="s">
        <v>823</v>
      </c>
      <c r="C189" s="371">
        <v>44237</v>
      </c>
      <c r="D189" s="371">
        <v>0</v>
      </c>
      <c r="E189" s="371">
        <v>44237</v>
      </c>
    </row>
    <row r="190" spans="1:5" ht="14.25" customHeight="1" x14ac:dyDescent="0.25">
      <c r="B190" s="362" t="s">
        <v>824</v>
      </c>
      <c r="C190" s="363">
        <v>44237</v>
      </c>
      <c r="D190" s="363">
        <v>0</v>
      </c>
      <c r="E190" s="363">
        <v>44237</v>
      </c>
    </row>
    <row r="192" spans="1:5" ht="19.5" customHeight="1" x14ac:dyDescent="0.25">
      <c r="A192" s="511" t="s">
        <v>883</v>
      </c>
      <c r="B192" s="512"/>
      <c r="C192" s="512"/>
      <c r="D192" s="512"/>
      <c r="E192" s="512"/>
    </row>
    <row r="193" spans="1:5" ht="14.25" customHeight="1" x14ac:dyDescent="0.25">
      <c r="B193" s="478" t="s">
        <v>823</v>
      </c>
      <c r="C193" s="371">
        <v>210000</v>
      </c>
      <c r="D193" s="371">
        <v>0</v>
      </c>
      <c r="E193" s="371">
        <v>210000</v>
      </c>
    </row>
    <row r="194" spans="1:5" ht="14.25" customHeight="1" x14ac:dyDescent="0.25">
      <c r="B194" s="362" t="s">
        <v>824</v>
      </c>
      <c r="C194" s="363">
        <v>200000</v>
      </c>
      <c r="D194" s="363">
        <v>0</v>
      </c>
      <c r="E194" s="363">
        <v>200000</v>
      </c>
    </row>
    <row r="195" spans="1:5" ht="14.25" customHeight="1" x14ac:dyDescent="0.25">
      <c r="B195" s="362" t="s">
        <v>881</v>
      </c>
      <c r="C195" s="363">
        <v>10000</v>
      </c>
      <c r="D195" s="363">
        <v>0</v>
      </c>
      <c r="E195" s="363">
        <v>10000</v>
      </c>
    </row>
    <row r="197" spans="1:5" ht="19.5" customHeight="1" x14ac:dyDescent="0.25">
      <c r="A197" s="511" t="s">
        <v>884</v>
      </c>
      <c r="B197" s="512"/>
      <c r="C197" s="512"/>
      <c r="D197" s="512"/>
      <c r="E197" s="512"/>
    </row>
    <row r="198" spans="1:5" ht="14.25" customHeight="1" x14ac:dyDescent="0.25">
      <c r="B198" s="478" t="s">
        <v>823</v>
      </c>
      <c r="C198" s="371">
        <v>158388</v>
      </c>
      <c r="D198" s="371">
        <v>-41921</v>
      </c>
      <c r="E198" s="371">
        <v>116467</v>
      </c>
    </row>
    <row r="199" spans="1:5" ht="14.25" customHeight="1" x14ac:dyDescent="0.25">
      <c r="B199" s="362" t="s">
        <v>824</v>
      </c>
      <c r="C199" s="363">
        <v>158388</v>
      </c>
      <c r="D199" s="363">
        <v>-41921</v>
      </c>
      <c r="E199" s="363">
        <v>116467</v>
      </c>
    </row>
    <row r="201" spans="1:5" ht="19.5" customHeight="1" x14ac:dyDescent="0.25">
      <c r="A201" s="511" t="s">
        <v>885</v>
      </c>
      <c r="B201" s="512"/>
      <c r="C201" s="512"/>
      <c r="D201" s="512"/>
      <c r="E201" s="512"/>
    </row>
    <row r="202" spans="1:5" ht="14.25" customHeight="1" x14ac:dyDescent="0.25">
      <c r="B202" s="478" t="s">
        <v>823</v>
      </c>
      <c r="C202" s="371">
        <v>1628413</v>
      </c>
      <c r="D202" s="371">
        <v>0</v>
      </c>
      <c r="E202" s="371">
        <v>1628413</v>
      </c>
    </row>
    <row r="203" spans="1:5" ht="14.25" customHeight="1" x14ac:dyDescent="0.25">
      <c r="B203" s="362" t="s">
        <v>827</v>
      </c>
      <c r="C203" s="363">
        <v>1628413</v>
      </c>
      <c r="D203" s="363">
        <v>0</v>
      </c>
      <c r="E203" s="363">
        <v>1628413</v>
      </c>
    </row>
    <row r="205" spans="1:5" ht="19.5" customHeight="1" x14ac:dyDescent="0.25">
      <c r="A205" s="511" t="s">
        <v>886</v>
      </c>
      <c r="B205" s="512"/>
      <c r="C205" s="512"/>
      <c r="D205" s="512"/>
      <c r="E205" s="512"/>
    </row>
    <row r="206" spans="1:5" ht="14.25" customHeight="1" x14ac:dyDescent="0.25">
      <c r="B206" s="478" t="s">
        <v>823</v>
      </c>
      <c r="C206" s="371">
        <v>3000</v>
      </c>
      <c r="D206" s="371">
        <v>0</v>
      </c>
      <c r="E206" s="371">
        <v>3000</v>
      </c>
    </row>
    <row r="207" spans="1:5" ht="30" x14ac:dyDescent="0.25">
      <c r="B207" s="362" t="s">
        <v>828</v>
      </c>
      <c r="C207" s="363">
        <v>3000</v>
      </c>
      <c r="D207" s="363">
        <v>0</v>
      </c>
      <c r="E207" s="363">
        <v>3000</v>
      </c>
    </row>
    <row r="209" spans="1:5" ht="19.5" customHeight="1" x14ac:dyDescent="0.25">
      <c r="A209" s="511" t="s">
        <v>887</v>
      </c>
      <c r="B209" s="512"/>
      <c r="C209" s="512"/>
      <c r="D209" s="512"/>
      <c r="E209" s="512"/>
    </row>
    <row r="210" spans="1:5" ht="14.25" customHeight="1" x14ac:dyDescent="0.25">
      <c r="B210" s="478" t="s">
        <v>823</v>
      </c>
      <c r="C210" s="371">
        <v>411951</v>
      </c>
      <c r="D210" s="371">
        <v>34908</v>
      </c>
      <c r="E210" s="371">
        <v>446859</v>
      </c>
    </row>
    <row r="211" spans="1:5" ht="14.25" customHeight="1" x14ac:dyDescent="0.25">
      <c r="B211" s="362" t="s">
        <v>827</v>
      </c>
      <c r="C211" s="363">
        <v>411951</v>
      </c>
      <c r="D211" s="363">
        <v>34908</v>
      </c>
      <c r="E211" s="363">
        <v>446859</v>
      </c>
    </row>
    <row r="212" spans="1:5" ht="9" customHeight="1" x14ac:dyDescent="0.25"/>
    <row r="213" spans="1:5" ht="19.5" customHeight="1" x14ac:dyDescent="0.25">
      <c r="A213" s="511" t="s">
        <v>888</v>
      </c>
      <c r="B213" s="512"/>
      <c r="C213" s="512"/>
      <c r="D213" s="512"/>
      <c r="E213" s="512"/>
    </row>
    <row r="214" spans="1:5" ht="14.25" customHeight="1" x14ac:dyDescent="0.25">
      <c r="B214" s="478" t="s">
        <v>823</v>
      </c>
      <c r="C214" s="371">
        <v>294077</v>
      </c>
      <c r="D214" s="371">
        <v>0</v>
      </c>
      <c r="E214" s="371">
        <v>294077</v>
      </c>
    </row>
    <row r="215" spans="1:5" ht="14.25" customHeight="1" x14ac:dyDescent="0.25">
      <c r="B215" s="362" t="s">
        <v>827</v>
      </c>
      <c r="C215" s="363">
        <v>294077</v>
      </c>
      <c r="D215" s="363">
        <v>0</v>
      </c>
      <c r="E215" s="363">
        <v>294077</v>
      </c>
    </row>
    <row r="217" spans="1:5" ht="19.5" customHeight="1" x14ac:dyDescent="0.25">
      <c r="A217" s="511" t="s">
        <v>1014</v>
      </c>
      <c r="B217" s="512"/>
      <c r="C217" s="512"/>
      <c r="D217" s="512"/>
      <c r="E217" s="512"/>
    </row>
    <row r="218" spans="1:5" ht="14.25" customHeight="1" x14ac:dyDescent="0.25">
      <c r="B218" s="478" t="s">
        <v>823</v>
      </c>
      <c r="C218" s="371">
        <v>10000</v>
      </c>
      <c r="D218" s="371">
        <v>0</v>
      </c>
      <c r="E218" s="371">
        <v>10000</v>
      </c>
    </row>
    <row r="219" spans="1:5" ht="14.25" customHeight="1" x14ac:dyDescent="0.25">
      <c r="B219" s="362" t="s">
        <v>827</v>
      </c>
      <c r="C219" s="363">
        <v>10000</v>
      </c>
      <c r="D219" s="363">
        <v>0</v>
      </c>
      <c r="E219" s="363">
        <v>10000</v>
      </c>
    </row>
    <row r="221" spans="1:5" ht="19.5" customHeight="1" x14ac:dyDescent="0.25">
      <c r="A221" s="511" t="s">
        <v>889</v>
      </c>
      <c r="B221" s="512"/>
      <c r="C221" s="512"/>
      <c r="D221" s="512"/>
      <c r="E221" s="512"/>
    </row>
    <row r="222" spans="1:5" ht="14.25" customHeight="1" x14ac:dyDescent="0.25">
      <c r="B222" s="478" t="s">
        <v>823</v>
      </c>
      <c r="C222" s="371">
        <v>5000</v>
      </c>
      <c r="D222" s="371">
        <v>0</v>
      </c>
      <c r="E222" s="371">
        <v>5000</v>
      </c>
    </row>
    <row r="223" spans="1:5" ht="14.25" customHeight="1" x14ac:dyDescent="0.25">
      <c r="B223" s="362" t="s">
        <v>827</v>
      </c>
      <c r="C223" s="363">
        <v>5000</v>
      </c>
      <c r="D223" s="363">
        <v>0</v>
      </c>
      <c r="E223" s="363">
        <v>5000</v>
      </c>
    </row>
    <row r="225" spans="1:5" ht="19.5" customHeight="1" x14ac:dyDescent="0.25">
      <c r="A225" s="511" t="s">
        <v>890</v>
      </c>
      <c r="B225" s="512"/>
      <c r="C225" s="512"/>
      <c r="D225" s="512"/>
      <c r="E225" s="512"/>
    </row>
    <row r="226" spans="1:5" ht="14.25" customHeight="1" x14ac:dyDescent="0.25">
      <c r="B226" s="478" t="s">
        <v>823</v>
      </c>
      <c r="C226" s="371">
        <v>246975</v>
      </c>
      <c r="D226" s="371">
        <v>0</v>
      </c>
      <c r="E226" s="371">
        <v>246975</v>
      </c>
    </row>
    <row r="227" spans="1:5" ht="14.25" customHeight="1" x14ac:dyDescent="0.25">
      <c r="B227" s="362" t="s">
        <v>827</v>
      </c>
      <c r="C227" s="363">
        <v>246975</v>
      </c>
      <c r="D227" s="363">
        <v>0</v>
      </c>
      <c r="E227" s="363">
        <v>246975</v>
      </c>
    </row>
    <row r="229" spans="1:5" ht="19.5" customHeight="1" x14ac:dyDescent="0.25">
      <c r="A229" s="511" t="s">
        <v>891</v>
      </c>
      <c r="B229" s="512"/>
      <c r="C229" s="512"/>
      <c r="D229" s="512"/>
      <c r="E229" s="512"/>
    </row>
    <row r="230" spans="1:5" ht="14.25" customHeight="1" x14ac:dyDescent="0.25">
      <c r="B230" s="478" t="s">
        <v>823</v>
      </c>
      <c r="C230" s="371">
        <v>4300</v>
      </c>
      <c r="D230" s="371">
        <v>0</v>
      </c>
      <c r="E230" s="371">
        <v>4300</v>
      </c>
    </row>
    <row r="231" spans="1:5" ht="14.25" customHeight="1" x14ac:dyDescent="0.25">
      <c r="B231" s="362" t="s">
        <v>827</v>
      </c>
      <c r="C231" s="363">
        <v>4300</v>
      </c>
      <c r="D231" s="363">
        <v>0</v>
      </c>
      <c r="E231" s="363">
        <v>4300</v>
      </c>
    </row>
    <row r="233" spans="1:5" ht="19.5" customHeight="1" x14ac:dyDescent="0.25">
      <c r="A233" s="511" t="s">
        <v>892</v>
      </c>
      <c r="B233" s="512"/>
      <c r="C233" s="512"/>
      <c r="D233" s="512"/>
      <c r="E233" s="512"/>
    </row>
    <row r="234" spans="1:5" ht="14.25" customHeight="1" x14ac:dyDescent="0.25">
      <c r="B234" s="478" t="s">
        <v>823</v>
      </c>
      <c r="C234" s="371">
        <v>203572</v>
      </c>
      <c r="D234" s="371">
        <v>200</v>
      </c>
      <c r="E234" s="371">
        <v>203772</v>
      </c>
    </row>
    <row r="235" spans="1:5" ht="14.25" customHeight="1" x14ac:dyDescent="0.25">
      <c r="B235" s="362" t="s">
        <v>827</v>
      </c>
      <c r="C235" s="363">
        <v>203572</v>
      </c>
      <c r="D235" s="363">
        <v>200</v>
      </c>
      <c r="E235" s="363">
        <v>203772</v>
      </c>
    </row>
    <row r="237" spans="1:5" ht="19.5" customHeight="1" x14ac:dyDescent="0.25">
      <c r="A237" s="511" t="s">
        <v>893</v>
      </c>
      <c r="B237" s="512"/>
      <c r="C237" s="512"/>
      <c r="D237" s="512"/>
      <c r="E237" s="512"/>
    </row>
    <row r="238" spans="1:5" ht="14.25" customHeight="1" x14ac:dyDescent="0.25">
      <c r="B238" s="478" t="s">
        <v>823</v>
      </c>
      <c r="C238" s="371">
        <v>5395</v>
      </c>
      <c r="D238" s="371">
        <v>1500</v>
      </c>
      <c r="E238" s="371">
        <v>6895</v>
      </c>
    </row>
    <row r="239" spans="1:5" ht="14.25" customHeight="1" x14ac:dyDescent="0.25">
      <c r="B239" s="362" t="s">
        <v>827</v>
      </c>
      <c r="C239" s="363">
        <v>5395</v>
      </c>
      <c r="D239" s="363">
        <v>1500</v>
      </c>
      <c r="E239" s="363">
        <v>6895</v>
      </c>
    </row>
    <row r="241" spans="1:5" ht="19.5" customHeight="1" x14ac:dyDescent="0.25">
      <c r="A241" s="511" t="s">
        <v>894</v>
      </c>
      <c r="B241" s="512"/>
      <c r="C241" s="512"/>
      <c r="D241" s="512"/>
      <c r="E241" s="512"/>
    </row>
    <row r="242" spans="1:5" ht="14.25" customHeight="1" x14ac:dyDescent="0.25">
      <c r="B242" s="478" t="s">
        <v>823</v>
      </c>
      <c r="C242" s="371">
        <v>1400</v>
      </c>
      <c r="D242" s="371">
        <v>0</v>
      </c>
      <c r="E242" s="371">
        <v>1400</v>
      </c>
    </row>
    <row r="243" spans="1:5" ht="14.25" customHeight="1" x14ac:dyDescent="0.25">
      <c r="B243" s="362" t="s">
        <v>827</v>
      </c>
      <c r="C243" s="363">
        <v>1400</v>
      </c>
      <c r="D243" s="363">
        <v>0</v>
      </c>
      <c r="E243" s="363">
        <v>1400</v>
      </c>
    </row>
    <row r="245" spans="1:5" ht="44.25" customHeight="1" x14ac:dyDescent="0.25">
      <c r="A245" s="515" t="s">
        <v>895</v>
      </c>
      <c r="B245" s="516"/>
      <c r="C245" s="516"/>
      <c r="D245" s="516"/>
      <c r="E245" s="516"/>
    </row>
    <row r="246" spans="1:5" ht="14.25" customHeight="1" x14ac:dyDescent="0.25">
      <c r="B246" s="480" t="s">
        <v>823</v>
      </c>
      <c r="C246" s="369">
        <v>228124</v>
      </c>
      <c r="D246" s="369">
        <v>0</v>
      </c>
      <c r="E246" s="369">
        <v>228124</v>
      </c>
    </row>
    <row r="247" spans="1:5" ht="14.25" customHeight="1" x14ac:dyDescent="0.25">
      <c r="B247" s="480" t="s">
        <v>830</v>
      </c>
      <c r="C247" s="369">
        <v>215546</v>
      </c>
      <c r="D247" s="369">
        <v>0</v>
      </c>
      <c r="E247" s="369">
        <v>215546</v>
      </c>
    </row>
    <row r="248" spans="1:5" ht="14.25" customHeight="1" x14ac:dyDescent="0.25">
      <c r="B248" s="480" t="s">
        <v>824</v>
      </c>
      <c r="C248" s="369">
        <v>10178</v>
      </c>
      <c r="D248" s="369">
        <v>0</v>
      </c>
      <c r="E248" s="369">
        <v>10178</v>
      </c>
    </row>
    <row r="249" spans="1:5" ht="14.25" customHeight="1" x14ac:dyDescent="0.25">
      <c r="B249" s="480" t="s">
        <v>831</v>
      </c>
      <c r="C249" s="369">
        <v>2400</v>
      </c>
      <c r="D249" s="369">
        <v>0</v>
      </c>
      <c r="E249" s="369">
        <v>2400</v>
      </c>
    </row>
    <row r="251" spans="1:5" ht="19.5" customHeight="1" x14ac:dyDescent="0.25">
      <c r="A251" s="511" t="s">
        <v>896</v>
      </c>
      <c r="B251" s="512"/>
      <c r="C251" s="512"/>
      <c r="D251" s="512"/>
      <c r="E251" s="512"/>
    </row>
    <row r="252" spans="1:5" ht="14.25" customHeight="1" x14ac:dyDescent="0.25">
      <c r="B252" s="478" t="s">
        <v>823</v>
      </c>
      <c r="C252" s="371">
        <v>228124</v>
      </c>
      <c r="D252" s="371">
        <v>0</v>
      </c>
      <c r="E252" s="371">
        <v>228124</v>
      </c>
    </row>
    <row r="253" spans="1:5" ht="14.25" customHeight="1" x14ac:dyDescent="0.25">
      <c r="B253" s="362" t="s">
        <v>830</v>
      </c>
      <c r="C253" s="363">
        <v>215546</v>
      </c>
      <c r="D253" s="363">
        <v>0</v>
      </c>
      <c r="E253" s="363">
        <v>215546</v>
      </c>
    </row>
    <row r="254" spans="1:5" ht="14.25" customHeight="1" x14ac:dyDescent="0.25">
      <c r="B254" s="362" t="s">
        <v>824</v>
      </c>
      <c r="C254" s="363">
        <v>10178</v>
      </c>
      <c r="D254" s="363">
        <v>0</v>
      </c>
      <c r="E254" s="363">
        <v>10178</v>
      </c>
    </row>
    <row r="255" spans="1:5" ht="14.25" customHeight="1" x14ac:dyDescent="0.25">
      <c r="B255" s="362" t="s">
        <v>831</v>
      </c>
      <c r="C255" s="363">
        <v>2400</v>
      </c>
      <c r="D255" s="363">
        <v>0</v>
      </c>
      <c r="E255" s="363">
        <v>2400</v>
      </c>
    </row>
    <row r="257" spans="1:5" ht="35.25" customHeight="1" x14ac:dyDescent="0.25">
      <c r="A257" s="515" t="s">
        <v>897</v>
      </c>
      <c r="B257" s="516"/>
      <c r="C257" s="516"/>
      <c r="D257" s="516"/>
      <c r="E257" s="516"/>
    </row>
    <row r="258" spans="1:5" ht="14.25" customHeight="1" x14ac:dyDescent="0.25">
      <c r="B258" s="480" t="s">
        <v>823</v>
      </c>
      <c r="C258" s="369">
        <v>2922971</v>
      </c>
      <c r="D258" s="369">
        <v>0</v>
      </c>
      <c r="E258" s="369">
        <v>2922971</v>
      </c>
    </row>
    <row r="259" spans="1:5" ht="14.25" customHeight="1" x14ac:dyDescent="0.25">
      <c r="B259" s="480" t="s">
        <v>830</v>
      </c>
      <c r="C259" s="369">
        <v>2558732</v>
      </c>
      <c r="D259" s="369">
        <v>0</v>
      </c>
      <c r="E259" s="369">
        <v>2558732</v>
      </c>
    </row>
    <row r="260" spans="1:5" ht="14.25" customHeight="1" x14ac:dyDescent="0.25">
      <c r="B260" s="480" t="s">
        <v>824</v>
      </c>
      <c r="C260" s="369">
        <v>284439</v>
      </c>
      <c r="D260" s="369">
        <v>0</v>
      </c>
      <c r="E260" s="369">
        <v>284439</v>
      </c>
    </row>
    <row r="261" spans="1:5" ht="14.25" customHeight="1" x14ac:dyDescent="0.25">
      <c r="B261" s="480" t="s">
        <v>831</v>
      </c>
      <c r="C261" s="369">
        <v>79800</v>
      </c>
      <c r="D261" s="369">
        <v>0</v>
      </c>
      <c r="E261" s="369">
        <v>79800</v>
      </c>
    </row>
    <row r="263" spans="1:5" ht="19.5" customHeight="1" x14ac:dyDescent="0.25">
      <c r="A263" s="511" t="s">
        <v>898</v>
      </c>
      <c r="B263" s="512"/>
      <c r="C263" s="512"/>
      <c r="D263" s="512"/>
      <c r="E263" s="512"/>
    </row>
    <row r="264" spans="1:5" ht="14.25" customHeight="1" x14ac:dyDescent="0.25">
      <c r="B264" s="478" t="s">
        <v>823</v>
      </c>
      <c r="C264" s="371">
        <v>2922971</v>
      </c>
      <c r="D264" s="371">
        <v>0</v>
      </c>
      <c r="E264" s="371">
        <v>2922971</v>
      </c>
    </row>
    <row r="265" spans="1:5" ht="14.25" customHeight="1" x14ac:dyDescent="0.25">
      <c r="B265" s="362" t="s">
        <v>830</v>
      </c>
      <c r="C265" s="363">
        <v>2558732</v>
      </c>
      <c r="D265" s="363">
        <v>0</v>
      </c>
      <c r="E265" s="363">
        <v>2558732</v>
      </c>
    </row>
    <row r="266" spans="1:5" ht="14.25" customHeight="1" x14ac:dyDescent="0.25">
      <c r="B266" s="362" t="s">
        <v>824</v>
      </c>
      <c r="C266" s="363">
        <v>284439</v>
      </c>
      <c r="D266" s="363">
        <v>0</v>
      </c>
      <c r="E266" s="363">
        <v>284439</v>
      </c>
    </row>
    <row r="267" spans="1:5" ht="14.25" customHeight="1" x14ac:dyDescent="0.25">
      <c r="B267" s="362" t="s">
        <v>831</v>
      </c>
      <c r="C267" s="363">
        <v>79800</v>
      </c>
      <c r="D267" s="363">
        <v>0</v>
      </c>
      <c r="E267" s="363">
        <v>79800</v>
      </c>
    </row>
    <row r="269" spans="1:5" ht="45.75" customHeight="1" x14ac:dyDescent="0.25">
      <c r="A269" s="515" t="s">
        <v>899</v>
      </c>
      <c r="B269" s="516"/>
      <c r="C269" s="516"/>
      <c r="D269" s="516"/>
      <c r="E269" s="516"/>
    </row>
    <row r="270" spans="1:5" ht="14.25" customHeight="1" x14ac:dyDescent="0.25">
      <c r="B270" s="480" t="s">
        <v>823</v>
      </c>
      <c r="C270" s="369">
        <v>598673</v>
      </c>
      <c r="D270" s="369">
        <v>0</v>
      </c>
      <c r="E270" s="369">
        <v>598673</v>
      </c>
    </row>
    <row r="271" spans="1:5" ht="14.25" customHeight="1" x14ac:dyDescent="0.25">
      <c r="B271" s="480" t="s">
        <v>830</v>
      </c>
      <c r="C271" s="369">
        <v>240317</v>
      </c>
      <c r="D271" s="369">
        <v>0</v>
      </c>
      <c r="E271" s="369">
        <v>240317</v>
      </c>
    </row>
    <row r="272" spans="1:5" ht="14.25" customHeight="1" x14ac:dyDescent="0.25">
      <c r="B272" s="480" t="s">
        <v>824</v>
      </c>
      <c r="C272" s="369">
        <v>165719</v>
      </c>
      <c r="D272" s="369">
        <v>0</v>
      </c>
      <c r="E272" s="369">
        <v>165719</v>
      </c>
    </row>
    <row r="273" spans="1:5" ht="14.25" customHeight="1" x14ac:dyDescent="0.25">
      <c r="B273" s="480" t="s">
        <v>831</v>
      </c>
      <c r="C273" s="369">
        <v>192637</v>
      </c>
      <c r="D273" s="369">
        <v>0</v>
      </c>
      <c r="E273" s="369">
        <v>192637</v>
      </c>
    </row>
    <row r="275" spans="1:5" ht="19.5" customHeight="1" x14ac:dyDescent="0.25">
      <c r="A275" s="511" t="s">
        <v>900</v>
      </c>
      <c r="B275" s="512"/>
      <c r="C275" s="512"/>
      <c r="D275" s="512"/>
      <c r="E275" s="512"/>
    </row>
    <row r="276" spans="1:5" ht="14.25" customHeight="1" x14ac:dyDescent="0.25">
      <c r="B276" s="478" t="s">
        <v>823</v>
      </c>
      <c r="C276" s="371">
        <v>479704</v>
      </c>
      <c r="D276" s="371">
        <v>0</v>
      </c>
      <c r="E276" s="371">
        <v>479704</v>
      </c>
    </row>
    <row r="277" spans="1:5" ht="14.25" customHeight="1" x14ac:dyDescent="0.25">
      <c r="B277" s="362" t="s">
        <v>830</v>
      </c>
      <c r="C277" s="363">
        <v>222474</v>
      </c>
      <c r="D277" s="363">
        <v>0</v>
      </c>
      <c r="E277" s="363">
        <v>222474</v>
      </c>
    </row>
    <row r="278" spans="1:5" ht="14.25" customHeight="1" x14ac:dyDescent="0.25">
      <c r="B278" s="362" t="s">
        <v>824</v>
      </c>
      <c r="C278" s="363">
        <v>141328</v>
      </c>
      <c r="D278" s="363">
        <v>0</v>
      </c>
      <c r="E278" s="363">
        <v>141328</v>
      </c>
    </row>
    <row r="279" spans="1:5" ht="14.25" customHeight="1" x14ac:dyDescent="0.25">
      <c r="B279" s="362" t="s">
        <v>831</v>
      </c>
      <c r="C279" s="363">
        <v>115902</v>
      </c>
      <c r="D279" s="363">
        <v>0</v>
      </c>
      <c r="E279" s="363">
        <v>115902</v>
      </c>
    </row>
    <row r="281" spans="1:5" ht="28.5" customHeight="1" x14ac:dyDescent="0.25">
      <c r="A281" s="511" t="s">
        <v>901</v>
      </c>
      <c r="B281" s="512"/>
      <c r="C281" s="512"/>
      <c r="D281" s="512"/>
      <c r="E281" s="512"/>
    </row>
    <row r="282" spans="1:5" ht="14.25" customHeight="1" x14ac:dyDescent="0.25">
      <c r="B282" s="478" t="s">
        <v>823</v>
      </c>
      <c r="C282" s="371">
        <v>118969</v>
      </c>
      <c r="D282" s="371">
        <v>0</v>
      </c>
      <c r="E282" s="371">
        <v>118969</v>
      </c>
    </row>
    <row r="283" spans="1:5" ht="14.25" customHeight="1" x14ac:dyDescent="0.25">
      <c r="B283" s="362" t="s">
        <v>830</v>
      </c>
      <c r="C283" s="363">
        <v>17843</v>
      </c>
      <c r="D283" s="363">
        <v>0</v>
      </c>
      <c r="E283" s="363">
        <v>17843</v>
      </c>
    </row>
    <row r="284" spans="1:5" ht="14.25" customHeight="1" x14ac:dyDescent="0.25">
      <c r="B284" s="362" t="s">
        <v>824</v>
      </c>
      <c r="C284" s="363">
        <v>24391</v>
      </c>
      <c r="D284" s="363">
        <v>0</v>
      </c>
      <c r="E284" s="363">
        <v>24391</v>
      </c>
    </row>
    <row r="285" spans="1:5" ht="14.25" customHeight="1" x14ac:dyDescent="0.25">
      <c r="B285" s="362" t="s">
        <v>831</v>
      </c>
      <c r="C285" s="363">
        <v>76735</v>
      </c>
      <c r="D285" s="363">
        <v>0</v>
      </c>
      <c r="E285" s="363">
        <v>76735</v>
      </c>
    </row>
    <row r="287" spans="1:5" ht="36.75" customHeight="1" x14ac:dyDescent="0.25">
      <c r="A287" s="515" t="s">
        <v>902</v>
      </c>
      <c r="B287" s="516"/>
      <c r="C287" s="516"/>
      <c r="D287" s="516"/>
      <c r="E287" s="516"/>
    </row>
    <row r="288" spans="1:5" ht="14.25" customHeight="1" x14ac:dyDescent="0.25">
      <c r="B288" s="480" t="s">
        <v>823</v>
      </c>
      <c r="C288" s="369">
        <v>410908</v>
      </c>
      <c r="D288" s="369">
        <v>0</v>
      </c>
      <c r="E288" s="369">
        <v>410908</v>
      </c>
    </row>
    <row r="289" spans="1:5" ht="14.25" customHeight="1" x14ac:dyDescent="0.25">
      <c r="B289" s="480" t="s">
        <v>830</v>
      </c>
      <c r="C289" s="369">
        <v>229582</v>
      </c>
      <c r="D289" s="369">
        <v>0</v>
      </c>
      <c r="E289" s="369">
        <v>229582</v>
      </c>
    </row>
    <row r="290" spans="1:5" ht="14.25" customHeight="1" x14ac:dyDescent="0.25">
      <c r="B290" s="480" t="s">
        <v>824</v>
      </c>
      <c r="C290" s="369">
        <v>161526</v>
      </c>
      <c r="D290" s="369">
        <v>0</v>
      </c>
      <c r="E290" s="369">
        <v>161526</v>
      </c>
    </row>
    <row r="291" spans="1:5" ht="14.25" customHeight="1" x14ac:dyDescent="0.25">
      <c r="B291" s="480" t="s">
        <v>831</v>
      </c>
      <c r="C291" s="369">
        <v>19800</v>
      </c>
      <c r="D291" s="369">
        <v>0</v>
      </c>
      <c r="E291" s="369">
        <v>19800</v>
      </c>
    </row>
    <row r="293" spans="1:5" ht="19.5" customHeight="1" x14ac:dyDescent="0.25">
      <c r="A293" s="511" t="s">
        <v>903</v>
      </c>
      <c r="B293" s="512"/>
      <c r="C293" s="512"/>
      <c r="D293" s="512"/>
      <c r="E293" s="512"/>
    </row>
    <row r="294" spans="1:5" ht="14.25" customHeight="1" x14ac:dyDescent="0.25">
      <c r="B294" s="478" t="s">
        <v>823</v>
      </c>
      <c r="C294" s="371">
        <v>410908</v>
      </c>
      <c r="D294" s="371">
        <v>0</v>
      </c>
      <c r="E294" s="371">
        <v>410908</v>
      </c>
    </row>
    <row r="295" spans="1:5" ht="14.25" customHeight="1" x14ac:dyDescent="0.25">
      <c r="B295" s="362" t="s">
        <v>830</v>
      </c>
      <c r="C295" s="363">
        <v>229582</v>
      </c>
      <c r="D295" s="363">
        <v>0</v>
      </c>
      <c r="E295" s="363">
        <v>229582</v>
      </c>
    </row>
    <row r="296" spans="1:5" ht="14.25" customHeight="1" x14ac:dyDescent="0.25">
      <c r="B296" s="362" t="s">
        <v>824</v>
      </c>
      <c r="C296" s="363">
        <v>161526</v>
      </c>
      <c r="D296" s="363">
        <v>0</v>
      </c>
      <c r="E296" s="363">
        <v>161526</v>
      </c>
    </row>
    <row r="297" spans="1:5" ht="14.25" customHeight="1" x14ac:dyDescent="0.25">
      <c r="B297" s="362" t="s">
        <v>831</v>
      </c>
      <c r="C297" s="363">
        <v>19800</v>
      </c>
      <c r="D297" s="363">
        <v>0</v>
      </c>
      <c r="E297" s="363">
        <v>19800</v>
      </c>
    </row>
    <row r="299" spans="1:5" ht="37.5" customHeight="1" x14ac:dyDescent="0.25">
      <c r="A299" s="515" t="s">
        <v>829</v>
      </c>
      <c r="B299" s="516"/>
      <c r="C299" s="516"/>
      <c r="D299" s="516"/>
      <c r="E299" s="516"/>
    </row>
    <row r="300" spans="1:5" ht="14.25" customHeight="1" x14ac:dyDescent="0.25">
      <c r="B300" s="480" t="s">
        <v>823</v>
      </c>
      <c r="C300" s="369">
        <v>5389681</v>
      </c>
      <c r="D300" s="369">
        <v>660849</v>
      </c>
      <c r="E300" s="369">
        <v>6050530</v>
      </c>
    </row>
    <row r="301" spans="1:5" ht="14.25" customHeight="1" x14ac:dyDescent="0.25">
      <c r="B301" s="480" t="s">
        <v>830</v>
      </c>
      <c r="C301" s="369">
        <v>749975</v>
      </c>
      <c r="D301" s="369">
        <v>0</v>
      </c>
      <c r="E301" s="369">
        <v>749975</v>
      </c>
    </row>
    <row r="302" spans="1:5" ht="14.25" customHeight="1" x14ac:dyDescent="0.25">
      <c r="B302" s="480" t="s">
        <v>824</v>
      </c>
      <c r="C302" s="369">
        <v>3670695</v>
      </c>
      <c r="D302" s="369">
        <v>10237</v>
      </c>
      <c r="E302" s="369">
        <v>3680932</v>
      </c>
    </row>
    <row r="303" spans="1:5" ht="14.25" customHeight="1" x14ac:dyDescent="0.25">
      <c r="B303" s="480" t="s">
        <v>827</v>
      </c>
      <c r="C303" s="369">
        <v>100000</v>
      </c>
      <c r="D303" s="369">
        <v>-57649</v>
      </c>
      <c r="E303" s="369">
        <v>42351</v>
      </c>
    </row>
    <row r="304" spans="1:5" ht="14.25" customHeight="1" x14ac:dyDescent="0.25">
      <c r="B304" s="480" t="s">
        <v>831</v>
      </c>
      <c r="C304" s="369">
        <v>819459</v>
      </c>
      <c r="D304" s="369">
        <v>708261</v>
      </c>
      <c r="E304" s="369">
        <v>1527720</v>
      </c>
    </row>
    <row r="305" spans="1:5" ht="14.25" customHeight="1" x14ac:dyDescent="0.25">
      <c r="B305" s="480" t="s">
        <v>904</v>
      </c>
      <c r="C305" s="369">
        <v>48463</v>
      </c>
      <c r="D305" s="369">
        <v>0</v>
      </c>
      <c r="E305" s="369">
        <v>48463</v>
      </c>
    </row>
    <row r="306" spans="1:5" ht="30" x14ac:dyDescent="0.25">
      <c r="B306" s="480" t="s">
        <v>828</v>
      </c>
      <c r="C306" s="369">
        <v>1089</v>
      </c>
      <c r="D306" s="369">
        <v>0</v>
      </c>
      <c r="E306" s="369">
        <v>1089</v>
      </c>
    </row>
    <row r="308" spans="1:5" ht="19.5" customHeight="1" x14ac:dyDescent="0.25">
      <c r="A308" s="511" t="s">
        <v>832</v>
      </c>
      <c r="B308" s="512"/>
      <c r="C308" s="512"/>
      <c r="D308" s="512"/>
      <c r="E308" s="512"/>
    </row>
    <row r="309" spans="1:5" ht="14.25" customHeight="1" x14ac:dyDescent="0.25">
      <c r="B309" s="478" t="s">
        <v>823</v>
      </c>
      <c r="C309" s="371">
        <v>675761</v>
      </c>
      <c r="D309" s="371">
        <v>139817</v>
      </c>
      <c r="E309" s="371">
        <v>815578</v>
      </c>
    </row>
    <row r="310" spans="1:5" ht="14.25" customHeight="1" x14ac:dyDescent="0.25">
      <c r="B310" s="362" t="s">
        <v>824</v>
      </c>
      <c r="C310" s="363">
        <v>294511</v>
      </c>
      <c r="D310" s="363">
        <v>0</v>
      </c>
      <c r="E310" s="363">
        <v>294511</v>
      </c>
    </row>
    <row r="311" spans="1:5" ht="14.25" customHeight="1" x14ac:dyDescent="0.25">
      <c r="B311" s="362" t="s">
        <v>831</v>
      </c>
      <c r="C311" s="363">
        <v>381250</v>
      </c>
      <c r="D311" s="363">
        <v>139817</v>
      </c>
      <c r="E311" s="363">
        <v>521067</v>
      </c>
    </row>
    <row r="313" spans="1:5" ht="19.5" customHeight="1" x14ac:dyDescent="0.25">
      <c r="A313" s="511" t="s">
        <v>1015</v>
      </c>
      <c r="B313" s="512"/>
      <c r="C313" s="512"/>
      <c r="D313" s="512"/>
      <c r="E313" s="512"/>
    </row>
    <row r="314" spans="1:5" ht="14.25" customHeight="1" x14ac:dyDescent="0.25">
      <c r="B314" s="478" t="s">
        <v>823</v>
      </c>
      <c r="C314" s="371">
        <v>0</v>
      </c>
      <c r="D314" s="371">
        <v>568444</v>
      </c>
      <c r="E314" s="371">
        <v>568444</v>
      </c>
    </row>
    <row r="315" spans="1:5" ht="14.25" customHeight="1" x14ac:dyDescent="0.25">
      <c r="B315" s="362" t="s">
        <v>831</v>
      </c>
      <c r="C315" s="363">
        <v>0</v>
      </c>
      <c r="D315" s="363">
        <v>568444</v>
      </c>
      <c r="E315" s="363">
        <v>568444</v>
      </c>
    </row>
    <row r="317" spans="1:5" ht="19.5" customHeight="1" x14ac:dyDescent="0.25">
      <c r="A317" s="511" t="s">
        <v>905</v>
      </c>
      <c r="B317" s="512"/>
      <c r="C317" s="512"/>
      <c r="D317" s="512"/>
      <c r="E317" s="512"/>
    </row>
    <row r="318" spans="1:5" ht="14.25" customHeight="1" x14ac:dyDescent="0.25">
      <c r="B318" s="478" t="s">
        <v>823</v>
      </c>
      <c r="C318" s="371">
        <v>989101</v>
      </c>
      <c r="D318" s="371">
        <v>0</v>
      </c>
      <c r="E318" s="371">
        <v>989101</v>
      </c>
    </row>
    <row r="319" spans="1:5" ht="14.25" customHeight="1" x14ac:dyDescent="0.25">
      <c r="B319" s="362" t="s">
        <v>824</v>
      </c>
      <c r="C319" s="363">
        <v>989101</v>
      </c>
      <c r="D319" s="363">
        <v>0</v>
      </c>
      <c r="E319" s="363">
        <v>989101</v>
      </c>
    </row>
    <row r="321" spans="1:5" ht="19.5" customHeight="1" x14ac:dyDescent="0.25">
      <c r="A321" s="511" t="s">
        <v>833</v>
      </c>
      <c r="B321" s="512"/>
      <c r="C321" s="512"/>
      <c r="D321" s="512"/>
      <c r="E321" s="512"/>
    </row>
    <row r="322" spans="1:5" ht="14.25" customHeight="1" x14ac:dyDescent="0.25">
      <c r="B322" s="478" t="s">
        <v>823</v>
      </c>
      <c r="C322" s="371">
        <v>579200</v>
      </c>
      <c r="D322" s="371">
        <v>0</v>
      </c>
      <c r="E322" s="371">
        <v>579200</v>
      </c>
    </row>
    <row r="323" spans="1:5" ht="14.25" customHeight="1" x14ac:dyDescent="0.25">
      <c r="B323" s="362" t="s">
        <v>824</v>
      </c>
      <c r="C323" s="363">
        <v>546200</v>
      </c>
      <c r="D323" s="363">
        <v>0</v>
      </c>
      <c r="E323" s="363">
        <v>546200</v>
      </c>
    </row>
    <row r="324" spans="1:5" ht="14.25" customHeight="1" x14ac:dyDescent="0.25">
      <c r="B324" s="362" t="s">
        <v>831</v>
      </c>
      <c r="C324" s="363">
        <v>33000</v>
      </c>
      <c r="D324" s="363">
        <v>0</v>
      </c>
      <c r="E324" s="363">
        <v>33000</v>
      </c>
    </row>
    <row r="326" spans="1:5" ht="19.5" customHeight="1" x14ac:dyDescent="0.25">
      <c r="A326" s="511" t="s">
        <v>906</v>
      </c>
      <c r="B326" s="512"/>
      <c r="C326" s="512"/>
      <c r="D326" s="512"/>
      <c r="E326" s="512"/>
    </row>
    <row r="327" spans="1:5" ht="14.25" customHeight="1" x14ac:dyDescent="0.25">
      <c r="B327" s="478" t="s">
        <v>823</v>
      </c>
      <c r="C327" s="371">
        <v>599490</v>
      </c>
      <c r="D327" s="371">
        <v>10237</v>
      </c>
      <c r="E327" s="371">
        <v>609727</v>
      </c>
    </row>
    <row r="328" spans="1:5" ht="14.25" customHeight="1" x14ac:dyDescent="0.25">
      <c r="B328" s="362" t="s">
        <v>824</v>
      </c>
      <c r="C328" s="363">
        <v>515200</v>
      </c>
      <c r="D328" s="363">
        <v>10237</v>
      </c>
      <c r="E328" s="363">
        <v>525437</v>
      </c>
    </row>
    <row r="329" spans="1:5" ht="14.25" customHeight="1" x14ac:dyDescent="0.25">
      <c r="B329" s="362" t="s">
        <v>831</v>
      </c>
      <c r="C329" s="363">
        <v>84290</v>
      </c>
      <c r="D329" s="363">
        <v>0</v>
      </c>
      <c r="E329" s="363">
        <v>84290</v>
      </c>
    </row>
    <row r="331" spans="1:5" ht="19.5" customHeight="1" x14ac:dyDescent="0.25">
      <c r="A331" s="511" t="s">
        <v>907</v>
      </c>
      <c r="B331" s="512"/>
      <c r="C331" s="512"/>
      <c r="D331" s="512"/>
      <c r="E331" s="512"/>
    </row>
    <row r="332" spans="1:5" ht="14.25" customHeight="1" x14ac:dyDescent="0.25">
      <c r="B332" s="478" t="s">
        <v>823</v>
      </c>
      <c r="C332" s="371">
        <v>915882</v>
      </c>
      <c r="D332" s="371">
        <v>0</v>
      </c>
      <c r="E332" s="371">
        <v>915882</v>
      </c>
    </row>
    <row r="333" spans="1:5" ht="14.25" customHeight="1" x14ac:dyDescent="0.25">
      <c r="B333" s="362" t="s">
        <v>830</v>
      </c>
      <c r="C333" s="363">
        <v>748438</v>
      </c>
      <c r="D333" s="363">
        <v>0</v>
      </c>
      <c r="E333" s="363">
        <v>748438</v>
      </c>
    </row>
    <row r="334" spans="1:5" ht="14.25" customHeight="1" x14ac:dyDescent="0.25">
      <c r="B334" s="362" t="s">
        <v>824</v>
      </c>
      <c r="C334" s="363">
        <v>118427</v>
      </c>
      <c r="D334" s="363">
        <v>0</v>
      </c>
      <c r="E334" s="363">
        <v>118427</v>
      </c>
    </row>
    <row r="335" spans="1:5" ht="14.25" customHeight="1" x14ac:dyDescent="0.25">
      <c r="B335" s="362" t="s">
        <v>831</v>
      </c>
      <c r="C335" s="363">
        <v>49017</v>
      </c>
      <c r="D335" s="363">
        <v>0</v>
      </c>
      <c r="E335" s="363">
        <v>49017</v>
      </c>
    </row>
    <row r="337" spans="1:5" ht="19.5" customHeight="1" x14ac:dyDescent="0.25">
      <c r="A337" s="511" t="s">
        <v>834</v>
      </c>
      <c r="B337" s="512"/>
      <c r="C337" s="512"/>
      <c r="D337" s="512"/>
      <c r="E337" s="512"/>
    </row>
    <row r="338" spans="1:5" ht="14.25" customHeight="1" x14ac:dyDescent="0.25">
      <c r="B338" s="478" t="s">
        <v>823</v>
      </c>
      <c r="C338" s="371">
        <v>1556158</v>
      </c>
      <c r="D338" s="371">
        <v>-57649</v>
      </c>
      <c r="E338" s="371">
        <v>1498509</v>
      </c>
    </row>
    <row r="339" spans="1:5" ht="14.25" customHeight="1" x14ac:dyDescent="0.25">
      <c r="B339" s="362" t="s">
        <v>824</v>
      </c>
      <c r="C339" s="363">
        <v>1184256</v>
      </c>
      <c r="D339" s="363">
        <v>0</v>
      </c>
      <c r="E339" s="363">
        <v>1184256</v>
      </c>
    </row>
    <row r="340" spans="1:5" ht="14.25" customHeight="1" x14ac:dyDescent="0.25">
      <c r="B340" s="362" t="s">
        <v>827</v>
      </c>
      <c r="C340" s="363">
        <v>100000</v>
      </c>
      <c r="D340" s="363">
        <v>-57649</v>
      </c>
      <c r="E340" s="363">
        <v>42351</v>
      </c>
    </row>
    <row r="341" spans="1:5" ht="14.25" customHeight="1" x14ac:dyDescent="0.25">
      <c r="B341" s="362" t="s">
        <v>831</v>
      </c>
      <c r="C341" s="363">
        <v>271902</v>
      </c>
      <c r="D341" s="363">
        <v>0</v>
      </c>
      <c r="E341" s="363">
        <v>271902</v>
      </c>
    </row>
    <row r="343" spans="1:5" ht="19.5" customHeight="1" x14ac:dyDescent="0.25">
      <c r="A343" s="511" t="s">
        <v>908</v>
      </c>
      <c r="B343" s="512"/>
      <c r="C343" s="512"/>
      <c r="D343" s="512"/>
      <c r="E343" s="512"/>
    </row>
    <row r="344" spans="1:5" ht="14.25" customHeight="1" x14ac:dyDescent="0.25">
      <c r="B344" s="478" t="s">
        <v>823</v>
      </c>
      <c r="C344" s="371">
        <v>74089</v>
      </c>
      <c r="D344" s="371">
        <v>0</v>
      </c>
      <c r="E344" s="371">
        <v>74089</v>
      </c>
    </row>
    <row r="345" spans="1:5" ht="14.25" customHeight="1" x14ac:dyDescent="0.25">
      <c r="B345" s="362" t="s">
        <v>830</v>
      </c>
      <c r="C345" s="363">
        <v>1537</v>
      </c>
      <c r="D345" s="363">
        <v>0</v>
      </c>
      <c r="E345" s="363">
        <v>1537</v>
      </c>
    </row>
    <row r="346" spans="1:5" ht="14.25" customHeight="1" x14ac:dyDescent="0.25">
      <c r="B346" s="362" t="s">
        <v>824</v>
      </c>
      <c r="C346" s="363">
        <v>23000</v>
      </c>
      <c r="D346" s="363">
        <v>0</v>
      </c>
      <c r="E346" s="363">
        <v>23000</v>
      </c>
    </row>
    <row r="347" spans="1:5" ht="14.25" customHeight="1" x14ac:dyDescent="0.25">
      <c r="B347" s="362" t="s">
        <v>904</v>
      </c>
      <c r="C347" s="363">
        <v>48463</v>
      </c>
      <c r="D347" s="363">
        <v>0</v>
      </c>
      <c r="E347" s="363">
        <v>48463</v>
      </c>
    </row>
    <row r="348" spans="1:5" ht="30" x14ac:dyDescent="0.25">
      <c r="B348" s="362" t="s">
        <v>828</v>
      </c>
      <c r="C348" s="363">
        <v>1089</v>
      </c>
      <c r="D348" s="363">
        <v>0</v>
      </c>
      <c r="E348" s="363">
        <v>1089</v>
      </c>
    </row>
    <row r="350" spans="1:5" ht="39" customHeight="1" x14ac:dyDescent="0.25">
      <c r="A350" s="515" t="s">
        <v>835</v>
      </c>
      <c r="B350" s="516"/>
      <c r="C350" s="516"/>
      <c r="D350" s="516"/>
      <c r="E350" s="516"/>
    </row>
    <row r="351" spans="1:5" ht="14.25" customHeight="1" x14ac:dyDescent="0.25">
      <c r="B351" s="480" t="s">
        <v>823</v>
      </c>
      <c r="C351" s="369">
        <v>3475194</v>
      </c>
      <c r="D351" s="369">
        <v>3858</v>
      </c>
      <c r="E351" s="369">
        <v>3479052</v>
      </c>
    </row>
    <row r="352" spans="1:5" ht="14.25" customHeight="1" x14ac:dyDescent="0.25">
      <c r="B352" s="480" t="s">
        <v>830</v>
      </c>
      <c r="C352" s="369">
        <v>1380723</v>
      </c>
      <c r="D352" s="369">
        <v>3858</v>
      </c>
      <c r="E352" s="369">
        <v>1384581</v>
      </c>
    </row>
    <row r="353" spans="1:5" ht="14.25" customHeight="1" x14ac:dyDescent="0.25">
      <c r="B353" s="480" t="s">
        <v>824</v>
      </c>
      <c r="C353" s="369">
        <v>1491424</v>
      </c>
      <c r="D353" s="369">
        <v>0</v>
      </c>
      <c r="E353" s="369">
        <v>1491424</v>
      </c>
    </row>
    <row r="354" spans="1:5" ht="14.25" customHeight="1" x14ac:dyDescent="0.25">
      <c r="B354" s="480" t="s">
        <v>827</v>
      </c>
      <c r="C354" s="369">
        <v>453965</v>
      </c>
      <c r="D354" s="369">
        <v>0</v>
      </c>
      <c r="E354" s="369">
        <v>453965</v>
      </c>
    </row>
    <row r="355" spans="1:5" ht="14.25" customHeight="1" x14ac:dyDescent="0.25">
      <c r="B355" s="480" t="s">
        <v>831</v>
      </c>
      <c r="C355" s="369">
        <v>149082</v>
      </c>
      <c r="D355" s="369">
        <v>0</v>
      </c>
      <c r="E355" s="369">
        <v>149082</v>
      </c>
    </row>
    <row r="357" spans="1:5" ht="19.5" customHeight="1" x14ac:dyDescent="0.25">
      <c r="A357" s="511" t="s">
        <v>836</v>
      </c>
      <c r="B357" s="512"/>
      <c r="C357" s="512"/>
      <c r="D357" s="512"/>
      <c r="E357" s="512"/>
    </row>
    <row r="358" spans="1:5" ht="14.25" customHeight="1" x14ac:dyDescent="0.25">
      <c r="B358" s="478" t="s">
        <v>823</v>
      </c>
      <c r="C358" s="371">
        <v>648443</v>
      </c>
      <c r="D358" s="371">
        <v>0</v>
      </c>
      <c r="E358" s="371">
        <v>648443</v>
      </c>
    </row>
    <row r="359" spans="1:5" ht="14.25" customHeight="1" x14ac:dyDescent="0.25">
      <c r="B359" s="362" t="s">
        <v>830</v>
      </c>
      <c r="C359" s="363">
        <v>292866</v>
      </c>
      <c r="D359" s="363">
        <v>0</v>
      </c>
      <c r="E359" s="363">
        <v>292866</v>
      </c>
    </row>
    <row r="360" spans="1:5" ht="14.25" customHeight="1" x14ac:dyDescent="0.25">
      <c r="B360" s="362" t="s">
        <v>824</v>
      </c>
      <c r="C360" s="363">
        <v>208495</v>
      </c>
      <c r="D360" s="363">
        <v>0</v>
      </c>
      <c r="E360" s="363">
        <v>208495</v>
      </c>
    </row>
    <row r="361" spans="1:5" ht="14.25" customHeight="1" x14ac:dyDescent="0.25">
      <c r="B361" s="362" t="s">
        <v>831</v>
      </c>
      <c r="C361" s="363">
        <v>147082</v>
      </c>
      <c r="D361" s="363">
        <v>0</v>
      </c>
      <c r="E361" s="363">
        <v>147082</v>
      </c>
    </row>
    <row r="363" spans="1:5" ht="19.5" customHeight="1" x14ac:dyDescent="0.25">
      <c r="A363" s="511" t="s">
        <v>909</v>
      </c>
      <c r="B363" s="512"/>
      <c r="C363" s="512"/>
      <c r="D363" s="512"/>
      <c r="E363" s="512"/>
    </row>
    <row r="364" spans="1:5" ht="14.25" customHeight="1" x14ac:dyDescent="0.25">
      <c r="B364" s="478" t="s">
        <v>823</v>
      </c>
      <c r="C364" s="371">
        <v>621935</v>
      </c>
      <c r="D364" s="371">
        <v>0</v>
      </c>
      <c r="E364" s="371">
        <v>621935</v>
      </c>
    </row>
    <row r="365" spans="1:5" ht="14.25" customHeight="1" x14ac:dyDescent="0.25">
      <c r="B365" s="362" t="s">
        <v>830</v>
      </c>
      <c r="C365" s="363">
        <v>3500</v>
      </c>
      <c r="D365" s="363">
        <v>0</v>
      </c>
      <c r="E365" s="363">
        <v>3500</v>
      </c>
    </row>
    <row r="366" spans="1:5" ht="14.25" customHeight="1" x14ac:dyDescent="0.25">
      <c r="B366" s="362" t="s">
        <v>824</v>
      </c>
      <c r="C366" s="363">
        <v>162470</v>
      </c>
      <c r="D366" s="363">
        <v>0</v>
      </c>
      <c r="E366" s="363">
        <v>162470</v>
      </c>
    </row>
    <row r="367" spans="1:5" ht="14.25" customHeight="1" x14ac:dyDescent="0.25">
      <c r="B367" s="362" t="s">
        <v>827</v>
      </c>
      <c r="C367" s="363">
        <v>453965</v>
      </c>
      <c r="D367" s="363">
        <v>0</v>
      </c>
      <c r="E367" s="363">
        <v>453965</v>
      </c>
    </row>
    <row r="368" spans="1:5" ht="14.25" customHeight="1" x14ac:dyDescent="0.25">
      <c r="B368" s="362" t="s">
        <v>831</v>
      </c>
      <c r="C368" s="363">
        <v>2000</v>
      </c>
      <c r="D368" s="363">
        <v>0</v>
      </c>
      <c r="E368" s="363">
        <v>2000</v>
      </c>
    </row>
    <row r="370" spans="1:5" ht="19.5" customHeight="1" x14ac:dyDescent="0.25">
      <c r="A370" s="511" t="s">
        <v>910</v>
      </c>
      <c r="B370" s="512"/>
      <c r="C370" s="512"/>
      <c r="D370" s="512"/>
      <c r="E370" s="512"/>
    </row>
    <row r="371" spans="1:5" ht="14.25" customHeight="1" x14ac:dyDescent="0.25">
      <c r="B371" s="478" t="s">
        <v>823</v>
      </c>
      <c r="C371" s="371">
        <v>2204816</v>
      </c>
      <c r="D371" s="371">
        <v>3858</v>
      </c>
      <c r="E371" s="371">
        <v>2208674</v>
      </c>
    </row>
    <row r="372" spans="1:5" ht="14.25" customHeight="1" x14ac:dyDescent="0.25">
      <c r="B372" s="362" t="s">
        <v>830</v>
      </c>
      <c r="C372" s="363">
        <v>1084357</v>
      </c>
      <c r="D372" s="363">
        <v>3858</v>
      </c>
      <c r="E372" s="363">
        <v>1088215</v>
      </c>
    </row>
    <row r="373" spans="1:5" ht="14.25" customHeight="1" x14ac:dyDescent="0.25">
      <c r="B373" s="362" t="s">
        <v>824</v>
      </c>
      <c r="C373" s="363">
        <v>1120459</v>
      </c>
      <c r="D373" s="363">
        <v>0</v>
      </c>
      <c r="E373" s="363">
        <v>1120459</v>
      </c>
    </row>
    <row r="375" spans="1:5" ht="19.5" hidden="1" customHeight="1" x14ac:dyDescent="0.25">
      <c r="A375" s="511" t="s">
        <v>1016</v>
      </c>
      <c r="B375" s="512"/>
      <c r="C375" s="512"/>
      <c r="D375" s="512"/>
      <c r="E375" s="512"/>
    </row>
    <row r="376" spans="1:5" ht="14.25" hidden="1" customHeight="1" x14ac:dyDescent="0.25">
      <c r="B376" s="362" t="s">
        <v>823</v>
      </c>
      <c r="C376" s="363">
        <v>958074</v>
      </c>
      <c r="D376" s="363">
        <v>2297</v>
      </c>
      <c r="E376" s="363">
        <v>960371</v>
      </c>
    </row>
    <row r="377" spans="1:5" ht="14.25" hidden="1" customHeight="1" x14ac:dyDescent="0.25">
      <c r="B377" s="362" t="s">
        <v>830</v>
      </c>
      <c r="C377" s="363">
        <v>607926</v>
      </c>
      <c r="D377" s="363">
        <v>2297</v>
      </c>
      <c r="E377" s="363">
        <v>610223</v>
      </c>
    </row>
    <row r="378" spans="1:5" ht="14.25" hidden="1" customHeight="1" x14ac:dyDescent="0.25">
      <c r="B378" s="362" t="s">
        <v>824</v>
      </c>
      <c r="C378" s="363">
        <v>350148</v>
      </c>
      <c r="D378" s="363">
        <v>0</v>
      </c>
      <c r="E378" s="363">
        <v>350148</v>
      </c>
    </row>
    <row r="379" spans="1:5" ht="9" hidden="1" customHeight="1" x14ac:dyDescent="0.25"/>
    <row r="380" spans="1:5" ht="19.5" hidden="1" customHeight="1" x14ac:dyDescent="0.25">
      <c r="A380" s="511" t="s">
        <v>1017</v>
      </c>
      <c r="B380" s="512"/>
      <c r="C380" s="512"/>
      <c r="D380" s="512"/>
      <c r="E380" s="512"/>
    </row>
    <row r="381" spans="1:5" ht="14.25" hidden="1" customHeight="1" x14ac:dyDescent="0.25">
      <c r="B381" s="362" t="s">
        <v>823</v>
      </c>
      <c r="C381" s="363">
        <v>433153</v>
      </c>
      <c r="D381" s="363">
        <v>625</v>
      </c>
      <c r="E381" s="363">
        <v>433778</v>
      </c>
    </row>
    <row r="382" spans="1:5" ht="14.25" hidden="1" customHeight="1" x14ac:dyDescent="0.25">
      <c r="B382" s="362" t="s">
        <v>830</v>
      </c>
      <c r="C382" s="363">
        <v>176579</v>
      </c>
      <c r="D382" s="363">
        <v>625</v>
      </c>
      <c r="E382" s="363">
        <v>177204</v>
      </c>
    </row>
    <row r="383" spans="1:5" ht="14.25" hidden="1" customHeight="1" x14ac:dyDescent="0.25">
      <c r="B383" s="362" t="s">
        <v>824</v>
      </c>
      <c r="C383" s="363">
        <v>256574</v>
      </c>
      <c r="D383" s="363">
        <v>0</v>
      </c>
      <c r="E383" s="363">
        <v>256574</v>
      </c>
    </row>
    <row r="384" spans="1:5" ht="9" hidden="1" customHeight="1" x14ac:dyDescent="0.25"/>
    <row r="385" spans="1:5" ht="19.5" hidden="1" customHeight="1" x14ac:dyDescent="0.25">
      <c r="A385" s="511" t="s">
        <v>1018</v>
      </c>
      <c r="B385" s="512"/>
      <c r="C385" s="512"/>
      <c r="D385" s="512"/>
      <c r="E385" s="512"/>
    </row>
    <row r="386" spans="1:5" ht="14.25" hidden="1" customHeight="1" x14ac:dyDescent="0.25">
      <c r="B386" s="362" t="s">
        <v>823</v>
      </c>
      <c r="C386" s="363">
        <v>813589</v>
      </c>
      <c r="D386" s="363">
        <v>936</v>
      </c>
      <c r="E386" s="363">
        <v>814525</v>
      </c>
    </row>
    <row r="387" spans="1:5" ht="14.25" hidden="1" customHeight="1" x14ac:dyDescent="0.25">
      <c r="B387" s="362" t="s">
        <v>830</v>
      </c>
      <c r="C387" s="363">
        <v>299852</v>
      </c>
      <c r="D387" s="363">
        <v>936</v>
      </c>
      <c r="E387" s="363">
        <v>300788</v>
      </c>
    </row>
    <row r="388" spans="1:5" ht="14.25" hidden="1" customHeight="1" x14ac:dyDescent="0.25">
      <c r="B388" s="362" t="s">
        <v>824</v>
      </c>
      <c r="C388" s="363">
        <v>513737</v>
      </c>
      <c r="D388" s="363">
        <v>0</v>
      </c>
      <c r="E388" s="363">
        <v>513737</v>
      </c>
    </row>
    <row r="389" spans="1:5" ht="9" customHeight="1" x14ac:dyDescent="0.25"/>
    <row r="390" spans="1:5" s="484" customFormat="1" ht="33" customHeight="1" x14ac:dyDescent="0.25">
      <c r="A390" s="515" t="s">
        <v>911</v>
      </c>
      <c r="B390" s="516"/>
      <c r="C390" s="516"/>
      <c r="D390" s="516"/>
      <c r="E390" s="516"/>
    </row>
    <row r="391" spans="1:5" ht="14.25" customHeight="1" x14ac:dyDescent="0.25">
      <c r="B391" s="480" t="s">
        <v>823</v>
      </c>
      <c r="C391" s="369">
        <v>1008354</v>
      </c>
      <c r="D391" s="369">
        <v>57498</v>
      </c>
      <c r="E391" s="369">
        <v>1065852</v>
      </c>
    </row>
    <row r="392" spans="1:5" ht="14.25" customHeight="1" x14ac:dyDescent="0.25">
      <c r="B392" s="480" t="s">
        <v>830</v>
      </c>
      <c r="C392" s="369">
        <v>539893</v>
      </c>
      <c r="D392" s="369">
        <v>1700</v>
      </c>
      <c r="E392" s="369">
        <v>541593</v>
      </c>
    </row>
    <row r="393" spans="1:5" ht="14.25" customHeight="1" x14ac:dyDescent="0.25">
      <c r="B393" s="480" t="s">
        <v>824</v>
      </c>
      <c r="C393" s="369">
        <v>159375</v>
      </c>
      <c r="D393" s="369">
        <v>1103</v>
      </c>
      <c r="E393" s="369">
        <v>160478</v>
      </c>
    </row>
    <row r="394" spans="1:5" ht="14.25" customHeight="1" x14ac:dyDescent="0.25">
      <c r="B394" s="480" t="s">
        <v>831</v>
      </c>
      <c r="C394" s="369">
        <v>238199</v>
      </c>
      <c r="D394" s="369">
        <v>20000</v>
      </c>
      <c r="E394" s="369">
        <v>258199</v>
      </c>
    </row>
    <row r="395" spans="1:5" ht="30" x14ac:dyDescent="0.25">
      <c r="B395" s="480" t="s">
        <v>828</v>
      </c>
      <c r="C395" s="369">
        <v>70887</v>
      </c>
      <c r="D395" s="369">
        <v>34695</v>
      </c>
      <c r="E395" s="369">
        <v>105582</v>
      </c>
    </row>
    <row r="397" spans="1:5" ht="19.5" customHeight="1" x14ac:dyDescent="0.25">
      <c r="A397" s="511" t="s">
        <v>912</v>
      </c>
      <c r="B397" s="512"/>
      <c r="C397" s="512"/>
      <c r="D397" s="512"/>
      <c r="E397" s="512"/>
    </row>
    <row r="398" spans="1:5" ht="14.25" customHeight="1" x14ac:dyDescent="0.25">
      <c r="B398" s="478" t="s">
        <v>823</v>
      </c>
      <c r="C398" s="371">
        <v>886517</v>
      </c>
      <c r="D398" s="371">
        <v>20000</v>
      </c>
      <c r="E398" s="371">
        <v>906517</v>
      </c>
    </row>
    <row r="399" spans="1:5" ht="14.25" customHeight="1" x14ac:dyDescent="0.25">
      <c r="B399" s="362" t="s">
        <v>830</v>
      </c>
      <c r="C399" s="363">
        <v>520991</v>
      </c>
      <c r="D399" s="363">
        <v>0</v>
      </c>
      <c r="E399" s="363">
        <v>520991</v>
      </c>
    </row>
    <row r="400" spans="1:5" ht="14.25" customHeight="1" x14ac:dyDescent="0.25">
      <c r="B400" s="362" t="s">
        <v>824</v>
      </c>
      <c r="C400" s="363">
        <v>127327</v>
      </c>
      <c r="D400" s="363">
        <v>0</v>
      </c>
      <c r="E400" s="363">
        <v>127327</v>
      </c>
    </row>
    <row r="401" spans="1:5" ht="14.25" customHeight="1" x14ac:dyDescent="0.25">
      <c r="B401" s="362" t="s">
        <v>831</v>
      </c>
      <c r="C401" s="363">
        <v>238199</v>
      </c>
      <c r="D401" s="363">
        <v>20000</v>
      </c>
      <c r="E401" s="363">
        <v>258199</v>
      </c>
    </row>
    <row r="403" spans="1:5" ht="19.5" customHeight="1" x14ac:dyDescent="0.25">
      <c r="A403" s="511" t="s">
        <v>913</v>
      </c>
      <c r="B403" s="512"/>
      <c r="C403" s="512"/>
      <c r="D403" s="512"/>
      <c r="E403" s="512"/>
    </row>
    <row r="404" spans="1:5" ht="14.25" customHeight="1" x14ac:dyDescent="0.25">
      <c r="B404" s="478" t="s">
        <v>823</v>
      </c>
      <c r="C404" s="371">
        <v>121837</v>
      </c>
      <c r="D404" s="371">
        <v>37498</v>
      </c>
      <c r="E404" s="371">
        <v>159335</v>
      </c>
    </row>
    <row r="405" spans="1:5" ht="14.25" customHeight="1" x14ac:dyDescent="0.25">
      <c r="B405" s="362" t="s">
        <v>830</v>
      </c>
      <c r="C405" s="363">
        <v>18902</v>
      </c>
      <c r="D405" s="363">
        <v>1700</v>
      </c>
      <c r="E405" s="363">
        <v>20602</v>
      </c>
    </row>
    <row r="406" spans="1:5" ht="14.25" customHeight="1" x14ac:dyDescent="0.25">
      <c r="B406" s="362" t="s">
        <v>824</v>
      </c>
      <c r="C406" s="363">
        <v>32048</v>
      </c>
      <c r="D406" s="363">
        <v>1103</v>
      </c>
      <c r="E406" s="363">
        <v>33151</v>
      </c>
    </row>
    <row r="407" spans="1:5" ht="30" x14ac:dyDescent="0.25">
      <c r="B407" s="362" t="s">
        <v>828</v>
      </c>
      <c r="C407" s="363">
        <v>70887</v>
      </c>
      <c r="D407" s="363">
        <v>34695</v>
      </c>
      <c r="E407" s="363">
        <v>105582</v>
      </c>
    </row>
    <row r="409" spans="1:5" ht="45" customHeight="1" x14ac:dyDescent="0.25">
      <c r="A409" s="515" t="s">
        <v>837</v>
      </c>
      <c r="B409" s="516"/>
      <c r="C409" s="516"/>
      <c r="D409" s="516"/>
      <c r="E409" s="516"/>
    </row>
    <row r="410" spans="1:5" ht="14.25" customHeight="1" x14ac:dyDescent="0.25">
      <c r="B410" s="480" t="s">
        <v>823</v>
      </c>
      <c r="C410" s="369">
        <v>745093</v>
      </c>
      <c r="D410" s="369">
        <v>40000</v>
      </c>
      <c r="E410" s="369">
        <v>785093</v>
      </c>
    </row>
    <row r="411" spans="1:5" ht="14.25" customHeight="1" x14ac:dyDescent="0.25">
      <c r="B411" s="480" t="s">
        <v>830</v>
      </c>
      <c r="C411" s="369">
        <v>359859</v>
      </c>
      <c r="D411" s="369">
        <v>0</v>
      </c>
      <c r="E411" s="369">
        <v>359859</v>
      </c>
    </row>
    <row r="412" spans="1:5" ht="14.25" customHeight="1" x14ac:dyDescent="0.25">
      <c r="B412" s="480" t="s">
        <v>824</v>
      </c>
      <c r="C412" s="369">
        <v>124645</v>
      </c>
      <c r="D412" s="369">
        <v>5000</v>
      </c>
      <c r="E412" s="369">
        <v>129645</v>
      </c>
    </row>
    <row r="413" spans="1:5" ht="14.25" customHeight="1" x14ac:dyDescent="0.25">
      <c r="B413" s="480" t="s">
        <v>831</v>
      </c>
      <c r="C413" s="369">
        <v>260589</v>
      </c>
      <c r="D413" s="369">
        <v>35000</v>
      </c>
      <c r="E413" s="369">
        <v>295589</v>
      </c>
    </row>
    <row r="415" spans="1:5" ht="19.5" customHeight="1" x14ac:dyDescent="0.25">
      <c r="A415" s="511" t="s">
        <v>838</v>
      </c>
      <c r="B415" s="512"/>
      <c r="C415" s="512"/>
      <c r="D415" s="512"/>
      <c r="E415" s="512"/>
    </row>
    <row r="416" spans="1:5" ht="14.25" customHeight="1" x14ac:dyDescent="0.25">
      <c r="B416" s="478" t="s">
        <v>823</v>
      </c>
      <c r="C416" s="371">
        <v>745093</v>
      </c>
      <c r="D416" s="371">
        <v>40000</v>
      </c>
      <c r="E416" s="371">
        <v>785093</v>
      </c>
    </row>
    <row r="417" spans="1:5" ht="14.25" customHeight="1" x14ac:dyDescent="0.25">
      <c r="B417" s="362" t="s">
        <v>830</v>
      </c>
      <c r="C417" s="363">
        <v>359859</v>
      </c>
      <c r="D417" s="363">
        <v>0</v>
      </c>
      <c r="E417" s="363">
        <v>359859</v>
      </c>
    </row>
    <row r="418" spans="1:5" ht="14.25" customHeight="1" x14ac:dyDescent="0.25">
      <c r="B418" s="362" t="s">
        <v>824</v>
      </c>
      <c r="C418" s="363">
        <v>124645</v>
      </c>
      <c r="D418" s="363">
        <v>5000</v>
      </c>
      <c r="E418" s="363">
        <v>129645</v>
      </c>
    </row>
    <row r="419" spans="1:5" ht="14.25" customHeight="1" x14ac:dyDescent="0.25">
      <c r="B419" s="362" t="s">
        <v>831</v>
      </c>
      <c r="C419" s="363">
        <v>260589</v>
      </c>
      <c r="D419" s="363">
        <v>35000</v>
      </c>
      <c r="E419" s="363">
        <v>295589</v>
      </c>
    </row>
    <row r="421" spans="1:5" ht="33" customHeight="1" x14ac:dyDescent="0.25">
      <c r="A421" s="515" t="s">
        <v>839</v>
      </c>
      <c r="B421" s="516"/>
      <c r="C421" s="516"/>
      <c r="D421" s="516"/>
      <c r="E421" s="516"/>
    </row>
    <row r="422" spans="1:5" ht="14.25" customHeight="1" x14ac:dyDescent="0.25">
      <c r="B422" s="480" t="s">
        <v>823</v>
      </c>
      <c r="C422" s="369">
        <v>3525344</v>
      </c>
      <c r="D422" s="369">
        <v>2420</v>
      </c>
      <c r="E422" s="369">
        <v>3527764</v>
      </c>
    </row>
    <row r="423" spans="1:5" ht="14.25" customHeight="1" x14ac:dyDescent="0.25">
      <c r="B423" s="480" t="s">
        <v>830</v>
      </c>
      <c r="C423" s="369">
        <v>1459520</v>
      </c>
      <c r="D423" s="369">
        <v>0</v>
      </c>
      <c r="E423" s="369">
        <v>1459520</v>
      </c>
    </row>
    <row r="424" spans="1:5" ht="14.25" customHeight="1" x14ac:dyDescent="0.25">
      <c r="B424" s="480" t="s">
        <v>824</v>
      </c>
      <c r="C424" s="369">
        <v>1474890</v>
      </c>
      <c r="D424" s="369">
        <v>2420</v>
      </c>
      <c r="E424" s="369">
        <v>1477310</v>
      </c>
    </row>
    <row r="425" spans="1:5" ht="14.25" customHeight="1" x14ac:dyDescent="0.25">
      <c r="B425" s="480" t="s">
        <v>827</v>
      </c>
      <c r="C425" s="369">
        <v>10400</v>
      </c>
      <c r="D425" s="369">
        <v>0</v>
      </c>
      <c r="E425" s="369">
        <v>10400</v>
      </c>
    </row>
    <row r="426" spans="1:5" ht="14.25" customHeight="1" x14ac:dyDescent="0.25">
      <c r="B426" s="480" t="s">
        <v>831</v>
      </c>
      <c r="C426" s="369">
        <v>567488</v>
      </c>
      <c r="D426" s="369">
        <v>0</v>
      </c>
      <c r="E426" s="369">
        <v>567488</v>
      </c>
    </row>
    <row r="427" spans="1:5" ht="30" x14ac:dyDescent="0.25">
      <c r="B427" s="480" t="s">
        <v>828</v>
      </c>
      <c r="C427" s="369">
        <v>13046</v>
      </c>
      <c r="D427" s="369">
        <v>0</v>
      </c>
      <c r="E427" s="369">
        <v>13046</v>
      </c>
    </row>
    <row r="429" spans="1:5" ht="19.5" customHeight="1" x14ac:dyDescent="0.25">
      <c r="A429" s="511" t="s">
        <v>840</v>
      </c>
      <c r="B429" s="512"/>
      <c r="C429" s="512"/>
      <c r="D429" s="512"/>
      <c r="E429" s="512"/>
    </row>
    <row r="430" spans="1:5" ht="14.25" customHeight="1" x14ac:dyDescent="0.25">
      <c r="B430" s="478" t="s">
        <v>823</v>
      </c>
      <c r="C430" s="371">
        <v>1896021</v>
      </c>
      <c r="D430" s="371">
        <v>2420</v>
      </c>
      <c r="E430" s="371">
        <v>1898441</v>
      </c>
    </row>
    <row r="431" spans="1:5" ht="14.25" customHeight="1" x14ac:dyDescent="0.25">
      <c r="B431" s="362" t="s">
        <v>830</v>
      </c>
      <c r="C431" s="363">
        <v>823596</v>
      </c>
      <c r="D431" s="363">
        <v>0</v>
      </c>
      <c r="E431" s="363">
        <v>823596</v>
      </c>
    </row>
    <row r="432" spans="1:5" ht="14.25" customHeight="1" x14ac:dyDescent="0.25">
      <c r="B432" s="362" t="s">
        <v>824</v>
      </c>
      <c r="C432" s="363">
        <v>521937</v>
      </c>
      <c r="D432" s="363">
        <v>2420</v>
      </c>
      <c r="E432" s="363">
        <v>524357</v>
      </c>
    </row>
    <row r="433" spans="1:5" ht="14.25" customHeight="1" x14ac:dyDescent="0.25">
      <c r="B433" s="362" t="s">
        <v>831</v>
      </c>
      <c r="C433" s="363">
        <v>550488</v>
      </c>
      <c r="D433" s="363">
        <v>0</v>
      </c>
      <c r="E433" s="363">
        <v>550488</v>
      </c>
    </row>
    <row r="435" spans="1:5" ht="19.5" customHeight="1" x14ac:dyDescent="0.25">
      <c r="A435" s="511" t="s">
        <v>914</v>
      </c>
      <c r="B435" s="512"/>
      <c r="C435" s="512"/>
      <c r="D435" s="512"/>
      <c r="E435" s="512"/>
    </row>
    <row r="436" spans="1:5" ht="14.25" customHeight="1" x14ac:dyDescent="0.25">
      <c r="B436" s="478" t="s">
        <v>823</v>
      </c>
      <c r="C436" s="371">
        <v>1002783</v>
      </c>
      <c r="D436" s="371">
        <v>0</v>
      </c>
      <c r="E436" s="371">
        <v>1002783</v>
      </c>
    </row>
    <row r="437" spans="1:5" ht="14.25" customHeight="1" x14ac:dyDescent="0.25">
      <c r="B437" s="362" t="s">
        <v>830</v>
      </c>
      <c r="C437" s="363">
        <v>118527</v>
      </c>
      <c r="D437" s="363">
        <v>0</v>
      </c>
      <c r="E437" s="363">
        <v>118527</v>
      </c>
    </row>
    <row r="438" spans="1:5" ht="14.25" customHeight="1" x14ac:dyDescent="0.25">
      <c r="B438" s="362" t="s">
        <v>824</v>
      </c>
      <c r="C438" s="363">
        <v>868256</v>
      </c>
      <c r="D438" s="363">
        <v>0</v>
      </c>
      <c r="E438" s="363">
        <v>868256</v>
      </c>
    </row>
    <row r="439" spans="1:5" ht="14.25" customHeight="1" x14ac:dyDescent="0.25">
      <c r="B439" s="362" t="s">
        <v>831</v>
      </c>
      <c r="C439" s="363">
        <v>16000</v>
      </c>
      <c r="D439" s="363">
        <v>0</v>
      </c>
      <c r="E439" s="363">
        <v>16000</v>
      </c>
    </row>
    <row r="441" spans="1:5" ht="19.5" customHeight="1" x14ac:dyDescent="0.25">
      <c r="A441" s="511" t="s">
        <v>915</v>
      </c>
      <c r="B441" s="512"/>
      <c r="C441" s="512"/>
      <c r="D441" s="512"/>
      <c r="E441" s="512"/>
    </row>
    <row r="442" spans="1:5" ht="14.25" customHeight="1" x14ac:dyDescent="0.25">
      <c r="B442" s="478" t="s">
        <v>823</v>
      </c>
      <c r="C442" s="371">
        <v>102013</v>
      </c>
      <c r="D442" s="371">
        <v>0</v>
      </c>
      <c r="E442" s="371">
        <v>102013</v>
      </c>
    </row>
    <row r="443" spans="1:5" ht="14.25" customHeight="1" x14ac:dyDescent="0.25">
      <c r="B443" s="362" t="s">
        <v>830</v>
      </c>
      <c r="C443" s="363">
        <v>98458</v>
      </c>
      <c r="D443" s="363">
        <v>0</v>
      </c>
      <c r="E443" s="363">
        <v>98458</v>
      </c>
    </row>
    <row r="444" spans="1:5" ht="14.25" customHeight="1" x14ac:dyDescent="0.25">
      <c r="B444" s="362" t="s">
        <v>824</v>
      </c>
      <c r="C444" s="363">
        <v>3555</v>
      </c>
      <c r="D444" s="363">
        <v>0</v>
      </c>
      <c r="E444" s="363">
        <v>3555</v>
      </c>
    </row>
    <row r="446" spans="1:5" ht="19.5" customHeight="1" x14ac:dyDescent="0.25">
      <c r="A446" s="511" t="s">
        <v>916</v>
      </c>
      <c r="B446" s="512"/>
      <c r="C446" s="512"/>
      <c r="D446" s="512"/>
      <c r="E446" s="512"/>
    </row>
    <row r="447" spans="1:5" ht="14.25" customHeight="1" x14ac:dyDescent="0.25">
      <c r="B447" s="478" t="s">
        <v>823</v>
      </c>
      <c r="C447" s="371">
        <v>81871</v>
      </c>
      <c r="D447" s="371">
        <v>0</v>
      </c>
      <c r="E447" s="371">
        <v>81871</v>
      </c>
    </row>
    <row r="448" spans="1:5" ht="14.25" customHeight="1" x14ac:dyDescent="0.25">
      <c r="B448" s="362" t="s">
        <v>830</v>
      </c>
      <c r="C448" s="363">
        <v>74016</v>
      </c>
      <c r="D448" s="363">
        <v>0</v>
      </c>
      <c r="E448" s="363">
        <v>74016</v>
      </c>
    </row>
    <row r="449" spans="1:5" ht="14.25" customHeight="1" x14ac:dyDescent="0.25">
      <c r="B449" s="362" t="s">
        <v>824</v>
      </c>
      <c r="C449" s="363">
        <v>7855</v>
      </c>
      <c r="D449" s="363">
        <v>0</v>
      </c>
      <c r="E449" s="363">
        <v>7855</v>
      </c>
    </row>
    <row r="451" spans="1:5" ht="19.5" customHeight="1" x14ac:dyDescent="0.25">
      <c r="A451" s="511" t="s">
        <v>917</v>
      </c>
      <c r="B451" s="512"/>
      <c r="C451" s="512"/>
      <c r="D451" s="512"/>
      <c r="E451" s="512"/>
    </row>
    <row r="452" spans="1:5" ht="14.25" customHeight="1" x14ac:dyDescent="0.25">
      <c r="B452" s="478" t="s">
        <v>823</v>
      </c>
      <c r="C452" s="371">
        <v>21014</v>
      </c>
      <c r="D452" s="371">
        <v>0</v>
      </c>
      <c r="E452" s="371">
        <v>21014</v>
      </c>
    </row>
    <row r="453" spans="1:5" ht="14.25" customHeight="1" x14ac:dyDescent="0.25">
      <c r="B453" s="362" t="s">
        <v>830</v>
      </c>
      <c r="C453" s="363">
        <v>15303</v>
      </c>
      <c r="D453" s="363">
        <v>0</v>
      </c>
      <c r="E453" s="363">
        <v>15303</v>
      </c>
    </row>
    <row r="454" spans="1:5" ht="14.25" customHeight="1" x14ac:dyDescent="0.25">
      <c r="B454" s="362" t="s">
        <v>824</v>
      </c>
      <c r="C454" s="363">
        <v>5711</v>
      </c>
      <c r="D454" s="363">
        <v>0</v>
      </c>
      <c r="E454" s="363">
        <v>5711</v>
      </c>
    </row>
    <row r="456" spans="1:5" ht="19.5" customHeight="1" x14ac:dyDescent="0.25">
      <c r="A456" s="511" t="s">
        <v>918</v>
      </c>
      <c r="B456" s="512"/>
      <c r="C456" s="512"/>
      <c r="D456" s="512"/>
      <c r="E456" s="512"/>
    </row>
    <row r="457" spans="1:5" ht="14.25" customHeight="1" x14ac:dyDescent="0.25">
      <c r="B457" s="478" t="s">
        <v>823</v>
      </c>
      <c r="C457" s="371">
        <v>399292</v>
      </c>
      <c r="D457" s="371">
        <v>0</v>
      </c>
      <c r="E457" s="371">
        <v>399292</v>
      </c>
    </row>
    <row r="458" spans="1:5" ht="14.25" customHeight="1" x14ac:dyDescent="0.25">
      <c r="B458" s="362" t="s">
        <v>830</v>
      </c>
      <c r="C458" s="363">
        <v>324410</v>
      </c>
      <c r="D458" s="363">
        <v>0</v>
      </c>
      <c r="E458" s="363">
        <v>324410</v>
      </c>
    </row>
    <row r="459" spans="1:5" ht="14.25" customHeight="1" x14ac:dyDescent="0.25">
      <c r="B459" s="362" t="s">
        <v>824</v>
      </c>
      <c r="C459" s="363">
        <v>59886</v>
      </c>
      <c r="D459" s="363">
        <v>0</v>
      </c>
      <c r="E459" s="363">
        <v>59886</v>
      </c>
    </row>
    <row r="460" spans="1:5" ht="14.25" customHeight="1" x14ac:dyDescent="0.25">
      <c r="B460" s="362" t="s">
        <v>827</v>
      </c>
      <c r="C460" s="363">
        <v>950</v>
      </c>
      <c r="D460" s="363">
        <v>0</v>
      </c>
      <c r="E460" s="363">
        <v>950</v>
      </c>
    </row>
    <row r="461" spans="1:5" ht="14.25" customHeight="1" x14ac:dyDescent="0.25">
      <c r="B461" s="362" t="s">
        <v>831</v>
      </c>
      <c r="C461" s="363">
        <v>1000</v>
      </c>
      <c r="D461" s="363">
        <v>0</v>
      </c>
      <c r="E461" s="363">
        <v>1000</v>
      </c>
    </row>
    <row r="462" spans="1:5" ht="30" x14ac:dyDescent="0.25">
      <c r="B462" s="362" t="s">
        <v>828</v>
      </c>
      <c r="C462" s="363">
        <v>13046</v>
      </c>
      <c r="D462" s="363">
        <v>0</v>
      </c>
      <c r="E462" s="363">
        <v>13046</v>
      </c>
    </row>
    <row r="464" spans="1:5" ht="19.5" customHeight="1" x14ac:dyDescent="0.25">
      <c r="A464" s="511" t="s">
        <v>919</v>
      </c>
      <c r="B464" s="512"/>
      <c r="C464" s="512"/>
      <c r="D464" s="512"/>
      <c r="E464" s="512"/>
    </row>
    <row r="465" spans="1:5" ht="14.25" customHeight="1" x14ac:dyDescent="0.25">
      <c r="B465" s="478" t="s">
        <v>823</v>
      </c>
      <c r="C465" s="371">
        <v>22350</v>
      </c>
      <c r="D465" s="371">
        <v>0</v>
      </c>
      <c r="E465" s="371">
        <v>22350</v>
      </c>
    </row>
    <row r="466" spans="1:5" ht="14.25" customHeight="1" x14ac:dyDescent="0.25">
      <c r="B466" s="362" t="s">
        <v>830</v>
      </c>
      <c r="C466" s="363">
        <v>5210</v>
      </c>
      <c r="D466" s="363">
        <v>0</v>
      </c>
      <c r="E466" s="363">
        <v>5210</v>
      </c>
    </row>
    <row r="467" spans="1:5" ht="14.25" customHeight="1" x14ac:dyDescent="0.25">
      <c r="B467" s="362" t="s">
        <v>824</v>
      </c>
      <c r="C467" s="363">
        <v>7690</v>
      </c>
      <c r="D467" s="363">
        <v>0</v>
      </c>
      <c r="E467" s="363">
        <v>7690</v>
      </c>
    </row>
    <row r="468" spans="1:5" ht="14.25" customHeight="1" x14ac:dyDescent="0.25">
      <c r="B468" s="362" t="s">
        <v>827</v>
      </c>
      <c r="C468" s="363">
        <v>9450</v>
      </c>
      <c r="D468" s="363">
        <v>0</v>
      </c>
      <c r="E468" s="363">
        <v>9450</v>
      </c>
    </row>
    <row r="470" spans="1:5" ht="33.75" customHeight="1" x14ac:dyDescent="0.25">
      <c r="A470" s="515" t="s">
        <v>920</v>
      </c>
      <c r="B470" s="516"/>
      <c r="C470" s="516"/>
      <c r="D470" s="516"/>
      <c r="E470" s="516"/>
    </row>
    <row r="471" spans="1:5" ht="14.25" customHeight="1" x14ac:dyDescent="0.25">
      <c r="B471" s="478" t="s">
        <v>823</v>
      </c>
      <c r="C471" s="371">
        <v>399972</v>
      </c>
      <c r="D471" s="371">
        <v>0</v>
      </c>
      <c r="E471" s="371">
        <v>399972</v>
      </c>
    </row>
    <row r="472" spans="1:5" ht="14.25" customHeight="1" x14ac:dyDescent="0.25">
      <c r="B472" s="478" t="s">
        <v>830</v>
      </c>
      <c r="C472" s="371">
        <v>180948</v>
      </c>
      <c r="D472" s="371">
        <v>0</v>
      </c>
      <c r="E472" s="371">
        <v>180948</v>
      </c>
    </row>
    <row r="473" spans="1:5" ht="14.25" customHeight="1" x14ac:dyDescent="0.25">
      <c r="B473" s="478" t="s">
        <v>824</v>
      </c>
      <c r="C473" s="371">
        <v>213724</v>
      </c>
      <c r="D473" s="371">
        <v>0</v>
      </c>
      <c r="E473" s="371">
        <v>213724</v>
      </c>
    </row>
    <row r="474" spans="1:5" ht="14.25" customHeight="1" x14ac:dyDescent="0.25">
      <c r="B474" s="478" t="s">
        <v>831</v>
      </c>
      <c r="C474" s="371">
        <v>5300</v>
      </c>
      <c r="D474" s="371">
        <v>0</v>
      </c>
      <c r="E474" s="371">
        <v>5300</v>
      </c>
    </row>
    <row r="475" spans="1:5" ht="9" customHeight="1" x14ac:dyDescent="0.25"/>
    <row r="476" spans="1:5" ht="19.5" customHeight="1" x14ac:dyDescent="0.25">
      <c r="A476" s="511" t="s">
        <v>921</v>
      </c>
      <c r="B476" s="512"/>
      <c r="C476" s="512"/>
      <c r="D476" s="512"/>
      <c r="E476" s="512"/>
    </row>
    <row r="477" spans="1:5" ht="14.25" customHeight="1" x14ac:dyDescent="0.25">
      <c r="B477" s="478" t="s">
        <v>823</v>
      </c>
      <c r="C477" s="371">
        <v>399972</v>
      </c>
      <c r="D477" s="371">
        <v>0</v>
      </c>
      <c r="E477" s="371">
        <v>399972</v>
      </c>
    </row>
    <row r="478" spans="1:5" ht="14.25" customHeight="1" x14ac:dyDescent="0.25">
      <c r="B478" s="362" t="s">
        <v>830</v>
      </c>
      <c r="C478" s="363">
        <v>180948</v>
      </c>
      <c r="D478" s="363">
        <v>0</v>
      </c>
      <c r="E478" s="363">
        <v>180948</v>
      </c>
    </row>
    <row r="479" spans="1:5" ht="14.25" customHeight="1" x14ac:dyDescent="0.25">
      <c r="B479" s="362" t="s">
        <v>824</v>
      </c>
      <c r="C479" s="363">
        <v>213724</v>
      </c>
      <c r="D479" s="363">
        <v>0</v>
      </c>
      <c r="E479" s="363">
        <v>213724</v>
      </c>
    </row>
    <row r="480" spans="1:5" ht="14.25" customHeight="1" x14ac:dyDescent="0.25">
      <c r="B480" s="362" t="s">
        <v>831</v>
      </c>
      <c r="C480" s="363">
        <v>5300</v>
      </c>
      <c r="D480" s="363">
        <v>0</v>
      </c>
      <c r="E480" s="363">
        <v>5300</v>
      </c>
    </row>
    <row r="482" spans="1:5" ht="44.25" customHeight="1" x14ac:dyDescent="0.25">
      <c r="A482" s="515" t="s">
        <v>922</v>
      </c>
      <c r="B482" s="516"/>
      <c r="C482" s="516"/>
      <c r="D482" s="516"/>
      <c r="E482" s="516"/>
    </row>
    <row r="483" spans="1:5" ht="14.25" customHeight="1" x14ac:dyDescent="0.25">
      <c r="B483" s="480" t="s">
        <v>823</v>
      </c>
      <c r="C483" s="369">
        <v>1302344</v>
      </c>
      <c r="D483" s="369">
        <v>27222</v>
      </c>
      <c r="E483" s="369">
        <v>1329566</v>
      </c>
    </row>
    <row r="484" spans="1:5" ht="14.25" customHeight="1" x14ac:dyDescent="0.25">
      <c r="B484" s="480" t="s">
        <v>830</v>
      </c>
      <c r="C484" s="369">
        <v>650947</v>
      </c>
      <c r="D484" s="369">
        <v>0</v>
      </c>
      <c r="E484" s="369">
        <v>650947</v>
      </c>
    </row>
    <row r="485" spans="1:5" ht="14.25" customHeight="1" x14ac:dyDescent="0.25">
      <c r="B485" s="480" t="s">
        <v>824</v>
      </c>
      <c r="C485" s="369">
        <v>481424</v>
      </c>
      <c r="D485" s="369">
        <v>27222</v>
      </c>
      <c r="E485" s="369">
        <v>508646</v>
      </c>
    </row>
    <row r="486" spans="1:5" ht="14.25" customHeight="1" x14ac:dyDescent="0.25">
      <c r="B486" s="480" t="s">
        <v>831</v>
      </c>
      <c r="C486" s="369">
        <v>126902</v>
      </c>
      <c r="D486" s="369">
        <v>0</v>
      </c>
      <c r="E486" s="369">
        <v>126902</v>
      </c>
    </row>
    <row r="487" spans="1:5" ht="14.25" customHeight="1" x14ac:dyDescent="0.25">
      <c r="B487" s="480" t="s">
        <v>904</v>
      </c>
      <c r="C487" s="369">
        <v>43071</v>
      </c>
      <c r="D487" s="369">
        <v>0</v>
      </c>
      <c r="E487" s="369">
        <v>43071</v>
      </c>
    </row>
    <row r="488" spans="1:5" ht="9" customHeight="1" x14ac:dyDescent="0.25"/>
    <row r="489" spans="1:5" ht="19.5" customHeight="1" x14ac:dyDescent="0.25">
      <c r="A489" s="511" t="s">
        <v>923</v>
      </c>
      <c r="B489" s="512"/>
      <c r="C489" s="512"/>
      <c r="D489" s="512"/>
      <c r="E489" s="512"/>
    </row>
    <row r="490" spans="1:5" ht="14.25" customHeight="1" x14ac:dyDescent="0.25">
      <c r="B490" s="478" t="s">
        <v>823</v>
      </c>
      <c r="C490" s="371">
        <v>1065547</v>
      </c>
      <c r="D490" s="371">
        <v>16076</v>
      </c>
      <c r="E490" s="371">
        <v>1081623</v>
      </c>
    </row>
    <row r="491" spans="1:5" ht="14.25" customHeight="1" x14ac:dyDescent="0.25">
      <c r="B491" s="362" t="s">
        <v>830</v>
      </c>
      <c r="C491" s="363">
        <v>621506</v>
      </c>
      <c r="D491" s="363">
        <v>0</v>
      </c>
      <c r="E491" s="363">
        <v>621506</v>
      </c>
    </row>
    <row r="492" spans="1:5" ht="14.25" customHeight="1" x14ac:dyDescent="0.25">
      <c r="B492" s="362" t="s">
        <v>824</v>
      </c>
      <c r="C492" s="363">
        <v>321889</v>
      </c>
      <c r="D492" s="363">
        <v>16076</v>
      </c>
      <c r="E492" s="363">
        <v>337965</v>
      </c>
    </row>
    <row r="493" spans="1:5" ht="14.25" customHeight="1" x14ac:dyDescent="0.25">
      <c r="B493" s="362" t="s">
        <v>831</v>
      </c>
      <c r="C493" s="363">
        <v>122152</v>
      </c>
      <c r="D493" s="363">
        <v>0</v>
      </c>
      <c r="E493" s="363">
        <v>122152</v>
      </c>
    </row>
    <row r="495" spans="1:5" ht="19.5" customHeight="1" x14ac:dyDescent="0.25">
      <c r="A495" s="511" t="s">
        <v>924</v>
      </c>
      <c r="B495" s="512"/>
      <c r="C495" s="512"/>
      <c r="D495" s="512"/>
      <c r="E495" s="512"/>
    </row>
    <row r="496" spans="1:5" ht="14.25" customHeight="1" x14ac:dyDescent="0.25">
      <c r="B496" s="478" t="s">
        <v>823</v>
      </c>
      <c r="C496" s="371">
        <v>236797</v>
      </c>
      <c r="D496" s="371">
        <v>11146</v>
      </c>
      <c r="E496" s="371">
        <v>247943</v>
      </c>
    </row>
    <row r="497" spans="1:5" ht="14.25" customHeight="1" x14ac:dyDescent="0.25">
      <c r="B497" s="362" t="s">
        <v>830</v>
      </c>
      <c r="C497" s="363">
        <v>29441</v>
      </c>
      <c r="D497" s="363">
        <v>0</v>
      </c>
      <c r="E497" s="363">
        <v>29441</v>
      </c>
    </row>
    <row r="498" spans="1:5" ht="14.25" customHeight="1" x14ac:dyDescent="0.25">
      <c r="B498" s="362" t="s">
        <v>824</v>
      </c>
      <c r="C498" s="363">
        <v>159535</v>
      </c>
      <c r="D498" s="363">
        <v>11146</v>
      </c>
      <c r="E498" s="363">
        <v>170681</v>
      </c>
    </row>
    <row r="499" spans="1:5" ht="14.25" customHeight="1" x14ac:dyDescent="0.25">
      <c r="B499" s="362" t="s">
        <v>831</v>
      </c>
      <c r="C499" s="363">
        <v>4750</v>
      </c>
      <c r="D499" s="363">
        <v>0</v>
      </c>
      <c r="E499" s="363">
        <v>4750</v>
      </c>
    </row>
    <row r="500" spans="1:5" ht="14.25" customHeight="1" x14ac:dyDescent="0.25">
      <c r="B500" s="362" t="s">
        <v>904</v>
      </c>
      <c r="C500" s="363">
        <v>43071</v>
      </c>
      <c r="D500" s="363">
        <v>0</v>
      </c>
      <c r="E500" s="363">
        <v>43071</v>
      </c>
    </row>
    <row r="501" spans="1:5" ht="18.75" customHeight="1" x14ac:dyDescent="0.25"/>
    <row r="502" spans="1:5" ht="39" customHeight="1" x14ac:dyDescent="0.25">
      <c r="A502" s="515" t="s">
        <v>841</v>
      </c>
      <c r="B502" s="516"/>
      <c r="C502" s="516"/>
      <c r="D502" s="516"/>
      <c r="E502" s="516"/>
    </row>
    <row r="503" spans="1:5" ht="14.25" customHeight="1" x14ac:dyDescent="0.25">
      <c r="B503" s="485" t="s">
        <v>823</v>
      </c>
      <c r="C503" s="486">
        <v>25067361</v>
      </c>
      <c r="D503" s="486">
        <v>4535077</v>
      </c>
      <c r="E503" s="486">
        <v>29602438</v>
      </c>
    </row>
    <row r="504" spans="1:5" ht="14.25" customHeight="1" x14ac:dyDescent="0.25">
      <c r="B504" s="485" t="s">
        <v>830</v>
      </c>
      <c r="C504" s="486">
        <v>15177237</v>
      </c>
      <c r="D504" s="486">
        <v>3857432</v>
      </c>
      <c r="E504" s="486">
        <v>19034669</v>
      </c>
    </row>
    <row r="505" spans="1:5" ht="14.25" customHeight="1" x14ac:dyDescent="0.25">
      <c r="B505" s="485" t="s">
        <v>824</v>
      </c>
      <c r="C505" s="486">
        <v>5060284</v>
      </c>
      <c r="D505" s="486">
        <v>575026</v>
      </c>
      <c r="E505" s="486">
        <v>5635310</v>
      </c>
    </row>
    <row r="506" spans="1:5" ht="14.25" customHeight="1" x14ac:dyDescent="0.25">
      <c r="B506" s="485" t="s">
        <v>827</v>
      </c>
      <c r="C506" s="486">
        <v>2046000</v>
      </c>
      <c r="D506" s="486">
        <v>0</v>
      </c>
      <c r="E506" s="486">
        <v>2046000</v>
      </c>
    </row>
    <row r="507" spans="1:5" ht="14.25" customHeight="1" x14ac:dyDescent="0.25">
      <c r="B507" s="485" t="s">
        <v>831</v>
      </c>
      <c r="C507" s="486">
        <v>1634441</v>
      </c>
      <c r="D507" s="486">
        <v>78219</v>
      </c>
      <c r="E507" s="486">
        <v>1712660</v>
      </c>
    </row>
    <row r="508" spans="1:5" ht="14.25" customHeight="1" x14ac:dyDescent="0.25">
      <c r="B508" s="485" t="s">
        <v>904</v>
      </c>
      <c r="C508" s="486">
        <v>508181</v>
      </c>
      <c r="D508" s="486">
        <v>24400</v>
      </c>
      <c r="E508" s="486">
        <v>532581</v>
      </c>
    </row>
    <row r="509" spans="1:5" ht="30" x14ac:dyDescent="0.25">
      <c r="B509" s="485" t="s">
        <v>828</v>
      </c>
      <c r="C509" s="486">
        <v>641218</v>
      </c>
      <c r="D509" s="486">
        <v>0</v>
      </c>
      <c r="E509" s="486">
        <v>641218</v>
      </c>
    </row>
    <row r="510" spans="1:5" ht="18" customHeight="1" x14ac:dyDescent="0.25"/>
    <row r="511" spans="1:5" ht="19.5" customHeight="1" x14ac:dyDescent="0.25">
      <c r="A511" s="511" t="s">
        <v>925</v>
      </c>
      <c r="B511" s="512"/>
      <c r="C511" s="512"/>
      <c r="D511" s="512"/>
      <c r="E511" s="512"/>
    </row>
    <row r="512" spans="1:5" ht="14.25" customHeight="1" x14ac:dyDescent="0.25">
      <c r="B512" s="478" t="s">
        <v>823</v>
      </c>
      <c r="C512" s="371">
        <v>641318</v>
      </c>
      <c r="D512" s="371">
        <v>0</v>
      </c>
      <c r="E512" s="371">
        <v>641318</v>
      </c>
    </row>
    <row r="513" spans="1:5" ht="14.25" customHeight="1" x14ac:dyDescent="0.25">
      <c r="B513" s="362" t="s">
        <v>824</v>
      </c>
      <c r="C513" s="363">
        <v>100</v>
      </c>
      <c r="D513" s="363">
        <v>0</v>
      </c>
      <c r="E513" s="363">
        <v>100</v>
      </c>
    </row>
    <row r="514" spans="1:5" ht="14.25" customHeight="1" x14ac:dyDescent="0.25">
      <c r="B514" s="362" t="s">
        <v>828</v>
      </c>
      <c r="C514" s="363">
        <v>641218</v>
      </c>
      <c r="D514" s="363">
        <v>0</v>
      </c>
      <c r="E514" s="363">
        <v>641218</v>
      </c>
    </row>
    <row r="515" spans="1:5" ht="21" customHeight="1" x14ac:dyDescent="0.25"/>
    <row r="516" spans="1:5" ht="19.5" customHeight="1" x14ac:dyDescent="0.25">
      <c r="A516" s="511" t="s">
        <v>926</v>
      </c>
      <c r="B516" s="512"/>
      <c r="C516" s="512"/>
      <c r="D516" s="512"/>
      <c r="E516" s="512"/>
    </row>
    <row r="517" spans="1:5" ht="14.25" customHeight="1" x14ac:dyDescent="0.25">
      <c r="B517" s="478" t="s">
        <v>823</v>
      </c>
      <c r="C517" s="371">
        <v>7281707</v>
      </c>
      <c r="D517" s="371">
        <v>386028</v>
      </c>
      <c r="E517" s="371">
        <v>7667735</v>
      </c>
    </row>
    <row r="518" spans="1:5" ht="14.25" customHeight="1" x14ac:dyDescent="0.25">
      <c r="B518" s="362" t="s">
        <v>830</v>
      </c>
      <c r="C518" s="363">
        <v>4158470</v>
      </c>
      <c r="D518" s="363">
        <v>316117</v>
      </c>
      <c r="E518" s="363">
        <v>4474587</v>
      </c>
    </row>
    <row r="519" spans="1:5" ht="14.25" customHeight="1" x14ac:dyDescent="0.25">
      <c r="B519" s="362" t="s">
        <v>824</v>
      </c>
      <c r="C519" s="363">
        <v>1093910</v>
      </c>
      <c r="D519" s="363">
        <v>-5055</v>
      </c>
      <c r="E519" s="363">
        <v>1088855</v>
      </c>
    </row>
    <row r="520" spans="1:5" ht="14.25" customHeight="1" x14ac:dyDescent="0.25">
      <c r="B520" s="362" t="s">
        <v>827</v>
      </c>
      <c r="C520" s="363">
        <v>1801200</v>
      </c>
      <c r="D520" s="363">
        <v>0</v>
      </c>
      <c r="E520" s="363">
        <v>1801200</v>
      </c>
    </row>
    <row r="521" spans="1:5" ht="14.25" customHeight="1" x14ac:dyDescent="0.25">
      <c r="B521" s="362" t="s">
        <v>831</v>
      </c>
      <c r="C521" s="363">
        <v>228127</v>
      </c>
      <c r="D521" s="363">
        <v>74966</v>
      </c>
      <c r="E521" s="363">
        <v>303093</v>
      </c>
    </row>
    <row r="522" spans="1:5" ht="18" customHeight="1" x14ac:dyDescent="0.25"/>
    <row r="523" spans="1:5" ht="19.5" customHeight="1" x14ac:dyDescent="0.25">
      <c r="A523" s="511" t="s">
        <v>842</v>
      </c>
      <c r="B523" s="512"/>
      <c r="C523" s="512"/>
      <c r="D523" s="512"/>
      <c r="E523" s="512"/>
    </row>
    <row r="524" spans="1:5" ht="14.25" customHeight="1" x14ac:dyDescent="0.25">
      <c r="B524" s="478" t="s">
        <v>823</v>
      </c>
      <c r="C524" s="371">
        <v>10481311</v>
      </c>
      <c r="D524" s="371">
        <v>2893813</v>
      </c>
      <c r="E524" s="371">
        <v>13375124</v>
      </c>
    </row>
    <row r="525" spans="1:5" ht="14.25" customHeight="1" x14ac:dyDescent="0.25">
      <c r="B525" s="362" t="s">
        <v>830</v>
      </c>
      <c r="C525" s="363">
        <v>7336112</v>
      </c>
      <c r="D525" s="363">
        <v>2555101</v>
      </c>
      <c r="E525" s="363">
        <v>9891213</v>
      </c>
    </row>
    <row r="526" spans="1:5" ht="14.25" customHeight="1" x14ac:dyDescent="0.25">
      <c r="B526" s="362" t="s">
        <v>824</v>
      </c>
      <c r="C526" s="363">
        <v>2478222</v>
      </c>
      <c r="D526" s="363">
        <v>343066</v>
      </c>
      <c r="E526" s="363">
        <v>2821288</v>
      </c>
    </row>
    <row r="527" spans="1:5" ht="14.25" customHeight="1" x14ac:dyDescent="0.25">
      <c r="B527" s="362" t="s">
        <v>827</v>
      </c>
      <c r="C527" s="363">
        <v>244800</v>
      </c>
      <c r="D527" s="363">
        <v>0</v>
      </c>
      <c r="E527" s="363">
        <v>244800</v>
      </c>
    </row>
    <row r="528" spans="1:5" ht="14.25" customHeight="1" x14ac:dyDescent="0.25">
      <c r="B528" s="362" t="s">
        <v>831</v>
      </c>
      <c r="C528" s="363">
        <v>393902</v>
      </c>
      <c r="D528" s="363">
        <v>-4354</v>
      </c>
      <c r="E528" s="363">
        <v>389548</v>
      </c>
    </row>
    <row r="529" spans="1:5" ht="14.25" customHeight="1" x14ac:dyDescent="0.25">
      <c r="B529" s="362" t="s">
        <v>904</v>
      </c>
      <c r="C529" s="363">
        <v>28275</v>
      </c>
      <c r="D529" s="363">
        <v>0</v>
      </c>
      <c r="E529" s="363">
        <v>28275</v>
      </c>
    </row>
    <row r="530" spans="1:5" ht="18" customHeight="1" x14ac:dyDescent="0.25"/>
    <row r="531" spans="1:5" ht="19.5" customHeight="1" x14ac:dyDescent="0.25">
      <c r="A531" s="511" t="s">
        <v>843</v>
      </c>
      <c r="B531" s="512"/>
      <c r="C531" s="512"/>
      <c r="D531" s="512"/>
      <c r="E531" s="512"/>
    </row>
    <row r="532" spans="1:5" ht="14.25" customHeight="1" x14ac:dyDescent="0.25">
      <c r="B532" s="478" t="s">
        <v>823</v>
      </c>
      <c r="C532" s="371">
        <v>1602814</v>
      </c>
      <c r="D532" s="371">
        <v>597805</v>
      </c>
      <c r="E532" s="371">
        <v>2200619</v>
      </c>
    </row>
    <row r="533" spans="1:5" ht="14.25" customHeight="1" x14ac:dyDescent="0.25">
      <c r="B533" s="362" t="s">
        <v>830</v>
      </c>
      <c r="C533" s="363">
        <v>1165288</v>
      </c>
      <c r="D533" s="363">
        <v>477573</v>
      </c>
      <c r="E533" s="363">
        <v>1642861</v>
      </c>
    </row>
    <row r="534" spans="1:5" ht="14.25" customHeight="1" x14ac:dyDescent="0.25">
      <c r="B534" s="362" t="s">
        <v>824</v>
      </c>
      <c r="C534" s="363">
        <v>347176</v>
      </c>
      <c r="D534" s="363">
        <v>116443</v>
      </c>
      <c r="E534" s="363">
        <v>463619</v>
      </c>
    </row>
    <row r="535" spans="1:5" ht="14.25" customHeight="1" x14ac:dyDescent="0.25">
      <c r="B535" s="362" t="s">
        <v>831</v>
      </c>
      <c r="C535" s="363">
        <v>90350</v>
      </c>
      <c r="D535" s="363">
        <v>3789</v>
      </c>
      <c r="E535" s="363">
        <v>94139</v>
      </c>
    </row>
    <row r="536" spans="1:5" ht="19.5" customHeight="1" x14ac:dyDescent="0.25"/>
    <row r="537" spans="1:5" ht="19.5" customHeight="1" x14ac:dyDescent="0.25">
      <c r="A537" s="511" t="s">
        <v>927</v>
      </c>
      <c r="B537" s="512"/>
      <c r="C537" s="512"/>
      <c r="D537" s="512"/>
      <c r="E537" s="512"/>
    </row>
    <row r="538" spans="1:5" ht="14.25" customHeight="1" x14ac:dyDescent="0.25">
      <c r="B538" s="478" t="s">
        <v>823</v>
      </c>
      <c r="C538" s="371">
        <v>147829</v>
      </c>
      <c r="D538" s="371">
        <v>105860</v>
      </c>
      <c r="E538" s="371">
        <v>253689</v>
      </c>
    </row>
    <row r="539" spans="1:5" ht="14.25" customHeight="1" x14ac:dyDescent="0.25">
      <c r="B539" s="362" t="s">
        <v>830</v>
      </c>
      <c r="C539" s="363">
        <v>931</v>
      </c>
      <c r="D539" s="363">
        <v>0</v>
      </c>
      <c r="E539" s="363">
        <v>931</v>
      </c>
    </row>
    <row r="540" spans="1:5" ht="14.25" customHeight="1" x14ac:dyDescent="0.25">
      <c r="B540" s="362" t="s">
        <v>824</v>
      </c>
      <c r="C540" s="363">
        <v>141346</v>
      </c>
      <c r="D540" s="363">
        <v>100351</v>
      </c>
      <c r="E540" s="363">
        <v>241697</v>
      </c>
    </row>
    <row r="541" spans="1:5" ht="14.25" customHeight="1" x14ac:dyDescent="0.25">
      <c r="B541" s="362" t="s">
        <v>831</v>
      </c>
      <c r="C541" s="363">
        <v>5552</v>
      </c>
      <c r="D541" s="363">
        <v>5509</v>
      </c>
      <c r="E541" s="363">
        <v>11061</v>
      </c>
    </row>
    <row r="542" spans="1:5" ht="16.5" customHeight="1" x14ac:dyDescent="0.25"/>
    <row r="543" spans="1:5" ht="30.75" customHeight="1" x14ac:dyDescent="0.25">
      <c r="A543" s="511" t="s">
        <v>928</v>
      </c>
      <c r="B543" s="512"/>
      <c r="C543" s="512"/>
      <c r="D543" s="512"/>
      <c r="E543" s="512"/>
    </row>
    <row r="544" spans="1:5" ht="14.25" customHeight="1" x14ac:dyDescent="0.25">
      <c r="B544" s="478" t="s">
        <v>823</v>
      </c>
      <c r="C544" s="371">
        <v>785536</v>
      </c>
      <c r="D544" s="371">
        <v>0</v>
      </c>
      <c r="E544" s="371">
        <v>785536</v>
      </c>
    </row>
    <row r="545" spans="1:5" ht="14.25" customHeight="1" x14ac:dyDescent="0.25">
      <c r="B545" s="362" t="s">
        <v>831</v>
      </c>
      <c r="C545" s="363">
        <v>785536</v>
      </c>
      <c r="D545" s="363">
        <v>0</v>
      </c>
      <c r="E545" s="363">
        <v>785536</v>
      </c>
    </row>
    <row r="547" spans="1:5" ht="19.5" customHeight="1" x14ac:dyDescent="0.25">
      <c r="A547" s="511" t="s">
        <v>929</v>
      </c>
      <c r="B547" s="512"/>
      <c r="C547" s="512"/>
      <c r="D547" s="512"/>
      <c r="E547" s="512"/>
    </row>
    <row r="548" spans="1:5" ht="14.25" customHeight="1" x14ac:dyDescent="0.25">
      <c r="B548" s="478" t="s">
        <v>823</v>
      </c>
      <c r="C548" s="371">
        <v>903184</v>
      </c>
      <c r="D548" s="371">
        <v>133500</v>
      </c>
      <c r="E548" s="371">
        <v>1036684</v>
      </c>
    </row>
    <row r="549" spans="1:5" ht="14.25" customHeight="1" x14ac:dyDescent="0.25">
      <c r="B549" s="362" t="s">
        <v>830</v>
      </c>
      <c r="C549" s="363">
        <v>540130</v>
      </c>
      <c r="D549" s="363">
        <v>143518</v>
      </c>
      <c r="E549" s="363">
        <v>683648</v>
      </c>
    </row>
    <row r="550" spans="1:5" ht="14.25" customHeight="1" x14ac:dyDescent="0.25">
      <c r="B550" s="362" t="s">
        <v>824</v>
      </c>
      <c r="C550" s="363">
        <v>198842</v>
      </c>
      <c r="D550" s="363">
        <v>-6084</v>
      </c>
      <c r="E550" s="363">
        <v>192758</v>
      </c>
    </row>
    <row r="551" spans="1:5" ht="14.25" customHeight="1" x14ac:dyDescent="0.25">
      <c r="B551" s="362" t="s">
        <v>831</v>
      </c>
      <c r="C551" s="363">
        <v>55838</v>
      </c>
      <c r="D551" s="363">
        <v>-2534</v>
      </c>
      <c r="E551" s="363">
        <v>53304</v>
      </c>
    </row>
    <row r="552" spans="1:5" ht="14.25" customHeight="1" x14ac:dyDescent="0.25">
      <c r="B552" s="362" t="s">
        <v>904</v>
      </c>
      <c r="C552" s="363">
        <v>108374</v>
      </c>
      <c r="D552" s="363">
        <v>-1400</v>
      </c>
      <c r="E552" s="363">
        <v>106974</v>
      </c>
    </row>
    <row r="554" spans="1:5" ht="19.5" customHeight="1" x14ac:dyDescent="0.25">
      <c r="A554" s="511" t="s">
        <v>930</v>
      </c>
      <c r="B554" s="512"/>
      <c r="C554" s="512"/>
      <c r="D554" s="512"/>
      <c r="E554" s="512"/>
    </row>
    <row r="555" spans="1:5" ht="14.25" customHeight="1" x14ac:dyDescent="0.25">
      <c r="B555" s="478" t="s">
        <v>823</v>
      </c>
      <c r="C555" s="371">
        <v>829828</v>
      </c>
      <c r="D555" s="371">
        <v>58751</v>
      </c>
      <c r="E555" s="371">
        <v>888579</v>
      </c>
    </row>
    <row r="556" spans="1:5" ht="14.25" customHeight="1" x14ac:dyDescent="0.25">
      <c r="B556" s="362" t="s">
        <v>830</v>
      </c>
      <c r="C556" s="363">
        <v>372299</v>
      </c>
      <c r="D556" s="363">
        <v>28273</v>
      </c>
      <c r="E556" s="363">
        <v>400572</v>
      </c>
    </row>
    <row r="557" spans="1:5" ht="14.25" customHeight="1" x14ac:dyDescent="0.25">
      <c r="B557" s="362" t="s">
        <v>824</v>
      </c>
      <c r="C557" s="363">
        <v>333823</v>
      </c>
      <c r="D557" s="363">
        <v>4678</v>
      </c>
      <c r="E557" s="363">
        <v>338501</v>
      </c>
    </row>
    <row r="558" spans="1:5" ht="14.25" customHeight="1" x14ac:dyDescent="0.25">
      <c r="B558" s="362" t="s">
        <v>904</v>
      </c>
      <c r="C558" s="363">
        <v>123706</v>
      </c>
      <c r="D558" s="363">
        <v>25800</v>
      </c>
      <c r="E558" s="363">
        <v>149506</v>
      </c>
    </row>
    <row r="560" spans="1:5" ht="19.5" customHeight="1" x14ac:dyDescent="0.25">
      <c r="A560" s="511" t="s">
        <v>931</v>
      </c>
      <c r="B560" s="512"/>
      <c r="C560" s="512"/>
      <c r="D560" s="512"/>
      <c r="E560" s="512"/>
    </row>
    <row r="561" spans="1:5" ht="14.25" customHeight="1" x14ac:dyDescent="0.25">
      <c r="B561" s="478" t="s">
        <v>823</v>
      </c>
      <c r="C561" s="371">
        <v>767453</v>
      </c>
      <c r="D561" s="371">
        <v>180364</v>
      </c>
      <c r="E561" s="371">
        <v>947817</v>
      </c>
    </row>
    <row r="562" spans="1:5" ht="14.25" customHeight="1" x14ac:dyDescent="0.25">
      <c r="B562" s="362" t="s">
        <v>830</v>
      </c>
      <c r="C562" s="363">
        <v>538166</v>
      </c>
      <c r="D562" s="363">
        <v>181269</v>
      </c>
      <c r="E562" s="363">
        <v>719435</v>
      </c>
    </row>
    <row r="563" spans="1:5" ht="14.25" customHeight="1" x14ac:dyDescent="0.25">
      <c r="B563" s="362" t="s">
        <v>824</v>
      </c>
      <c r="C563" s="363">
        <v>174123</v>
      </c>
      <c r="D563" s="363">
        <v>-1425</v>
      </c>
      <c r="E563" s="363">
        <v>172698</v>
      </c>
    </row>
    <row r="564" spans="1:5" ht="14.25" customHeight="1" x14ac:dyDescent="0.25">
      <c r="B564" s="362" t="s">
        <v>831</v>
      </c>
      <c r="C564" s="363">
        <v>55164</v>
      </c>
      <c r="D564" s="363">
        <v>520</v>
      </c>
      <c r="E564" s="363">
        <v>55684</v>
      </c>
    </row>
    <row r="566" spans="1:5" ht="19.5" customHeight="1" x14ac:dyDescent="0.25">
      <c r="A566" s="511" t="s">
        <v>932</v>
      </c>
      <c r="B566" s="512"/>
      <c r="C566" s="512"/>
      <c r="D566" s="512"/>
      <c r="E566" s="512"/>
    </row>
    <row r="567" spans="1:5" ht="14.25" customHeight="1" x14ac:dyDescent="0.25">
      <c r="B567" s="478" t="s">
        <v>823</v>
      </c>
      <c r="C567" s="371">
        <v>227528</v>
      </c>
      <c r="D567" s="371">
        <v>28401</v>
      </c>
      <c r="E567" s="371">
        <v>255929</v>
      </c>
    </row>
    <row r="568" spans="1:5" ht="14.25" customHeight="1" x14ac:dyDescent="0.25">
      <c r="B568" s="362" t="s">
        <v>830</v>
      </c>
      <c r="C568" s="363">
        <v>153439</v>
      </c>
      <c r="D568" s="363">
        <v>28401</v>
      </c>
      <c r="E568" s="363">
        <v>181840</v>
      </c>
    </row>
    <row r="569" spans="1:5" ht="14.25" customHeight="1" x14ac:dyDescent="0.25">
      <c r="B569" s="362" t="s">
        <v>824</v>
      </c>
      <c r="C569" s="363">
        <v>68507</v>
      </c>
      <c r="D569" s="363">
        <v>-4380</v>
      </c>
      <c r="E569" s="363">
        <v>64127</v>
      </c>
    </row>
    <row r="570" spans="1:5" ht="14.25" customHeight="1" x14ac:dyDescent="0.25">
      <c r="B570" s="362" t="s">
        <v>831</v>
      </c>
      <c r="C570" s="363">
        <v>5582</v>
      </c>
      <c r="D570" s="363">
        <v>4380</v>
      </c>
      <c r="E570" s="363">
        <v>9962</v>
      </c>
    </row>
    <row r="572" spans="1:5" ht="19.5" customHeight="1" x14ac:dyDescent="0.25">
      <c r="A572" s="511" t="s">
        <v>933</v>
      </c>
      <c r="B572" s="512"/>
      <c r="C572" s="512"/>
      <c r="D572" s="512"/>
      <c r="E572" s="512"/>
    </row>
    <row r="573" spans="1:5" ht="14.25" customHeight="1" x14ac:dyDescent="0.25">
      <c r="B573" s="478" t="s">
        <v>823</v>
      </c>
      <c r="C573" s="371">
        <v>13528</v>
      </c>
      <c r="D573" s="371">
        <v>0</v>
      </c>
      <c r="E573" s="371">
        <v>13528</v>
      </c>
    </row>
    <row r="574" spans="1:5" ht="14.25" customHeight="1" x14ac:dyDescent="0.25">
      <c r="B574" s="362" t="s">
        <v>830</v>
      </c>
      <c r="C574" s="363">
        <v>1740</v>
      </c>
      <c r="D574" s="363">
        <v>0</v>
      </c>
      <c r="E574" s="363">
        <v>1740</v>
      </c>
    </row>
    <row r="575" spans="1:5" ht="14.25" customHeight="1" x14ac:dyDescent="0.25">
      <c r="B575" s="362" t="s">
        <v>824</v>
      </c>
      <c r="C575" s="363">
        <v>11788</v>
      </c>
      <c r="D575" s="363">
        <v>0</v>
      </c>
      <c r="E575" s="363">
        <v>11788</v>
      </c>
    </row>
    <row r="576" spans="1:5" ht="14.25" customHeight="1" x14ac:dyDescent="0.25">
      <c r="B576" s="362" t="s">
        <v>904</v>
      </c>
      <c r="C576" s="363">
        <v>0</v>
      </c>
      <c r="D576" s="363">
        <v>0</v>
      </c>
      <c r="E576" s="363">
        <v>0</v>
      </c>
    </row>
    <row r="578" spans="1:5" ht="19.5" customHeight="1" x14ac:dyDescent="0.25">
      <c r="A578" s="511" t="s">
        <v>844</v>
      </c>
      <c r="B578" s="512"/>
      <c r="C578" s="512"/>
      <c r="D578" s="512"/>
      <c r="E578" s="512"/>
    </row>
    <row r="579" spans="1:5" ht="14.25" customHeight="1" x14ac:dyDescent="0.25">
      <c r="B579" s="478" t="s">
        <v>823</v>
      </c>
      <c r="C579" s="371">
        <v>730795</v>
      </c>
      <c r="D579" s="371">
        <v>-5000</v>
      </c>
      <c r="E579" s="371">
        <v>725795</v>
      </c>
    </row>
    <row r="580" spans="1:5" ht="14.25" customHeight="1" x14ac:dyDescent="0.25">
      <c r="B580" s="362" t="s">
        <v>830</v>
      </c>
      <c r="C580" s="363">
        <v>572584</v>
      </c>
      <c r="D580" s="363">
        <v>1900</v>
      </c>
      <c r="E580" s="363">
        <v>574484</v>
      </c>
    </row>
    <row r="581" spans="1:5" ht="14.25" customHeight="1" x14ac:dyDescent="0.25">
      <c r="B581" s="362" t="s">
        <v>824</v>
      </c>
      <c r="C581" s="363">
        <v>141485</v>
      </c>
      <c r="D581" s="363">
        <v>-1900</v>
      </c>
      <c r="E581" s="363">
        <v>139585</v>
      </c>
    </row>
    <row r="582" spans="1:5" ht="14.25" customHeight="1" x14ac:dyDescent="0.25">
      <c r="B582" s="362" t="s">
        <v>831</v>
      </c>
      <c r="C582" s="363">
        <v>13900</v>
      </c>
      <c r="D582" s="363">
        <v>-5000</v>
      </c>
      <c r="E582" s="363">
        <v>8900</v>
      </c>
    </row>
    <row r="583" spans="1:5" ht="14.25" customHeight="1" x14ac:dyDescent="0.25">
      <c r="B583" s="362" t="s">
        <v>904</v>
      </c>
      <c r="C583" s="363">
        <v>2826</v>
      </c>
      <c r="D583" s="363">
        <v>0</v>
      </c>
      <c r="E583" s="363">
        <v>2826</v>
      </c>
    </row>
    <row r="584" spans="1:5" ht="9" customHeight="1" x14ac:dyDescent="0.25"/>
    <row r="585" spans="1:5" ht="19.5" customHeight="1" x14ac:dyDescent="0.25">
      <c r="A585" s="511" t="s">
        <v>934</v>
      </c>
      <c r="B585" s="512"/>
      <c r="C585" s="512"/>
      <c r="D585" s="512"/>
      <c r="E585" s="512"/>
    </row>
    <row r="586" spans="1:5" ht="14.25" customHeight="1" x14ac:dyDescent="0.25">
      <c r="B586" s="478" t="s">
        <v>823</v>
      </c>
      <c r="C586" s="371">
        <v>335777</v>
      </c>
      <c r="D586" s="371">
        <v>155555</v>
      </c>
      <c r="E586" s="371">
        <v>491332</v>
      </c>
    </row>
    <row r="587" spans="1:5" ht="14.25" customHeight="1" x14ac:dyDescent="0.25">
      <c r="B587" s="362" t="s">
        <v>830</v>
      </c>
      <c r="C587" s="363">
        <v>270027</v>
      </c>
      <c r="D587" s="363">
        <v>125280</v>
      </c>
      <c r="E587" s="363">
        <v>395307</v>
      </c>
    </row>
    <row r="588" spans="1:5" ht="14.25" customHeight="1" x14ac:dyDescent="0.25">
      <c r="B588" s="362" t="s">
        <v>824</v>
      </c>
      <c r="C588" s="363">
        <v>65750</v>
      </c>
      <c r="D588" s="363">
        <v>29332</v>
      </c>
      <c r="E588" s="363">
        <v>95082</v>
      </c>
    </row>
    <row r="589" spans="1:5" ht="14.25" customHeight="1" x14ac:dyDescent="0.25">
      <c r="B589" s="362" t="s">
        <v>831</v>
      </c>
      <c r="C589" s="363">
        <v>0</v>
      </c>
      <c r="D589" s="363">
        <v>943</v>
      </c>
      <c r="E589" s="363">
        <v>943</v>
      </c>
    </row>
    <row r="590" spans="1:5" ht="14.25" customHeight="1" x14ac:dyDescent="0.25">
      <c r="B590" s="362" t="s">
        <v>904</v>
      </c>
      <c r="C590" s="363">
        <v>0</v>
      </c>
      <c r="D590" s="363">
        <v>0</v>
      </c>
      <c r="E590" s="363">
        <v>0</v>
      </c>
    </row>
    <row r="592" spans="1:5" ht="19.5" customHeight="1" x14ac:dyDescent="0.25">
      <c r="A592" s="511" t="s">
        <v>935</v>
      </c>
      <c r="B592" s="512"/>
      <c r="C592" s="512"/>
      <c r="D592" s="512"/>
      <c r="E592" s="512"/>
    </row>
    <row r="593" spans="1:5" ht="14.25" customHeight="1" x14ac:dyDescent="0.25">
      <c r="B593" s="478" t="s">
        <v>823</v>
      </c>
      <c r="C593" s="371">
        <v>73753</v>
      </c>
      <c r="D593" s="371">
        <v>0</v>
      </c>
      <c r="E593" s="371">
        <v>73753</v>
      </c>
    </row>
    <row r="594" spans="1:5" ht="14.25" customHeight="1" x14ac:dyDescent="0.25">
      <c r="B594" s="362" t="s">
        <v>830</v>
      </c>
      <c r="C594" s="363">
        <v>68051</v>
      </c>
      <c r="D594" s="363">
        <v>0</v>
      </c>
      <c r="E594" s="363">
        <v>68051</v>
      </c>
    </row>
    <row r="595" spans="1:5" ht="14.25" customHeight="1" x14ac:dyDescent="0.25">
      <c r="B595" s="362" t="s">
        <v>824</v>
      </c>
      <c r="C595" s="363">
        <v>5212</v>
      </c>
      <c r="D595" s="363">
        <v>0</v>
      </c>
      <c r="E595" s="363">
        <v>5212</v>
      </c>
    </row>
    <row r="596" spans="1:5" ht="14.25" customHeight="1" x14ac:dyDescent="0.25">
      <c r="B596" s="362" t="s">
        <v>831</v>
      </c>
      <c r="C596" s="363">
        <v>490</v>
      </c>
      <c r="D596" s="363">
        <v>0</v>
      </c>
      <c r="E596" s="363">
        <v>490</v>
      </c>
    </row>
    <row r="598" spans="1:5" ht="19.5" customHeight="1" x14ac:dyDescent="0.25">
      <c r="A598" s="511" t="s">
        <v>936</v>
      </c>
      <c r="B598" s="512"/>
      <c r="C598" s="512"/>
      <c r="D598" s="512"/>
      <c r="E598" s="512"/>
    </row>
    <row r="599" spans="1:5" ht="14.25" customHeight="1" x14ac:dyDescent="0.25">
      <c r="B599" s="478" t="s">
        <v>823</v>
      </c>
      <c r="C599" s="371">
        <v>245000</v>
      </c>
      <c r="D599" s="371">
        <v>0</v>
      </c>
      <c r="E599" s="371">
        <v>245000</v>
      </c>
    </row>
    <row r="600" spans="1:5" ht="14.25" customHeight="1" x14ac:dyDescent="0.25">
      <c r="B600" s="362" t="s">
        <v>904</v>
      </c>
      <c r="C600" s="363">
        <v>245000</v>
      </c>
      <c r="D600" s="363">
        <v>0</v>
      </c>
      <c r="E600" s="363">
        <v>245000</v>
      </c>
    </row>
    <row r="602" spans="1:5" ht="35.25" customHeight="1" x14ac:dyDescent="0.25">
      <c r="A602" s="515" t="s">
        <v>937</v>
      </c>
      <c r="B602" s="516"/>
      <c r="C602" s="516"/>
      <c r="D602" s="516"/>
      <c r="E602" s="516"/>
    </row>
    <row r="603" spans="1:5" ht="14.25" customHeight="1" x14ac:dyDescent="0.25">
      <c r="B603" s="480" t="s">
        <v>823</v>
      </c>
      <c r="C603" s="369">
        <v>175949</v>
      </c>
      <c r="D603" s="369">
        <v>0</v>
      </c>
      <c r="E603" s="369">
        <v>175949</v>
      </c>
    </row>
    <row r="604" spans="1:5" ht="14.25" customHeight="1" x14ac:dyDescent="0.25">
      <c r="B604" s="480" t="s">
        <v>830</v>
      </c>
      <c r="C604" s="369">
        <v>151850</v>
      </c>
      <c r="D604" s="369">
        <v>0</v>
      </c>
      <c r="E604" s="369">
        <v>151850</v>
      </c>
    </row>
    <row r="605" spans="1:5" ht="14.25" customHeight="1" x14ac:dyDescent="0.25">
      <c r="B605" s="480" t="s">
        <v>824</v>
      </c>
      <c r="C605" s="369">
        <v>22045</v>
      </c>
      <c r="D605" s="369">
        <v>0</v>
      </c>
      <c r="E605" s="369">
        <v>22045</v>
      </c>
    </row>
    <row r="606" spans="1:5" ht="14.25" customHeight="1" x14ac:dyDescent="0.25">
      <c r="B606" s="480" t="s">
        <v>831</v>
      </c>
      <c r="C606" s="369">
        <v>2054</v>
      </c>
      <c r="D606" s="369">
        <v>0</v>
      </c>
      <c r="E606" s="369">
        <v>2054</v>
      </c>
    </row>
    <row r="607" spans="1:5" x14ac:dyDescent="0.25">
      <c r="B607" s="487"/>
      <c r="C607" s="487"/>
      <c r="D607" s="487"/>
      <c r="E607" s="487"/>
    </row>
    <row r="608" spans="1:5" ht="19.5" customHeight="1" x14ac:dyDescent="0.25">
      <c r="A608" s="511" t="s">
        <v>938</v>
      </c>
      <c r="B608" s="512"/>
      <c r="C608" s="512"/>
      <c r="D608" s="512"/>
      <c r="E608" s="512"/>
    </row>
    <row r="609" spans="1:5" ht="14.25" customHeight="1" x14ac:dyDescent="0.25">
      <c r="B609" s="478" t="s">
        <v>823</v>
      </c>
      <c r="C609" s="371">
        <v>175949</v>
      </c>
      <c r="D609" s="371">
        <v>0</v>
      </c>
      <c r="E609" s="371">
        <v>175949</v>
      </c>
    </row>
    <row r="610" spans="1:5" ht="14.25" customHeight="1" x14ac:dyDescent="0.25">
      <c r="B610" s="362" t="s">
        <v>830</v>
      </c>
      <c r="C610" s="363">
        <v>151850</v>
      </c>
      <c r="D610" s="363">
        <v>0</v>
      </c>
      <c r="E610" s="363">
        <v>151850</v>
      </c>
    </row>
    <row r="611" spans="1:5" ht="14.25" customHeight="1" x14ac:dyDescent="0.25">
      <c r="B611" s="362" t="s">
        <v>824</v>
      </c>
      <c r="C611" s="363">
        <v>22045</v>
      </c>
      <c r="D611" s="363">
        <v>0</v>
      </c>
      <c r="E611" s="363">
        <v>22045</v>
      </c>
    </row>
    <row r="612" spans="1:5" ht="14.25" customHeight="1" x14ac:dyDescent="0.25">
      <c r="B612" s="362" t="s">
        <v>831</v>
      </c>
      <c r="C612" s="363">
        <v>2054</v>
      </c>
      <c r="D612" s="363">
        <v>0</v>
      </c>
      <c r="E612" s="363">
        <v>2054</v>
      </c>
    </row>
    <row r="613" spans="1:5" ht="20.25" customHeight="1" x14ac:dyDescent="0.25"/>
    <row r="614" spans="1:5" ht="38.25" customHeight="1" x14ac:dyDescent="0.25">
      <c r="A614" s="515" t="s">
        <v>845</v>
      </c>
      <c r="B614" s="516"/>
      <c r="C614" s="516"/>
      <c r="D614" s="516"/>
      <c r="E614" s="516"/>
    </row>
    <row r="615" spans="1:5" ht="14.25" customHeight="1" x14ac:dyDescent="0.25">
      <c r="B615" s="480" t="s">
        <v>823</v>
      </c>
      <c r="C615" s="369">
        <v>4198934</v>
      </c>
      <c r="D615" s="369">
        <v>26700</v>
      </c>
      <c r="E615" s="369">
        <v>4225634</v>
      </c>
    </row>
    <row r="616" spans="1:5" ht="14.25" customHeight="1" x14ac:dyDescent="0.25">
      <c r="B616" s="480" t="s">
        <v>830</v>
      </c>
      <c r="C616" s="369">
        <v>1530269</v>
      </c>
      <c r="D616" s="369">
        <v>0</v>
      </c>
      <c r="E616" s="369">
        <v>1530269</v>
      </c>
    </row>
    <row r="617" spans="1:5" ht="14.25" customHeight="1" x14ac:dyDescent="0.25">
      <c r="B617" s="480" t="s">
        <v>824</v>
      </c>
      <c r="C617" s="369">
        <v>305408</v>
      </c>
      <c r="D617" s="369">
        <v>0</v>
      </c>
      <c r="E617" s="369">
        <v>305408</v>
      </c>
    </row>
    <row r="618" spans="1:5" ht="14.25" customHeight="1" x14ac:dyDescent="0.25">
      <c r="B618" s="480" t="s">
        <v>827</v>
      </c>
      <c r="C618" s="369">
        <v>14711</v>
      </c>
      <c r="D618" s="369">
        <v>0</v>
      </c>
      <c r="E618" s="369">
        <v>14711</v>
      </c>
    </row>
    <row r="619" spans="1:5" ht="14.25" customHeight="1" x14ac:dyDescent="0.25">
      <c r="B619" s="480" t="s">
        <v>831</v>
      </c>
      <c r="C619" s="369">
        <v>40663</v>
      </c>
      <c r="D619" s="369">
        <v>0</v>
      </c>
      <c r="E619" s="369">
        <v>40663</v>
      </c>
    </row>
    <row r="620" spans="1:5" ht="14.25" customHeight="1" x14ac:dyDescent="0.25">
      <c r="B620" s="480" t="s">
        <v>904</v>
      </c>
      <c r="C620" s="369">
        <v>1816098</v>
      </c>
      <c r="D620" s="369">
        <v>-14000</v>
      </c>
      <c r="E620" s="369">
        <v>1802098</v>
      </c>
    </row>
    <row r="621" spans="1:5" ht="30" x14ac:dyDescent="0.25">
      <c r="B621" s="480" t="s">
        <v>828</v>
      </c>
      <c r="C621" s="369">
        <v>491785</v>
      </c>
      <c r="D621" s="369">
        <v>40700</v>
      </c>
      <c r="E621" s="369">
        <v>532485</v>
      </c>
    </row>
    <row r="622" spans="1:5" ht="9" customHeight="1" x14ac:dyDescent="0.25"/>
    <row r="623" spans="1:5" ht="19.5" customHeight="1" x14ac:dyDescent="0.25">
      <c r="A623" s="511" t="s">
        <v>939</v>
      </c>
      <c r="B623" s="512"/>
      <c r="C623" s="512"/>
      <c r="D623" s="512"/>
      <c r="E623" s="512"/>
    </row>
    <row r="624" spans="1:5" ht="14.25" customHeight="1" x14ac:dyDescent="0.25">
      <c r="B624" s="478" t="s">
        <v>823</v>
      </c>
      <c r="C624" s="371">
        <v>491785</v>
      </c>
      <c r="D624" s="371">
        <v>40700</v>
      </c>
      <c r="E624" s="371">
        <v>532485</v>
      </c>
    </row>
    <row r="625" spans="1:5" ht="14.25" customHeight="1" x14ac:dyDescent="0.25">
      <c r="B625" s="362" t="s">
        <v>828</v>
      </c>
      <c r="C625" s="363">
        <v>491785</v>
      </c>
      <c r="D625" s="363">
        <v>40700</v>
      </c>
      <c r="E625" s="363">
        <v>532485</v>
      </c>
    </row>
    <row r="627" spans="1:5" ht="19.5" customHeight="1" x14ac:dyDescent="0.25">
      <c r="A627" s="511" t="s">
        <v>940</v>
      </c>
      <c r="B627" s="512"/>
      <c r="C627" s="512"/>
      <c r="D627" s="512"/>
      <c r="E627" s="512"/>
    </row>
    <row r="628" spans="1:5" ht="14.25" customHeight="1" x14ac:dyDescent="0.25">
      <c r="B628" s="478" t="s">
        <v>823</v>
      </c>
      <c r="C628" s="371">
        <v>60000</v>
      </c>
      <c r="D628" s="371">
        <v>0</v>
      </c>
      <c r="E628" s="371">
        <v>60000</v>
      </c>
    </row>
    <row r="629" spans="1:5" ht="14.25" customHeight="1" x14ac:dyDescent="0.25">
      <c r="B629" s="362" t="s">
        <v>904</v>
      </c>
      <c r="C629" s="363">
        <v>60000</v>
      </c>
      <c r="D629" s="363">
        <v>0</v>
      </c>
      <c r="E629" s="363">
        <v>60000</v>
      </c>
    </row>
    <row r="631" spans="1:5" ht="19.5" customHeight="1" x14ac:dyDescent="0.25">
      <c r="A631" s="511" t="s">
        <v>941</v>
      </c>
      <c r="B631" s="512"/>
      <c r="C631" s="512"/>
      <c r="D631" s="512"/>
      <c r="E631" s="512"/>
    </row>
    <row r="632" spans="1:5" ht="14.25" customHeight="1" x14ac:dyDescent="0.25">
      <c r="B632" s="478" t="s">
        <v>823</v>
      </c>
      <c r="C632" s="371">
        <v>12400</v>
      </c>
      <c r="D632" s="371">
        <v>0</v>
      </c>
      <c r="E632" s="371">
        <v>12400</v>
      </c>
    </row>
    <row r="633" spans="1:5" ht="14.25" customHeight="1" x14ac:dyDescent="0.25">
      <c r="B633" s="362" t="s">
        <v>904</v>
      </c>
      <c r="C633" s="363">
        <v>12400</v>
      </c>
      <c r="D633" s="363">
        <v>0</v>
      </c>
      <c r="E633" s="363">
        <v>12400</v>
      </c>
    </row>
    <row r="635" spans="1:5" ht="19.5" customHeight="1" x14ac:dyDescent="0.25">
      <c r="A635" s="511" t="s">
        <v>942</v>
      </c>
      <c r="B635" s="512"/>
      <c r="C635" s="512"/>
      <c r="D635" s="512"/>
      <c r="E635" s="512"/>
    </row>
    <row r="636" spans="1:5" ht="14.25" customHeight="1" x14ac:dyDescent="0.25">
      <c r="B636" s="478" t="s">
        <v>823</v>
      </c>
      <c r="C636" s="371">
        <v>37000</v>
      </c>
      <c r="D636" s="371">
        <v>0</v>
      </c>
      <c r="E636" s="371">
        <v>37000</v>
      </c>
    </row>
    <row r="637" spans="1:5" ht="14.25" customHeight="1" x14ac:dyDescent="0.25">
      <c r="B637" s="362" t="s">
        <v>904</v>
      </c>
      <c r="C637" s="363">
        <v>37000</v>
      </c>
      <c r="D637" s="363">
        <v>0</v>
      </c>
      <c r="E637" s="363">
        <v>37000</v>
      </c>
    </row>
    <row r="639" spans="1:5" ht="19.5" customHeight="1" x14ac:dyDescent="0.25">
      <c r="A639" s="511" t="s">
        <v>846</v>
      </c>
      <c r="B639" s="512"/>
      <c r="C639" s="512"/>
      <c r="D639" s="512"/>
      <c r="E639" s="512"/>
    </row>
    <row r="640" spans="1:5" ht="14.25" customHeight="1" x14ac:dyDescent="0.25">
      <c r="B640" s="478" t="s">
        <v>823</v>
      </c>
      <c r="C640" s="371">
        <v>5000</v>
      </c>
      <c r="D640" s="371">
        <v>0</v>
      </c>
      <c r="E640" s="371">
        <v>5000</v>
      </c>
    </row>
    <row r="641" spans="1:5" ht="14.25" customHeight="1" x14ac:dyDescent="0.25">
      <c r="B641" s="362" t="s">
        <v>824</v>
      </c>
      <c r="C641" s="363">
        <v>5000</v>
      </c>
      <c r="D641" s="363">
        <v>0</v>
      </c>
      <c r="E641" s="363">
        <v>5000</v>
      </c>
    </row>
    <row r="643" spans="1:5" ht="19.5" customHeight="1" x14ac:dyDescent="0.25">
      <c r="A643" s="511" t="s">
        <v>943</v>
      </c>
      <c r="B643" s="512"/>
      <c r="C643" s="512"/>
      <c r="D643" s="512"/>
      <c r="E643" s="512"/>
    </row>
    <row r="644" spans="1:5" ht="14.25" customHeight="1" x14ac:dyDescent="0.25">
      <c r="B644" s="478" t="s">
        <v>823</v>
      </c>
      <c r="C644" s="371">
        <v>349163</v>
      </c>
      <c r="D644" s="371">
        <v>0</v>
      </c>
      <c r="E644" s="371">
        <v>349163</v>
      </c>
    </row>
    <row r="645" spans="1:5" ht="14.25" customHeight="1" x14ac:dyDescent="0.25">
      <c r="B645" s="362" t="s">
        <v>830</v>
      </c>
      <c r="C645" s="363">
        <v>219143</v>
      </c>
      <c r="D645" s="363">
        <v>0</v>
      </c>
      <c r="E645" s="363">
        <v>219143</v>
      </c>
    </row>
    <row r="646" spans="1:5" ht="14.25" customHeight="1" x14ac:dyDescent="0.25">
      <c r="B646" s="362" t="s">
        <v>824</v>
      </c>
      <c r="C646" s="363">
        <v>10452</v>
      </c>
      <c r="D646" s="363">
        <v>0</v>
      </c>
      <c r="E646" s="363">
        <v>10452</v>
      </c>
    </row>
    <row r="647" spans="1:5" ht="14.25" customHeight="1" x14ac:dyDescent="0.25">
      <c r="B647" s="362" t="s">
        <v>831</v>
      </c>
      <c r="C647" s="363">
        <v>14133</v>
      </c>
      <c r="D647" s="363">
        <v>0</v>
      </c>
      <c r="E647" s="363">
        <v>14133</v>
      </c>
    </row>
    <row r="648" spans="1:5" ht="14.25" customHeight="1" x14ac:dyDescent="0.25">
      <c r="B648" s="362" t="s">
        <v>904</v>
      </c>
      <c r="C648" s="363">
        <v>105435</v>
      </c>
      <c r="D648" s="363">
        <v>0</v>
      </c>
      <c r="E648" s="363">
        <v>105435</v>
      </c>
    </row>
    <row r="649" spans="1:5" ht="9.75" customHeight="1" x14ac:dyDescent="0.25"/>
    <row r="650" spans="1:5" ht="19.5" customHeight="1" x14ac:dyDescent="0.25">
      <c r="A650" s="511" t="s">
        <v>1019</v>
      </c>
      <c r="B650" s="512"/>
      <c r="C650" s="512"/>
      <c r="D650" s="512"/>
      <c r="E650" s="512"/>
    </row>
    <row r="651" spans="1:5" ht="14.25" customHeight="1" x14ac:dyDescent="0.25">
      <c r="B651" s="478" t="s">
        <v>823</v>
      </c>
      <c r="C651" s="371">
        <v>93454</v>
      </c>
      <c r="D651" s="371">
        <v>-1000</v>
      </c>
      <c r="E651" s="371">
        <v>92454</v>
      </c>
    </row>
    <row r="652" spans="1:5" ht="14.25" customHeight="1" x14ac:dyDescent="0.25">
      <c r="B652" s="362" t="s">
        <v>830</v>
      </c>
      <c r="C652" s="363">
        <v>70700</v>
      </c>
      <c r="D652" s="363">
        <v>0</v>
      </c>
      <c r="E652" s="363">
        <v>70700</v>
      </c>
    </row>
    <row r="653" spans="1:5" ht="14.25" customHeight="1" x14ac:dyDescent="0.25">
      <c r="B653" s="362" t="s">
        <v>824</v>
      </c>
      <c r="C653" s="363">
        <v>22754</v>
      </c>
      <c r="D653" s="363">
        <v>-1000</v>
      </c>
      <c r="E653" s="363">
        <v>21754</v>
      </c>
    </row>
    <row r="654" spans="1:5" ht="9" customHeight="1" x14ac:dyDescent="0.25"/>
    <row r="655" spans="1:5" ht="19.5" customHeight="1" x14ac:dyDescent="0.25">
      <c r="A655" s="511" t="s">
        <v>944</v>
      </c>
      <c r="B655" s="512"/>
      <c r="C655" s="512"/>
      <c r="D655" s="512"/>
      <c r="E655" s="512"/>
    </row>
    <row r="656" spans="1:5" ht="14.25" customHeight="1" x14ac:dyDescent="0.25">
      <c r="B656" s="478" t="s">
        <v>823</v>
      </c>
      <c r="C656" s="371">
        <v>76598</v>
      </c>
      <c r="D656" s="371">
        <v>0</v>
      </c>
      <c r="E656" s="371">
        <v>76598</v>
      </c>
    </row>
    <row r="657" spans="1:5" ht="14.25" customHeight="1" x14ac:dyDescent="0.25">
      <c r="B657" s="362" t="s">
        <v>830</v>
      </c>
      <c r="C657" s="363">
        <v>58165</v>
      </c>
      <c r="D657" s="363">
        <v>0</v>
      </c>
      <c r="E657" s="363">
        <v>58165</v>
      </c>
    </row>
    <row r="658" spans="1:5" ht="14.25" customHeight="1" x14ac:dyDescent="0.25">
      <c r="B658" s="362" t="s">
        <v>824</v>
      </c>
      <c r="C658" s="363">
        <v>17133</v>
      </c>
      <c r="D658" s="363">
        <v>0</v>
      </c>
      <c r="E658" s="363">
        <v>17133</v>
      </c>
    </row>
    <row r="659" spans="1:5" ht="14.25" customHeight="1" x14ac:dyDescent="0.25">
      <c r="B659" s="362" t="s">
        <v>831</v>
      </c>
      <c r="C659" s="363">
        <v>1300</v>
      </c>
      <c r="D659" s="363">
        <v>0</v>
      </c>
      <c r="E659" s="363">
        <v>1300</v>
      </c>
    </row>
    <row r="660" spans="1:5" ht="9" customHeight="1" x14ac:dyDescent="0.25"/>
    <row r="661" spans="1:5" ht="19.5" customHeight="1" x14ac:dyDescent="0.25">
      <c r="A661" s="511" t="s">
        <v>945</v>
      </c>
      <c r="B661" s="512"/>
      <c r="C661" s="512"/>
      <c r="D661" s="512"/>
      <c r="E661" s="512"/>
    </row>
    <row r="662" spans="1:5" ht="14.25" customHeight="1" x14ac:dyDescent="0.25">
      <c r="B662" s="478" t="s">
        <v>823</v>
      </c>
      <c r="C662" s="371">
        <v>72128</v>
      </c>
      <c r="D662" s="371">
        <v>0</v>
      </c>
      <c r="E662" s="371">
        <v>72128</v>
      </c>
    </row>
    <row r="663" spans="1:5" ht="14.25" customHeight="1" x14ac:dyDescent="0.25">
      <c r="B663" s="362" t="s">
        <v>830</v>
      </c>
      <c r="C663" s="363">
        <v>44171</v>
      </c>
      <c r="D663" s="363">
        <v>0</v>
      </c>
      <c r="E663" s="363">
        <v>44171</v>
      </c>
    </row>
    <row r="664" spans="1:5" ht="14.25" customHeight="1" x14ac:dyDescent="0.25">
      <c r="B664" s="362" t="s">
        <v>824</v>
      </c>
      <c r="C664" s="363">
        <v>26657</v>
      </c>
      <c r="D664" s="363">
        <v>0</v>
      </c>
      <c r="E664" s="363">
        <v>26657</v>
      </c>
    </row>
    <row r="665" spans="1:5" ht="14.25" customHeight="1" x14ac:dyDescent="0.25">
      <c r="B665" s="362" t="s">
        <v>831</v>
      </c>
      <c r="C665" s="363">
        <v>1300</v>
      </c>
      <c r="D665" s="363">
        <v>0</v>
      </c>
      <c r="E665" s="363">
        <v>1300</v>
      </c>
    </row>
    <row r="666" spans="1:5" ht="9" customHeight="1" x14ac:dyDescent="0.25"/>
    <row r="667" spans="1:5" ht="19.5" customHeight="1" x14ac:dyDescent="0.25">
      <c r="A667" s="511" t="s">
        <v>946</v>
      </c>
      <c r="B667" s="512"/>
      <c r="C667" s="512"/>
      <c r="D667" s="512"/>
      <c r="E667" s="512"/>
    </row>
    <row r="668" spans="1:5" ht="14.25" customHeight="1" x14ac:dyDescent="0.25">
      <c r="B668" s="478" t="s">
        <v>823</v>
      </c>
      <c r="C668" s="371">
        <v>106791</v>
      </c>
      <c r="D668" s="371">
        <v>0</v>
      </c>
      <c r="E668" s="371">
        <v>106791</v>
      </c>
    </row>
    <row r="669" spans="1:5" ht="14.25" customHeight="1" x14ac:dyDescent="0.25">
      <c r="B669" s="362" t="s">
        <v>830</v>
      </c>
      <c r="C669" s="363">
        <v>83289</v>
      </c>
      <c r="D669" s="363">
        <v>0</v>
      </c>
      <c r="E669" s="363">
        <v>83289</v>
      </c>
    </row>
    <row r="670" spans="1:5" ht="14.25" customHeight="1" x14ac:dyDescent="0.25">
      <c r="B670" s="362" t="s">
        <v>824</v>
      </c>
      <c r="C670" s="363">
        <v>23502</v>
      </c>
      <c r="D670" s="363">
        <v>0</v>
      </c>
      <c r="E670" s="363">
        <v>23502</v>
      </c>
    </row>
    <row r="672" spans="1:5" ht="21" customHeight="1" x14ac:dyDescent="0.25">
      <c r="A672" s="511" t="s">
        <v>947</v>
      </c>
      <c r="B672" s="512"/>
      <c r="C672" s="512"/>
      <c r="D672" s="512"/>
      <c r="E672" s="512"/>
    </row>
    <row r="673" spans="1:5" ht="14.25" customHeight="1" x14ac:dyDescent="0.25">
      <c r="B673" s="478" t="s">
        <v>823</v>
      </c>
      <c r="C673" s="371">
        <v>29681</v>
      </c>
      <c r="D673" s="371">
        <v>1000</v>
      </c>
      <c r="E673" s="371">
        <v>30681</v>
      </c>
    </row>
    <row r="674" spans="1:5" ht="14.25" customHeight="1" x14ac:dyDescent="0.25">
      <c r="B674" s="362" t="s">
        <v>830</v>
      </c>
      <c r="C674" s="363">
        <v>2953</v>
      </c>
      <c r="D674" s="363">
        <v>0</v>
      </c>
      <c r="E674" s="363">
        <v>2953</v>
      </c>
    </row>
    <row r="675" spans="1:5" ht="14.25" customHeight="1" x14ac:dyDescent="0.25">
      <c r="B675" s="362" t="s">
        <v>824</v>
      </c>
      <c r="C675" s="363">
        <v>1048</v>
      </c>
      <c r="D675" s="363">
        <v>1000</v>
      </c>
      <c r="E675" s="363">
        <v>2048</v>
      </c>
    </row>
    <row r="676" spans="1:5" ht="14.25" customHeight="1" x14ac:dyDescent="0.25">
      <c r="B676" s="362" t="s">
        <v>904</v>
      </c>
      <c r="C676" s="363">
        <v>25680</v>
      </c>
      <c r="D676" s="363">
        <v>0</v>
      </c>
      <c r="E676" s="363">
        <v>25680</v>
      </c>
    </row>
    <row r="677" spans="1:5" ht="9" customHeight="1" x14ac:dyDescent="0.25"/>
    <row r="678" spans="1:5" ht="19.5" customHeight="1" x14ac:dyDescent="0.25">
      <c r="A678" s="511" t="s">
        <v>948</v>
      </c>
      <c r="B678" s="512"/>
      <c r="C678" s="512"/>
      <c r="D678" s="512"/>
      <c r="E678" s="512"/>
    </row>
    <row r="679" spans="1:5" ht="14.25" customHeight="1" x14ac:dyDescent="0.25">
      <c r="B679" s="478" t="s">
        <v>823</v>
      </c>
      <c r="C679" s="371">
        <v>246019</v>
      </c>
      <c r="D679" s="371">
        <v>-18100</v>
      </c>
      <c r="E679" s="371">
        <v>227919</v>
      </c>
    </row>
    <row r="680" spans="1:5" ht="14.25" customHeight="1" x14ac:dyDescent="0.25">
      <c r="B680" s="362" t="s">
        <v>830</v>
      </c>
      <c r="C680" s="363">
        <v>90154</v>
      </c>
      <c r="D680" s="363">
        <v>0</v>
      </c>
      <c r="E680" s="363">
        <v>90154</v>
      </c>
    </row>
    <row r="681" spans="1:5" ht="14.25" customHeight="1" x14ac:dyDescent="0.25">
      <c r="B681" s="362" t="s">
        <v>824</v>
      </c>
      <c r="C681" s="363">
        <v>11449</v>
      </c>
      <c r="D681" s="363">
        <v>0</v>
      </c>
      <c r="E681" s="363">
        <v>11449</v>
      </c>
    </row>
    <row r="682" spans="1:5" ht="14.25" customHeight="1" x14ac:dyDescent="0.25">
      <c r="B682" s="362" t="s">
        <v>831</v>
      </c>
      <c r="C682" s="363">
        <v>1300</v>
      </c>
      <c r="D682" s="363">
        <v>0</v>
      </c>
      <c r="E682" s="363">
        <v>1300</v>
      </c>
    </row>
    <row r="683" spans="1:5" ht="14.25" customHeight="1" x14ac:dyDescent="0.25">
      <c r="B683" s="362" t="s">
        <v>904</v>
      </c>
      <c r="C683" s="363">
        <v>143116</v>
      </c>
      <c r="D683" s="363">
        <v>-18100</v>
      </c>
      <c r="E683" s="363">
        <v>125016</v>
      </c>
    </row>
    <row r="685" spans="1:5" ht="19.5" customHeight="1" x14ac:dyDescent="0.25">
      <c r="A685" s="511" t="s">
        <v>949</v>
      </c>
      <c r="B685" s="512"/>
      <c r="C685" s="512"/>
      <c r="D685" s="512"/>
      <c r="E685" s="512"/>
    </row>
    <row r="686" spans="1:5" ht="14.25" customHeight="1" x14ac:dyDescent="0.25">
      <c r="B686" s="478" t="s">
        <v>823</v>
      </c>
      <c r="C686" s="371">
        <v>238736</v>
      </c>
      <c r="D686" s="371">
        <v>23600</v>
      </c>
      <c r="E686" s="371">
        <v>262336</v>
      </c>
    </row>
    <row r="687" spans="1:5" ht="14.25" customHeight="1" x14ac:dyDescent="0.25">
      <c r="B687" s="362" t="s">
        <v>827</v>
      </c>
      <c r="C687" s="363">
        <v>14711</v>
      </c>
      <c r="D687" s="363">
        <v>0</v>
      </c>
      <c r="E687" s="363">
        <v>14711</v>
      </c>
    </row>
    <row r="688" spans="1:5" ht="14.25" customHeight="1" x14ac:dyDescent="0.25">
      <c r="B688" s="362" t="s">
        <v>904</v>
      </c>
      <c r="C688" s="363">
        <v>224025</v>
      </c>
      <c r="D688" s="363">
        <v>23600</v>
      </c>
      <c r="E688" s="363">
        <v>247625</v>
      </c>
    </row>
    <row r="690" spans="1:5" ht="19.5" customHeight="1" x14ac:dyDescent="0.25">
      <c r="A690" s="511" t="s">
        <v>950</v>
      </c>
      <c r="B690" s="512"/>
      <c r="C690" s="512"/>
      <c r="D690" s="512"/>
      <c r="E690" s="512"/>
    </row>
    <row r="691" spans="1:5" ht="14.25" customHeight="1" x14ac:dyDescent="0.25">
      <c r="B691" s="478" t="s">
        <v>823</v>
      </c>
      <c r="C691" s="371">
        <v>735614</v>
      </c>
      <c r="D691" s="371">
        <v>16000</v>
      </c>
      <c r="E691" s="371">
        <v>751614</v>
      </c>
    </row>
    <row r="692" spans="1:5" ht="14.25" customHeight="1" x14ac:dyDescent="0.25">
      <c r="B692" s="362" t="s">
        <v>830</v>
      </c>
      <c r="C692" s="363">
        <v>4951</v>
      </c>
      <c r="D692" s="363">
        <v>0</v>
      </c>
      <c r="E692" s="363">
        <v>4951</v>
      </c>
    </row>
    <row r="693" spans="1:5" ht="14.25" customHeight="1" x14ac:dyDescent="0.25">
      <c r="B693" s="362" t="s">
        <v>904</v>
      </c>
      <c r="C693" s="363">
        <v>730663</v>
      </c>
      <c r="D693" s="363">
        <v>16000</v>
      </c>
      <c r="E693" s="363">
        <v>746663</v>
      </c>
    </row>
    <row r="695" spans="1:5" ht="28.5" customHeight="1" x14ac:dyDescent="0.25">
      <c r="A695" s="511" t="s">
        <v>951</v>
      </c>
      <c r="B695" s="512"/>
      <c r="C695" s="512"/>
      <c r="D695" s="512"/>
      <c r="E695" s="512"/>
    </row>
    <row r="696" spans="1:5" ht="14.25" customHeight="1" x14ac:dyDescent="0.25">
      <c r="B696" s="478" t="s">
        <v>823</v>
      </c>
      <c r="C696" s="371">
        <v>2560</v>
      </c>
      <c r="D696" s="371">
        <v>0</v>
      </c>
      <c r="E696" s="371">
        <v>2560</v>
      </c>
    </row>
    <row r="697" spans="1:5" ht="14.25" customHeight="1" x14ac:dyDescent="0.25">
      <c r="B697" s="362" t="s">
        <v>830</v>
      </c>
      <c r="C697" s="363">
        <v>160</v>
      </c>
      <c r="D697" s="363">
        <v>0</v>
      </c>
      <c r="E697" s="363">
        <v>160</v>
      </c>
    </row>
    <row r="698" spans="1:5" ht="14.25" customHeight="1" x14ac:dyDescent="0.25">
      <c r="B698" s="362" t="s">
        <v>824</v>
      </c>
      <c r="C698" s="363">
        <v>2400</v>
      </c>
      <c r="D698" s="363">
        <v>0</v>
      </c>
      <c r="E698" s="363">
        <v>2400</v>
      </c>
    </row>
    <row r="700" spans="1:5" ht="19.5" customHeight="1" x14ac:dyDescent="0.25">
      <c r="A700" s="511" t="s">
        <v>952</v>
      </c>
      <c r="B700" s="512"/>
      <c r="C700" s="512"/>
      <c r="D700" s="512"/>
      <c r="E700" s="512"/>
    </row>
    <row r="701" spans="1:5" ht="14.25" customHeight="1" x14ac:dyDescent="0.25">
      <c r="B701" s="478" t="s">
        <v>823</v>
      </c>
      <c r="C701" s="371">
        <v>390000</v>
      </c>
      <c r="D701" s="371">
        <v>-30000</v>
      </c>
      <c r="E701" s="371">
        <v>360000</v>
      </c>
    </row>
    <row r="702" spans="1:5" ht="14.25" customHeight="1" x14ac:dyDescent="0.25">
      <c r="B702" s="362" t="s">
        <v>904</v>
      </c>
      <c r="C702" s="363">
        <v>390000</v>
      </c>
      <c r="D702" s="363">
        <v>-30000</v>
      </c>
      <c r="E702" s="363">
        <v>360000</v>
      </c>
    </row>
    <row r="704" spans="1:5" ht="19.5" customHeight="1" x14ac:dyDescent="0.25">
      <c r="A704" s="511" t="s">
        <v>953</v>
      </c>
      <c r="B704" s="512"/>
      <c r="C704" s="512"/>
      <c r="D704" s="512"/>
      <c r="E704" s="512"/>
    </row>
    <row r="705" spans="1:5" ht="14.25" customHeight="1" x14ac:dyDescent="0.25">
      <c r="B705" s="478" t="s">
        <v>823</v>
      </c>
      <c r="C705" s="371">
        <v>8719</v>
      </c>
      <c r="D705" s="371">
        <v>0</v>
      </c>
      <c r="E705" s="371">
        <v>8719</v>
      </c>
    </row>
    <row r="706" spans="1:5" ht="14.25" customHeight="1" x14ac:dyDescent="0.25">
      <c r="B706" s="362" t="s">
        <v>824</v>
      </c>
      <c r="C706" s="363">
        <v>1434</v>
      </c>
      <c r="D706" s="363">
        <v>0</v>
      </c>
      <c r="E706" s="363">
        <v>1434</v>
      </c>
    </row>
    <row r="707" spans="1:5" ht="14.25" customHeight="1" x14ac:dyDescent="0.25">
      <c r="B707" s="362" t="s">
        <v>904</v>
      </c>
      <c r="C707" s="363">
        <v>7285</v>
      </c>
      <c r="D707" s="363">
        <v>0</v>
      </c>
      <c r="E707" s="363">
        <v>7285</v>
      </c>
    </row>
    <row r="709" spans="1:5" ht="28.5" customHeight="1" x14ac:dyDescent="0.25">
      <c r="A709" s="511" t="s">
        <v>954</v>
      </c>
      <c r="B709" s="512"/>
      <c r="C709" s="512"/>
      <c r="D709" s="512"/>
      <c r="E709" s="512"/>
    </row>
    <row r="710" spans="1:5" ht="14.25" customHeight="1" x14ac:dyDescent="0.25">
      <c r="B710" s="478" t="s">
        <v>823</v>
      </c>
      <c r="C710" s="371">
        <v>72294</v>
      </c>
      <c r="D710" s="371">
        <v>-5500</v>
      </c>
      <c r="E710" s="371">
        <v>66794</v>
      </c>
    </row>
    <row r="711" spans="1:5" ht="14.25" customHeight="1" x14ac:dyDescent="0.25">
      <c r="B711" s="362" t="s">
        <v>904</v>
      </c>
      <c r="C711" s="363">
        <v>72294</v>
      </c>
      <c r="D711" s="363">
        <v>-5500</v>
      </c>
      <c r="E711" s="363">
        <v>66794</v>
      </c>
    </row>
    <row r="713" spans="1:5" ht="19.5" customHeight="1" x14ac:dyDescent="0.25">
      <c r="A713" s="511" t="s">
        <v>955</v>
      </c>
      <c r="B713" s="512"/>
      <c r="C713" s="512"/>
      <c r="D713" s="512"/>
      <c r="E713" s="512"/>
    </row>
    <row r="714" spans="1:5" ht="14.25" customHeight="1" x14ac:dyDescent="0.25">
      <c r="B714" s="478" t="s">
        <v>823</v>
      </c>
      <c r="C714" s="371">
        <v>92506</v>
      </c>
      <c r="D714" s="371">
        <v>0</v>
      </c>
      <c r="E714" s="371">
        <v>92506</v>
      </c>
    </row>
    <row r="715" spans="1:5" ht="14.25" customHeight="1" x14ac:dyDescent="0.25">
      <c r="B715" s="362" t="s">
        <v>830</v>
      </c>
      <c r="C715" s="363">
        <v>45102</v>
      </c>
      <c r="D715" s="363">
        <v>0</v>
      </c>
      <c r="E715" s="363">
        <v>45102</v>
      </c>
    </row>
    <row r="716" spans="1:5" ht="14.25" customHeight="1" x14ac:dyDescent="0.25">
      <c r="B716" s="362" t="s">
        <v>824</v>
      </c>
      <c r="C716" s="363">
        <v>47404</v>
      </c>
      <c r="D716" s="363">
        <v>0</v>
      </c>
      <c r="E716" s="363">
        <v>47404</v>
      </c>
    </row>
    <row r="718" spans="1:5" ht="19.5" customHeight="1" x14ac:dyDescent="0.25">
      <c r="A718" s="511" t="s">
        <v>956</v>
      </c>
      <c r="B718" s="512"/>
      <c r="C718" s="512"/>
      <c r="D718" s="512"/>
      <c r="E718" s="512"/>
    </row>
    <row r="719" spans="1:5" ht="14.25" customHeight="1" x14ac:dyDescent="0.25">
      <c r="B719" s="478" t="s">
        <v>823</v>
      </c>
      <c r="C719" s="371">
        <v>17158</v>
      </c>
      <c r="D719" s="371">
        <v>0</v>
      </c>
      <c r="E719" s="371">
        <v>17158</v>
      </c>
    </row>
    <row r="720" spans="1:5" ht="14.25" customHeight="1" x14ac:dyDescent="0.25">
      <c r="B720" s="362" t="s">
        <v>830</v>
      </c>
      <c r="C720" s="363">
        <v>7510</v>
      </c>
      <c r="D720" s="363">
        <v>0</v>
      </c>
      <c r="E720" s="363">
        <v>7510</v>
      </c>
    </row>
    <row r="721" spans="1:5" ht="14.25" customHeight="1" x14ac:dyDescent="0.25">
      <c r="B721" s="362" t="s">
        <v>824</v>
      </c>
      <c r="C721" s="363">
        <v>9648</v>
      </c>
      <c r="D721" s="363">
        <v>0</v>
      </c>
      <c r="E721" s="363">
        <v>9648</v>
      </c>
    </row>
    <row r="723" spans="1:5" ht="19.5" customHeight="1" x14ac:dyDescent="0.25">
      <c r="A723" s="511" t="s">
        <v>957</v>
      </c>
      <c r="B723" s="512"/>
      <c r="C723" s="512"/>
      <c r="D723" s="512"/>
      <c r="E723" s="512"/>
    </row>
    <row r="724" spans="1:5" ht="14.25" customHeight="1" x14ac:dyDescent="0.25">
      <c r="B724" s="478" t="s">
        <v>823</v>
      </c>
      <c r="C724" s="371">
        <v>1053128</v>
      </c>
      <c r="D724" s="371">
        <v>0</v>
      </c>
      <c r="E724" s="371">
        <v>1053128</v>
      </c>
    </row>
    <row r="725" spans="1:5" ht="14.25" customHeight="1" x14ac:dyDescent="0.25">
      <c r="B725" s="362" t="s">
        <v>830</v>
      </c>
      <c r="C725" s="363">
        <v>903971</v>
      </c>
      <c r="D725" s="363">
        <v>0</v>
      </c>
      <c r="E725" s="363">
        <v>903971</v>
      </c>
    </row>
    <row r="726" spans="1:5" ht="14.25" customHeight="1" x14ac:dyDescent="0.25">
      <c r="B726" s="362" t="s">
        <v>824</v>
      </c>
      <c r="C726" s="363">
        <v>126527</v>
      </c>
      <c r="D726" s="363">
        <v>0</v>
      </c>
      <c r="E726" s="363">
        <v>126527</v>
      </c>
    </row>
    <row r="727" spans="1:5" ht="14.25" customHeight="1" x14ac:dyDescent="0.25">
      <c r="B727" s="362" t="s">
        <v>831</v>
      </c>
      <c r="C727" s="363">
        <v>22630</v>
      </c>
      <c r="D727" s="363">
        <v>0</v>
      </c>
      <c r="E727" s="363">
        <v>22630</v>
      </c>
    </row>
    <row r="728" spans="1:5" ht="9" customHeight="1" x14ac:dyDescent="0.25"/>
    <row r="729" spans="1:5" ht="19.5" customHeight="1" x14ac:dyDescent="0.25">
      <c r="A729" s="511" t="s">
        <v>958</v>
      </c>
      <c r="B729" s="512"/>
      <c r="C729" s="512"/>
      <c r="D729" s="512"/>
      <c r="E729" s="512"/>
    </row>
    <row r="730" spans="1:5" ht="14.25" customHeight="1" x14ac:dyDescent="0.25">
      <c r="B730" s="362" t="s">
        <v>823</v>
      </c>
      <c r="C730" s="363">
        <v>8200</v>
      </c>
      <c r="D730" s="363">
        <v>0</v>
      </c>
      <c r="E730" s="363">
        <v>8200</v>
      </c>
    </row>
    <row r="731" spans="1:5" ht="14.25" customHeight="1" x14ac:dyDescent="0.25">
      <c r="B731" s="362" t="s">
        <v>904</v>
      </c>
      <c r="C731" s="363">
        <v>8200</v>
      </c>
      <c r="D731" s="363">
        <v>0</v>
      </c>
      <c r="E731" s="363">
        <v>8200</v>
      </c>
    </row>
    <row r="733" spans="1:5" ht="41.25" customHeight="1" x14ac:dyDescent="0.25">
      <c r="A733" s="515" t="s">
        <v>847</v>
      </c>
      <c r="B733" s="516"/>
      <c r="C733" s="516"/>
      <c r="D733" s="516"/>
      <c r="E733" s="516"/>
    </row>
    <row r="734" spans="1:5" ht="14.25" customHeight="1" x14ac:dyDescent="0.25">
      <c r="B734" s="478" t="s">
        <v>823</v>
      </c>
      <c r="C734" s="371">
        <v>702128</v>
      </c>
      <c r="D734" s="371">
        <v>-2555</v>
      </c>
      <c r="E734" s="371">
        <v>699573</v>
      </c>
    </row>
    <row r="735" spans="1:5" ht="14.25" customHeight="1" x14ac:dyDescent="0.25">
      <c r="B735" s="478" t="s">
        <v>830</v>
      </c>
      <c r="C735" s="371">
        <v>509664</v>
      </c>
      <c r="D735" s="371">
        <v>12532</v>
      </c>
      <c r="E735" s="371">
        <v>522196</v>
      </c>
    </row>
    <row r="736" spans="1:5" ht="14.25" customHeight="1" x14ac:dyDescent="0.25">
      <c r="B736" s="478" t="s">
        <v>824</v>
      </c>
      <c r="C736" s="371">
        <v>180025</v>
      </c>
      <c r="D736" s="371">
        <v>-14763</v>
      </c>
      <c r="E736" s="371">
        <v>165262</v>
      </c>
    </row>
    <row r="737" spans="1:5" ht="14.25" customHeight="1" x14ac:dyDescent="0.25">
      <c r="B737" s="478" t="s">
        <v>831</v>
      </c>
      <c r="C737" s="371">
        <v>1468</v>
      </c>
      <c r="D737" s="371">
        <v>0</v>
      </c>
      <c r="E737" s="371">
        <v>1468</v>
      </c>
    </row>
    <row r="738" spans="1:5" ht="14.25" customHeight="1" x14ac:dyDescent="0.25">
      <c r="B738" s="478" t="s">
        <v>904</v>
      </c>
      <c r="C738" s="371">
        <v>10971</v>
      </c>
      <c r="D738" s="371">
        <v>-324</v>
      </c>
      <c r="E738" s="371">
        <v>10647</v>
      </c>
    </row>
    <row r="740" spans="1:5" ht="19.5" customHeight="1" x14ac:dyDescent="0.25">
      <c r="A740" s="511" t="s">
        <v>848</v>
      </c>
      <c r="B740" s="512"/>
      <c r="C740" s="512"/>
      <c r="D740" s="512"/>
      <c r="E740" s="512"/>
    </row>
    <row r="741" spans="1:5" ht="14.25" customHeight="1" x14ac:dyDescent="0.25">
      <c r="B741" s="478" t="s">
        <v>823</v>
      </c>
      <c r="C741" s="371">
        <v>603576</v>
      </c>
      <c r="D741" s="371">
        <v>-11872</v>
      </c>
      <c r="E741" s="371">
        <v>591704</v>
      </c>
    </row>
    <row r="742" spans="1:5" ht="14.25" customHeight="1" x14ac:dyDescent="0.25">
      <c r="B742" s="362" t="s">
        <v>830</v>
      </c>
      <c r="C742" s="363">
        <v>436761</v>
      </c>
      <c r="D742" s="363">
        <v>0</v>
      </c>
      <c r="E742" s="363">
        <v>436761</v>
      </c>
    </row>
    <row r="743" spans="1:5" ht="14.25" customHeight="1" x14ac:dyDescent="0.25">
      <c r="B743" s="362" t="s">
        <v>824</v>
      </c>
      <c r="C743" s="363">
        <v>155476</v>
      </c>
      <c r="D743" s="363">
        <v>-11548</v>
      </c>
      <c r="E743" s="363">
        <v>143928</v>
      </c>
    </row>
    <row r="744" spans="1:5" ht="14.25" customHeight="1" x14ac:dyDescent="0.25">
      <c r="B744" s="362" t="s">
        <v>831</v>
      </c>
      <c r="C744" s="363">
        <v>368</v>
      </c>
      <c r="D744" s="363">
        <v>0</v>
      </c>
      <c r="E744" s="363">
        <v>368</v>
      </c>
    </row>
    <row r="745" spans="1:5" ht="14.25" customHeight="1" x14ac:dyDescent="0.25">
      <c r="B745" s="362" t="s">
        <v>904</v>
      </c>
      <c r="C745" s="363">
        <v>10971</v>
      </c>
      <c r="D745" s="363">
        <v>-324</v>
      </c>
      <c r="E745" s="363">
        <v>10647</v>
      </c>
    </row>
    <row r="747" spans="1:5" ht="19.5" customHeight="1" x14ac:dyDescent="0.25">
      <c r="A747" s="511" t="s">
        <v>959</v>
      </c>
      <c r="B747" s="512"/>
      <c r="C747" s="512"/>
      <c r="D747" s="512"/>
      <c r="E747" s="512"/>
    </row>
    <row r="748" spans="1:5" ht="14.25" customHeight="1" x14ac:dyDescent="0.25">
      <c r="B748" s="478" t="s">
        <v>823</v>
      </c>
      <c r="C748" s="371">
        <v>98552</v>
      </c>
      <c r="D748" s="371">
        <v>9317</v>
      </c>
      <c r="E748" s="371">
        <v>107869</v>
      </c>
    </row>
    <row r="749" spans="1:5" ht="14.25" customHeight="1" x14ac:dyDescent="0.25">
      <c r="B749" s="362" t="s">
        <v>830</v>
      </c>
      <c r="C749" s="363">
        <v>72903</v>
      </c>
      <c r="D749" s="363">
        <v>12535</v>
      </c>
      <c r="E749" s="363">
        <v>85435</v>
      </c>
    </row>
    <row r="750" spans="1:5" ht="14.25" customHeight="1" x14ac:dyDescent="0.25">
      <c r="B750" s="362" t="s">
        <v>824</v>
      </c>
      <c r="C750" s="363">
        <v>24549</v>
      </c>
      <c r="D750" s="363">
        <v>-3215</v>
      </c>
      <c r="E750" s="363">
        <v>21334</v>
      </c>
    </row>
    <row r="751" spans="1:5" ht="14.25" customHeight="1" x14ac:dyDescent="0.25">
      <c r="B751" s="362" t="s">
        <v>831</v>
      </c>
      <c r="C751" s="363">
        <v>1100</v>
      </c>
      <c r="D751" s="363">
        <v>0</v>
      </c>
      <c r="E751" s="363">
        <v>1100</v>
      </c>
    </row>
    <row r="753" spans="1:5" ht="19.5" customHeight="1" x14ac:dyDescent="0.25">
      <c r="A753" s="513" t="s">
        <v>960</v>
      </c>
      <c r="B753" s="514"/>
      <c r="C753" s="514"/>
      <c r="D753" s="514"/>
      <c r="E753" s="514"/>
    </row>
    <row r="754" spans="1:5" ht="14.25" customHeight="1" x14ac:dyDescent="0.25">
      <c r="A754" s="481"/>
      <c r="B754" s="480" t="s">
        <v>823</v>
      </c>
      <c r="C754" s="369">
        <v>5721314</v>
      </c>
      <c r="D754" s="369">
        <v>3084840</v>
      </c>
      <c r="E754" s="369">
        <v>8806154</v>
      </c>
    </row>
    <row r="755" spans="1:5" ht="14.25" customHeight="1" x14ac:dyDescent="0.25">
      <c r="A755" s="481"/>
      <c r="B755" s="482" t="s">
        <v>961</v>
      </c>
      <c r="C755" s="483">
        <v>4854961</v>
      </c>
      <c r="D755" s="483">
        <v>-161191</v>
      </c>
      <c r="E755" s="483">
        <v>4693770</v>
      </c>
    </row>
    <row r="756" spans="1:5" ht="30" x14ac:dyDescent="0.25">
      <c r="A756" s="481"/>
      <c r="B756" s="482" t="s">
        <v>962</v>
      </c>
      <c r="C756" s="483">
        <v>230153</v>
      </c>
      <c r="D756" s="483">
        <v>3482844</v>
      </c>
      <c r="E756" s="483">
        <v>3712997</v>
      </c>
    </row>
    <row r="757" spans="1:5" ht="18.75" customHeight="1" x14ac:dyDescent="0.25">
      <c r="A757" s="481"/>
      <c r="B757" s="482" t="s">
        <v>963</v>
      </c>
      <c r="C757" s="483">
        <v>636200</v>
      </c>
      <c r="D757" s="483">
        <v>-236813</v>
      </c>
      <c r="E757" s="483">
        <v>399387</v>
      </c>
    </row>
    <row r="759" spans="1:5" ht="19.5" customHeight="1" x14ac:dyDescent="0.25">
      <c r="A759" s="511" t="s">
        <v>964</v>
      </c>
      <c r="B759" s="512"/>
      <c r="C759" s="512"/>
      <c r="D759" s="512"/>
      <c r="E759" s="512"/>
    </row>
    <row r="760" spans="1:5" ht="14.25" customHeight="1" x14ac:dyDescent="0.25">
      <c r="B760" s="478" t="s">
        <v>823</v>
      </c>
      <c r="C760" s="371">
        <v>4854961</v>
      </c>
      <c r="D760" s="371">
        <v>-161191</v>
      </c>
      <c r="E760" s="371">
        <v>4693770</v>
      </c>
    </row>
    <row r="761" spans="1:5" ht="14.25" customHeight="1" x14ac:dyDescent="0.25">
      <c r="B761" s="362" t="s">
        <v>961</v>
      </c>
      <c r="C761" s="363">
        <v>4854961</v>
      </c>
      <c r="D761" s="363">
        <v>-161191</v>
      </c>
      <c r="E761" s="363">
        <v>4693770</v>
      </c>
    </row>
    <row r="763" spans="1:5" ht="19.5" customHeight="1" x14ac:dyDescent="0.25">
      <c r="A763" s="511" t="s">
        <v>965</v>
      </c>
      <c r="B763" s="512"/>
      <c r="C763" s="512"/>
      <c r="D763" s="512"/>
      <c r="E763" s="512"/>
    </row>
    <row r="764" spans="1:5" ht="14.25" customHeight="1" x14ac:dyDescent="0.25">
      <c r="B764" s="478" t="s">
        <v>823</v>
      </c>
      <c r="C764" s="371">
        <v>230153</v>
      </c>
      <c r="D764" s="371">
        <v>3482844</v>
      </c>
      <c r="E764" s="371">
        <v>3712997</v>
      </c>
    </row>
    <row r="765" spans="1:5" ht="14.25" customHeight="1" x14ac:dyDescent="0.25">
      <c r="B765" s="362" t="s">
        <v>962</v>
      </c>
      <c r="C765" s="363">
        <v>230153</v>
      </c>
      <c r="D765" s="363">
        <v>3482844</v>
      </c>
      <c r="E765" s="363">
        <v>3712997</v>
      </c>
    </row>
    <row r="767" spans="1:5" ht="19.5" customHeight="1" x14ac:dyDescent="0.25">
      <c r="A767" s="509" t="s">
        <v>849</v>
      </c>
      <c r="B767" s="510"/>
      <c r="C767" s="510"/>
      <c r="D767" s="510"/>
      <c r="E767" s="510"/>
    </row>
    <row r="768" spans="1:5" ht="14.25" customHeight="1" x14ac:dyDescent="0.25">
      <c r="B768" s="478" t="s">
        <v>823</v>
      </c>
      <c r="C768" s="371">
        <v>82330602</v>
      </c>
      <c r="D768" s="371">
        <f>12747353+175000</f>
        <v>12922353</v>
      </c>
      <c r="E768" s="371">
        <f>95077955+175000</f>
        <v>95252955</v>
      </c>
    </row>
    <row r="769" spans="1:5" ht="14.25" customHeight="1" x14ac:dyDescent="0.25">
      <c r="B769" s="482" t="s">
        <v>830</v>
      </c>
      <c r="C769" s="483">
        <v>29217528</v>
      </c>
      <c r="D769" s="483">
        <v>3914219</v>
      </c>
      <c r="E769" s="483">
        <v>33131747</v>
      </c>
    </row>
    <row r="770" spans="1:5" ht="14.25" customHeight="1" x14ac:dyDescent="0.25">
      <c r="B770" s="482" t="s">
        <v>824</v>
      </c>
      <c r="C770" s="483">
        <v>16402454</v>
      </c>
      <c r="D770" s="483">
        <v>760269</v>
      </c>
      <c r="E770" s="483">
        <v>17162723</v>
      </c>
    </row>
    <row r="771" spans="1:5" ht="14.25" customHeight="1" x14ac:dyDescent="0.25">
      <c r="B771" s="482" t="s">
        <v>827</v>
      </c>
      <c r="C771" s="483">
        <v>5558045</v>
      </c>
      <c r="D771" s="483">
        <v>-21041</v>
      </c>
      <c r="E771" s="483">
        <v>5537004</v>
      </c>
    </row>
    <row r="772" spans="1:5" ht="14.25" customHeight="1" x14ac:dyDescent="0.25">
      <c r="B772" s="482" t="s">
        <v>881</v>
      </c>
      <c r="C772" s="483">
        <v>10000</v>
      </c>
      <c r="D772" s="483">
        <v>0</v>
      </c>
      <c r="E772" s="483">
        <v>10000</v>
      </c>
    </row>
    <row r="773" spans="1:5" ht="14.25" customHeight="1" x14ac:dyDescent="0.25">
      <c r="B773" s="482" t="s">
        <v>831</v>
      </c>
      <c r="C773" s="483">
        <v>21446711</v>
      </c>
      <c r="D773" s="483">
        <f>4680973+175000</f>
        <v>4855973</v>
      </c>
      <c r="E773" s="483">
        <f>26127684+175000</f>
        <v>26302684</v>
      </c>
    </row>
    <row r="774" spans="1:5" ht="14.25" customHeight="1" x14ac:dyDescent="0.25">
      <c r="B774" s="482" t="s">
        <v>904</v>
      </c>
      <c r="C774" s="483">
        <v>2426784</v>
      </c>
      <c r="D774" s="483">
        <v>10776</v>
      </c>
      <c r="E774" s="483">
        <v>2437560</v>
      </c>
    </row>
    <row r="775" spans="1:5" ht="30" x14ac:dyDescent="0.25">
      <c r="B775" s="482" t="s">
        <v>828</v>
      </c>
      <c r="C775" s="483">
        <v>1547766</v>
      </c>
      <c r="D775" s="483">
        <v>317317</v>
      </c>
      <c r="E775" s="483">
        <v>1865083</v>
      </c>
    </row>
    <row r="776" spans="1:5" ht="14.25" customHeight="1" x14ac:dyDescent="0.25">
      <c r="B776" s="482" t="s">
        <v>961</v>
      </c>
      <c r="C776" s="483">
        <v>4854961</v>
      </c>
      <c r="D776" s="483">
        <v>-161191</v>
      </c>
      <c r="E776" s="483">
        <v>4693770</v>
      </c>
    </row>
    <row r="777" spans="1:5" ht="30" x14ac:dyDescent="0.25">
      <c r="B777" s="482" t="s">
        <v>962</v>
      </c>
      <c r="C777" s="483">
        <v>230153</v>
      </c>
      <c r="D777" s="483">
        <v>3482844</v>
      </c>
      <c r="E777" s="483">
        <v>3712997</v>
      </c>
    </row>
    <row r="778" spans="1:5" ht="30" x14ac:dyDescent="0.25">
      <c r="B778" s="482" t="s">
        <v>963</v>
      </c>
      <c r="C778" s="483">
        <v>636200</v>
      </c>
      <c r="D778" s="483">
        <v>-236813</v>
      </c>
      <c r="E778" s="483">
        <v>399387</v>
      </c>
    </row>
    <row r="779" spans="1:5" ht="14.25" customHeight="1" x14ac:dyDescent="0.25">
      <c r="E779" s="476"/>
    </row>
    <row r="781" spans="1:5" ht="18.75" x14ac:dyDescent="0.3">
      <c r="A781" s="488" t="s">
        <v>123</v>
      </c>
      <c r="B781" s="489"/>
      <c r="E781" s="489" t="s">
        <v>124</v>
      </c>
    </row>
  </sheetData>
  <mergeCells count="147">
    <mergeCell ref="A24:E24"/>
    <mergeCell ref="A18:E18"/>
    <mergeCell ref="A9:E9"/>
    <mergeCell ref="C3:E3"/>
    <mergeCell ref="C4:E4"/>
    <mergeCell ref="A6:E6"/>
    <mergeCell ref="A7:B7"/>
    <mergeCell ref="A68:E68"/>
    <mergeCell ref="A64:E64"/>
    <mergeCell ref="A59:E59"/>
    <mergeCell ref="A55:E55"/>
    <mergeCell ref="A50:E50"/>
    <mergeCell ref="A44:E44"/>
    <mergeCell ref="A39:E39"/>
    <mergeCell ref="A35:E35"/>
    <mergeCell ref="A30:E30"/>
    <mergeCell ref="A116:E116"/>
    <mergeCell ref="A112:E112"/>
    <mergeCell ref="A107:E107"/>
    <mergeCell ref="A100:E100"/>
    <mergeCell ref="A95:E95"/>
    <mergeCell ref="A89:E89"/>
    <mergeCell ref="A84:E84"/>
    <mergeCell ref="A79:E79"/>
    <mergeCell ref="A75:E75"/>
    <mergeCell ref="A155:E155"/>
    <mergeCell ref="A151:E151"/>
    <mergeCell ref="A147:E147"/>
    <mergeCell ref="A143:E143"/>
    <mergeCell ref="A139:E139"/>
    <mergeCell ref="A133:E133"/>
    <mergeCell ref="A129:E129"/>
    <mergeCell ref="A125:E125"/>
    <mergeCell ref="A120:E120"/>
    <mergeCell ref="A197:E197"/>
    <mergeCell ref="A192:E192"/>
    <mergeCell ref="A188:E188"/>
    <mergeCell ref="A181:E181"/>
    <mergeCell ref="A176:E176"/>
    <mergeCell ref="A172:E172"/>
    <mergeCell ref="A167:E167"/>
    <mergeCell ref="A163:E163"/>
    <mergeCell ref="A159:E159"/>
    <mergeCell ref="A229:E229"/>
    <mergeCell ref="A225:E225"/>
    <mergeCell ref="A221:E221"/>
    <mergeCell ref="A217:E217"/>
    <mergeCell ref="A213:E213"/>
    <mergeCell ref="A209:E209"/>
    <mergeCell ref="A205:E205"/>
    <mergeCell ref="A201:E201"/>
    <mergeCell ref="A275:E275"/>
    <mergeCell ref="A269:E269"/>
    <mergeCell ref="A263:E263"/>
    <mergeCell ref="A257:E257"/>
    <mergeCell ref="A251:E251"/>
    <mergeCell ref="A245:E245"/>
    <mergeCell ref="A241:E241"/>
    <mergeCell ref="A237:E237"/>
    <mergeCell ref="A233:E233"/>
    <mergeCell ref="A326:E326"/>
    <mergeCell ref="A321:E321"/>
    <mergeCell ref="A317:E317"/>
    <mergeCell ref="A313:E313"/>
    <mergeCell ref="A308:E308"/>
    <mergeCell ref="A299:E299"/>
    <mergeCell ref="A293:E293"/>
    <mergeCell ref="A287:E287"/>
    <mergeCell ref="A281:E281"/>
    <mergeCell ref="A380:E380"/>
    <mergeCell ref="A375:E375"/>
    <mergeCell ref="A370:E370"/>
    <mergeCell ref="A363:E363"/>
    <mergeCell ref="A357:E357"/>
    <mergeCell ref="A350:E350"/>
    <mergeCell ref="A343:E343"/>
    <mergeCell ref="A337:E337"/>
    <mergeCell ref="A331:E331"/>
    <mergeCell ref="A435:E435"/>
    <mergeCell ref="A429:E429"/>
    <mergeCell ref="A421:E421"/>
    <mergeCell ref="A415:E415"/>
    <mergeCell ref="A409:E409"/>
    <mergeCell ref="A403:E403"/>
    <mergeCell ref="A397:E397"/>
    <mergeCell ref="A390:E390"/>
    <mergeCell ref="A385:E385"/>
    <mergeCell ref="A489:E489"/>
    <mergeCell ref="A482:E482"/>
    <mergeCell ref="A476:E476"/>
    <mergeCell ref="A470:E470"/>
    <mergeCell ref="A464:E464"/>
    <mergeCell ref="A456:E456"/>
    <mergeCell ref="A451:E451"/>
    <mergeCell ref="A446:E446"/>
    <mergeCell ref="A441:E441"/>
    <mergeCell ref="A547:E547"/>
    <mergeCell ref="A543:E543"/>
    <mergeCell ref="A537:E537"/>
    <mergeCell ref="A531:E531"/>
    <mergeCell ref="A523:E523"/>
    <mergeCell ref="A516:E516"/>
    <mergeCell ref="A511:E511"/>
    <mergeCell ref="A502:E502"/>
    <mergeCell ref="A495:E495"/>
    <mergeCell ref="A602:E602"/>
    <mergeCell ref="A598:E598"/>
    <mergeCell ref="A592:E592"/>
    <mergeCell ref="A585:E585"/>
    <mergeCell ref="A578:E578"/>
    <mergeCell ref="A572:E572"/>
    <mergeCell ref="A566:E566"/>
    <mergeCell ref="A560:E560"/>
    <mergeCell ref="A554:E554"/>
    <mergeCell ref="A650:E650"/>
    <mergeCell ref="A643:E643"/>
    <mergeCell ref="A639:E639"/>
    <mergeCell ref="A635:E635"/>
    <mergeCell ref="A631:E631"/>
    <mergeCell ref="A627:E627"/>
    <mergeCell ref="A623:E623"/>
    <mergeCell ref="A614:E614"/>
    <mergeCell ref="A608:E608"/>
    <mergeCell ref="D1:E1"/>
    <mergeCell ref="C2:E2"/>
    <mergeCell ref="A767:E767"/>
    <mergeCell ref="A763:E763"/>
    <mergeCell ref="A759:E759"/>
    <mergeCell ref="A753:E753"/>
    <mergeCell ref="A747:E747"/>
    <mergeCell ref="A740:E740"/>
    <mergeCell ref="A733:E733"/>
    <mergeCell ref="A729:E729"/>
    <mergeCell ref="A723:E723"/>
    <mergeCell ref="A718:E718"/>
    <mergeCell ref="A713:E713"/>
    <mergeCell ref="A709:E709"/>
    <mergeCell ref="A704:E704"/>
    <mergeCell ref="A700:E700"/>
    <mergeCell ref="A695:E695"/>
    <mergeCell ref="A690:E690"/>
    <mergeCell ref="A685:E685"/>
    <mergeCell ref="A678:E678"/>
    <mergeCell ref="A672:E672"/>
    <mergeCell ref="A667:E667"/>
    <mergeCell ref="A661:E661"/>
    <mergeCell ref="A655:E655"/>
  </mergeCells>
  <pageMargins left="1.1811023622047245" right="0.59055118110236227" top="0.59055118110236227" bottom="0.39370078740157483" header="0.19685039370078741" footer="0.19685039370078741"/>
  <pageSetup scale="80" fitToHeight="0" pageOrder="overThenDown" orientation="portrait" verticalDpi="0" r:id="rId1"/>
  <headerFooter>
    <oddFooter>&amp;R&amp;P</oddFooter>
  </headerFooter>
  <rowBreaks count="8" manualBreakCount="8">
    <brk id="106" max="16383" man="1"/>
    <brk id="389" max="16383" man="1"/>
    <brk id="440" max="16383" man="1"/>
    <brk id="494" max="16383" man="1"/>
    <brk id="546" max="16383" man="1"/>
    <brk id="601" max="16383" man="1"/>
    <brk id="654" max="16383" man="1"/>
    <brk id="7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8"/>
  <sheetViews>
    <sheetView zoomScale="90" zoomScaleNormal="90" zoomScalePageLayoutView="70" workbookViewId="0">
      <pane ySplit="6" topLeftCell="A7" activePane="bottomLeft" state="frozen"/>
      <selection pane="bottomLeft" activeCell="C203" sqref="C203:C204"/>
    </sheetView>
  </sheetViews>
  <sheetFormatPr defaultColWidth="3.28515625" defaultRowHeight="12.75" x14ac:dyDescent="0.2"/>
  <cols>
    <col min="1" max="1" width="4.42578125" style="131" customWidth="1"/>
    <col min="2" max="2" width="10.85546875" style="133" customWidth="1"/>
    <col min="3" max="3" width="36" style="132" customWidth="1"/>
    <col min="4" max="4" width="3.42578125" style="132" customWidth="1"/>
    <col min="5" max="5" width="11.28515625" style="132" customWidth="1"/>
    <col min="6" max="6" width="9.85546875" style="131" customWidth="1"/>
    <col min="7" max="7" width="10.7109375" style="131" customWidth="1"/>
    <col min="8" max="8" width="11.7109375" style="131" customWidth="1"/>
    <col min="9" max="9" width="12.140625" style="131" customWidth="1"/>
    <col min="10" max="11" width="11.5703125" style="131" customWidth="1"/>
    <col min="12" max="12" width="11.140625" style="131" customWidth="1"/>
    <col min="13" max="13" width="12.140625" style="131" customWidth="1"/>
    <col min="14" max="14" width="11.42578125" style="131" customWidth="1"/>
    <col min="15" max="15" width="12.140625" style="131" customWidth="1"/>
    <col min="16" max="16" width="12.28515625" style="131" customWidth="1"/>
    <col min="17" max="17" width="11.140625" style="131" customWidth="1"/>
    <col min="18" max="18" width="11.28515625" style="131" customWidth="1"/>
    <col min="19" max="19" width="11.7109375" style="131" customWidth="1"/>
    <col min="20" max="20" width="11.42578125" style="131" customWidth="1"/>
    <col min="21" max="21" width="11.28515625" style="131" customWidth="1"/>
    <col min="22" max="22" width="12.140625" style="131" customWidth="1"/>
    <col min="23" max="23" width="12.5703125" style="131" customWidth="1"/>
    <col min="24" max="24" width="12.85546875" style="131" customWidth="1"/>
    <col min="25" max="255" width="9.140625" style="131" customWidth="1"/>
    <col min="256" max="256" width="3.28515625" style="131"/>
    <col min="257" max="257" width="3.28515625" style="131" customWidth="1"/>
    <col min="258" max="258" width="10.85546875" style="131" customWidth="1"/>
    <col min="259" max="259" width="36" style="131" customWidth="1"/>
    <col min="260" max="260" width="3.42578125" style="131" customWidth="1"/>
    <col min="261" max="261" width="11.28515625" style="131" customWidth="1"/>
    <col min="262" max="262" width="9.85546875" style="131" customWidth="1"/>
    <col min="263" max="263" width="10.7109375" style="131" customWidth="1"/>
    <col min="264" max="264" width="11.7109375" style="131" customWidth="1"/>
    <col min="265" max="265" width="12.140625" style="131" customWidth="1"/>
    <col min="266" max="267" width="11.5703125" style="131" customWidth="1"/>
    <col min="268" max="268" width="11.140625" style="131" customWidth="1"/>
    <col min="269" max="269" width="12.140625" style="131" customWidth="1"/>
    <col min="270" max="270" width="11.42578125" style="131" customWidth="1"/>
    <col min="271" max="271" width="12.140625" style="131" customWidth="1"/>
    <col min="272" max="272" width="12.28515625" style="131" customWidth="1"/>
    <col min="273" max="273" width="11.140625" style="131" customWidth="1"/>
    <col min="274" max="274" width="11.28515625" style="131" customWidth="1"/>
    <col min="275" max="275" width="11.7109375" style="131" customWidth="1"/>
    <col min="276" max="276" width="11.42578125" style="131" customWidth="1"/>
    <col min="277" max="277" width="11.28515625" style="131" customWidth="1"/>
    <col min="278" max="278" width="11.140625" style="131" customWidth="1"/>
    <col min="279" max="279" width="12.5703125" style="131" customWidth="1"/>
    <col min="280" max="280" width="12.85546875" style="131" customWidth="1"/>
    <col min="281" max="511" width="9.140625" style="131" customWidth="1"/>
    <col min="512" max="512" width="3.28515625" style="131"/>
    <col min="513" max="513" width="3.28515625" style="131" customWidth="1"/>
    <col min="514" max="514" width="10.85546875" style="131" customWidth="1"/>
    <col min="515" max="515" width="36" style="131" customWidth="1"/>
    <col min="516" max="516" width="3.42578125" style="131" customWidth="1"/>
    <col min="517" max="517" width="11.28515625" style="131" customWidth="1"/>
    <col min="518" max="518" width="9.85546875" style="131" customWidth="1"/>
    <col min="519" max="519" width="10.7109375" style="131" customWidth="1"/>
    <col min="520" max="520" width="11.7109375" style="131" customWidth="1"/>
    <col min="521" max="521" width="12.140625" style="131" customWidth="1"/>
    <col min="522" max="523" width="11.5703125" style="131" customWidth="1"/>
    <col min="524" max="524" width="11.140625" style="131" customWidth="1"/>
    <col min="525" max="525" width="12.140625" style="131" customWidth="1"/>
    <col min="526" max="526" width="11.42578125" style="131" customWidth="1"/>
    <col min="527" max="527" width="12.140625" style="131" customWidth="1"/>
    <col min="528" max="528" width="12.28515625" style="131" customWidth="1"/>
    <col min="529" max="529" width="11.140625" style="131" customWidth="1"/>
    <col min="530" max="530" width="11.28515625" style="131" customWidth="1"/>
    <col min="531" max="531" width="11.7109375" style="131" customWidth="1"/>
    <col min="532" max="532" width="11.42578125" style="131" customWidth="1"/>
    <col min="533" max="533" width="11.28515625" style="131" customWidth="1"/>
    <col min="534" max="534" width="11.140625" style="131" customWidth="1"/>
    <col min="535" max="535" width="12.5703125" style="131" customWidth="1"/>
    <col min="536" max="536" width="12.85546875" style="131" customWidth="1"/>
    <col min="537" max="767" width="9.140625" style="131" customWidth="1"/>
    <col min="768" max="768" width="3.28515625" style="131"/>
    <col min="769" max="769" width="3.28515625" style="131" customWidth="1"/>
    <col min="770" max="770" width="10.85546875" style="131" customWidth="1"/>
    <col min="771" max="771" width="36" style="131" customWidth="1"/>
    <col min="772" max="772" width="3.42578125" style="131" customWidth="1"/>
    <col min="773" max="773" width="11.28515625" style="131" customWidth="1"/>
    <col min="774" max="774" width="9.85546875" style="131" customWidth="1"/>
    <col min="775" max="775" width="10.7109375" style="131" customWidth="1"/>
    <col min="776" max="776" width="11.7109375" style="131" customWidth="1"/>
    <col min="777" max="777" width="12.140625" style="131" customWidth="1"/>
    <col min="778" max="779" width="11.5703125" style="131" customWidth="1"/>
    <col min="780" max="780" width="11.140625" style="131" customWidth="1"/>
    <col min="781" max="781" width="12.140625" style="131" customWidth="1"/>
    <col min="782" max="782" width="11.42578125" style="131" customWidth="1"/>
    <col min="783" max="783" width="12.140625" style="131" customWidth="1"/>
    <col min="784" max="784" width="12.28515625" style="131" customWidth="1"/>
    <col min="785" max="785" width="11.140625" style="131" customWidth="1"/>
    <col min="786" max="786" width="11.28515625" style="131" customWidth="1"/>
    <col min="787" max="787" width="11.7109375" style="131" customWidth="1"/>
    <col min="788" max="788" width="11.42578125" style="131" customWidth="1"/>
    <col min="789" max="789" width="11.28515625" style="131" customWidth="1"/>
    <col min="790" max="790" width="11.140625" style="131" customWidth="1"/>
    <col min="791" max="791" width="12.5703125" style="131" customWidth="1"/>
    <col min="792" max="792" width="12.85546875" style="131" customWidth="1"/>
    <col min="793" max="1023" width="9.140625" style="131" customWidth="1"/>
    <col min="1024" max="1024" width="3.28515625" style="131"/>
    <col min="1025" max="1025" width="3.28515625" style="131" customWidth="1"/>
    <col min="1026" max="1026" width="10.85546875" style="131" customWidth="1"/>
    <col min="1027" max="1027" width="36" style="131" customWidth="1"/>
    <col min="1028" max="1028" width="3.42578125" style="131" customWidth="1"/>
    <col min="1029" max="1029" width="11.28515625" style="131" customWidth="1"/>
    <col min="1030" max="1030" width="9.85546875" style="131" customWidth="1"/>
    <col min="1031" max="1031" width="10.7109375" style="131" customWidth="1"/>
    <col min="1032" max="1032" width="11.7109375" style="131" customWidth="1"/>
    <col min="1033" max="1033" width="12.140625" style="131" customWidth="1"/>
    <col min="1034" max="1035" width="11.5703125" style="131" customWidth="1"/>
    <col min="1036" max="1036" width="11.140625" style="131" customWidth="1"/>
    <col min="1037" max="1037" width="12.140625" style="131" customWidth="1"/>
    <col min="1038" max="1038" width="11.42578125" style="131" customWidth="1"/>
    <col min="1039" max="1039" width="12.140625" style="131" customWidth="1"/>
    <col min="1040" max="1040" width="12.28515625" style="131" customWidth="1"/>
    <col min="1041" max="1041" width="11.140625" style="131" customWidth="1"/>
    <col min="1042" max="1042" width="11.28515625" style="131" customWidth="1"/>
    <col min="1043" max="1043" width="11.7109375" style="131" customWidth="1"/>
    <col min="1044" max="1044" width="11.42578125" style="131" customWidth="1"/>
    <col min="1045" max="1045" width="11.28515625" style="131" customWidth="1"/>
    <col min="1046" max="1046" width="11.140625" style="131" customWidth="1"/>
    <col min="1047" max="1047" width="12.5703125" style="131" customWidth="1"/>
    <col min="1048" max="1048" width="12.85546875" style="131" customWidth="1"/>
    <col min="1049" max="1279" width="9.140625" style="131" customWidth="1"/>
    <col min="1280" max="1280" width="3.28515625" style="131"/>
    <col min="1281" max="1281" width="3.28515625" style="131" customWidth="1"/>
    <col min="1282" max="1282" width="10.85546875" style="131" customWidth="1"/>
    <col min="1283" max="1283" width="36" style="131" customWidth="1"/>
    <col min="1284" max="1284" width="3.42578125" style="131" customWidth="1"/>
    <col min="1285" max="1285" width="11.28515625" style="131" customWidth="1"/>
    <col min="1286" max="1286" width="9.85546875" style="131" customWidth="1"/>
    <col min="1287" max="1287" width="10.7109375" style="131" customWidth="1"/>
    <col min="1288" max="1288" width="11.7109375" style="131" customWidth="1"/>
    <col min="1289" max="1289" width="12.140625" style="131" customWidth="1"/>
    <col min="1290" max="1291" width="11.5703125" style="131" customWidth="1"/>
    <col min="1292" max="1292" width="11.140625" style="131" customWidth="1"/>
    <col min="1293" max="1293" width="12.140625" style="131" customWidth="1"/>
    <col min="1294" max="1294" width="11.42578125" style="131" customWidth="1"/>
    <col min="1295" max="1295" width="12.140625" style="131" customWidth="1"/>
    <col min="1296" max="1296" width="12.28515625" style="131" customWidth="1"/>
    <col min="1297" max="1297" width="11.140625" style="131" customWidth="1"/>
    <col min="1298" max="1298" width="11.28515625" style="131" customWidth="1"/>
    <col min="1299" max="1299" width="11.7109375" style="131" customWidth="1"/>
    <col min="1300" max="1300" width="11.42578125" style="131" customWidth="1"/>
    <col min="1301" max="1301" width="11.28515625" style="131" customWidth="1"/>
    <col min="1302" max="1302" width="11.140625" style="131" customWidth="1"/>
    <col min="1303" max="1303" width="12.5703125" style="131" customWidth="1"/>
    <col min="1304" max="1304" width="12.85546875" style="131" customWidth="1"/>
    <col min="1305" max="1535" width="9.140625" style="131" customWidth="1"/>
    <col min="1536" max="1536" width="3.28515625" style="131"/>
    <col min="1537" max="1537" width="3.28515625" style="131" customWidth="1"/>
    <col min="1538" max="1538" width="10.85546875" style="131" customWidth="1"/>
    <col min="1539" max="1539" width="36" style="131" customWidth="1"/>
    <col min="1540" max="1540" width="3.42578125" style="131" customWidth="1"/>
    <col min="1541" max="1541" width="11.28515625" style="131" customWidth="1"/>
    <col min="1542" max="1542" width="9.85546875" style="131" customWidth="1"/>
    <col min="1543" max="1543" width="10.7109375" style="131" customWidth="1"/>
    <col min="1544" max="1544" width="11.7109375" style="131" customWidth="1"/>
    <col min="1545" max="1545" width="12.140625" style="131" customWidth="1"/>
    <col min="1546" max="1547" width="11.5703125" style="131" customWidth="1"/>
    <col min="1548" max="1548" width="11.140625" style="131" customWidth="1"/>
    <col min="1549" max="1549" width="12.140625" style="131" customWidth="1"/>
    <col min="1550" max="1550" width="11.42578125" style="131" customWidth="1"/>
    <col min="1551" max="1551" width="12.140625" style="131" customWidth="1"/>
    <col min="1552" max="1552" width="12.28515625" style="131" customWidth="1"/>
    <col min="1553" max="1553" width="11.140625" style="131" customWidth="1"/>
    <col min="1554" max="1554" width="11.28515625" style="131" customWidth="1"/>
    <col min="1555" max="1555" width="11.7109375" style="131" customWidth="1"/>
    <col min="1556" max="1556" width="11.42578125" style="131" customWidth="1"/>
    <col min="1557" max="1557" width="11.28515625" style="131" customWidth="1"/>
    <col min="1558" max="1558" width="11.140625" style="131" customWidth="1"/>
    <col min="1559" max="1559" width="12.5703125" style="131" customWidth="1"/>
    <col min="1560" max="1560" width="12.85546875" style="131" customWidth="1"/>
    <col min="1561" max="1791" width="9.140625" style="131" customWidth="1"/>
    <col min="1792" max="1792" width="3.28515625" style="131"/>
    <col min="1793" max="1793" width="3.28515625" style="131" customWidth="1"/>
    <col min="1794" max="1794" width="10.85546875" style="131" customWidth="1"/>
    <col min="1795" max="1795" width="36" style="131" customWidth="1"/>
    <col min="1796" max="1796" width="3.42578125" style="131" customWidth="1"/>
    <col min="1797" max="1797" width="11.28515625" style="131" customWidth="1"/>
    <col min="1798" max="1798" width="9.85546875" style="131" customWidth="1"/>
    <col min="1799" max="1799" width="10.7109375" style="131" customWidth="1"/>
    <col min="1800" max="1800" width="11.7109375" style="131" customWidth="1"/>
    <col min="1801" max="1801" width="12.140625" style="131" customWidth="1"/>
    <col min="1802" max="1803" width="11.5703125" style="131" customWidth="1"/>
    <col min="1804" max="1804" width="11.140625" style="131" customWidth="1"/>
    <col min="1805" max="1805" width="12.140625" style="131" customWidth="1"/>
    <col min="1806" max="1806" width="11.42578125" style="131" customWidth="1"/>
    <col min="1807" max="1807" width="12.140625" style="131" customWidth="1"/>
    <col min="1808" max="1808" width="12.28515625" style="131" customWidth="1"/>
    <col min="1809" max="1809" width="11.140625" style="131" customWidth="1"/>
    <col min="1810" max="1810" width="11.28515625" style="131" customWidth="1"/>
    <col min="1811" max="1811" width="11.7109375" style="131" customWidth="1"/>
    <col min="1812" max="1812" width="11.42578125" style="131" customWidth="1"/>
    <col min="1813" max="1813" width="11.28515625" style="131" customWidth="1"/>
    <col min="1814" max="1814" width="11.140625" style="131" customWidth="1"/>
    <col min="1815" max="1815" width="12.5703125" style="131" customWidth="1"/>
    <col min="1816" max="1816" width="12.85546875" style="131" customWidth="1"/>
    <col min="1817" max="2047" width="9.140625" style="131" customWidth="1"/>
    <col min="2048" max="2048" width="3.28515625" style="131"/>
    <col min="2049" max="2049" width="3.28515625" style="131" customWidth="1"/>
    <col min="2050" max="2050" width="10.85546875" style="131" customWidth="1"/>
    <col min="2051" max="2051" width="36" style="131" customWidth="1"/>
    <col min="2052" max="2052" width="3.42578125" style="131" customWidth="1"/>
    <col min="2053" max="2053" width="11.28515625" style="131" customWidth="1"/>
    <col min="2054" max="2054" width="9.85546875" style="131" customWidth="1"/>
    <col min="2055" max="2055" width="10.7109375" style="131" customWidth="1"/>
    <col min="2056" max="2056" width="11.7109375" style="131" customWidth="1"/>
    <col min="2057" max="2057" width="12.140625" style="131" customWidth="1"/>
    <col min="2058" max="2059" width="11.5703125" style="131" customWidth="1"/>
    <col min="2060" max="2060" width="11.140625" style="131" customWidth="1"/>
    <col min="2061" max="2061" width="12.140625" style="131" customWidth="1"/>
    <col min="2062" max="2062" width="11.42578125" style="131" customWidth="1"/>
    <col min="2063" max="2063" width="12.140625" style="131" customWidth="1"/>
    <col min="2064" max="2064" width="12.28515625" style="131" customWidth="1"/>
    <col min="2065" max="2065" width="11.140625" style="131" customWidth="1"/>
    <col min="2066" max="2066" width="11.28515625" style="131" customWidth="1"/>
    <col min="2067" max="2067" width="11.7109375" style="131" customWidth="1"/>
    <col min="2068" max="2068" width="11.42578125" style="131" customWidth="1"/>
    <col min="2069" max="2069" width="11.28515625" style="131" customWidth="1"/>
    <col min="2070" max="2070" width="11.140625" style="131" customWidth="1"/>
    <col min="2071" max="2071" width="12.5703125" style="131" customWidth="1"/>
    <col min="2072" max="2072" width="12.85546875" style="131" customWidth="1"/>
    <col min="2073" max="2303" width="9.140625" style="131" customWidth="1"/>
    <col min="2304" max="2304" width="3.28515625" style="131"/>
    <col min="2305" max="2305" width="3.28515625" style="131" customWidth="1"/>
    <col min="2306" max="2306" width="10.85546875" style="131" customWidth="1"/>
    <col min="2307" max="2307" width="36" style="131" customWidth="1"/>
    <col min="2308" max="2308" width="3.42578125" style="131" customWidth="1"/>
    <col min="2309" max="2309" width="11.28515625" style="131" customWidth="1"/>
    <col min="2310" max="2310" width="9.85546875" style="131" customWidth="1"/>
    <col min="2311" max="2311" width="10.7109375" style="131" customWidth="1"/>
    <col min="2312" max="2312" width="11.7109375" style="131" customWidth="1"/>
    <col min="2313" max="2313" width="12.140625" style="131" customWidth="1"/>
    <col min="2314" max="2315" width="11.5703125" style="131" customWidth="1"/>
    <col min="2316" max="2316" width="11.140625" style="131" customWidth="1"/>
    <col min="2317" max="2317" width="12.140625" style="131" customWidth="1"/>
    <col min="2318" max="2318" width="11.42578125" style="131" customWidth="1"/>
    <col min="2319" max="2319" width="12.140625" style="131" customWidth="1"/>
    <col min="2320" max="2320" width="12.28515625" style="131" customWidth="1"/>
    <col min="2321" max="2321" width="11.140625" style="131" customWidth="1"/>
    <col min="2322" max="2322" width="11.28515625" style="131" customWidth="1"/>
    <col min="2323" max="2323" width="11.7109375" style="131" customWidth="1"/>
    <col min="2324" max="2324" width="11.42578125" style="131" customWidth="1"/>
    <col min="2325" max="2325" width="11.28515625" style="131" customWidth="1"/>
    <col min="2326" max="2326" width="11.140625" style="131" customWidth="1"/>
    <col min="2327" max="2327" width="12.5703125" style="131" customWidth="1"/>
    <col min="2328" max="2328" width="12.85546875" style="131" customWidth="1"/>
    <col min="2329" max="2559" width="9.140625" style="131" customWidth="1"/>
    <col min="2560" max="2560" width="3.28515625" style="131"/>
    <col min="2561" max="2561" width="3.28515625" style="131" customWidth="1"/>
    <col min="2562" max="2562" width="10.85546875" style="131" customWidth="1"/>
    <col min="2563" max="2563" width="36" style="131" customWidth="1"/>
    <col min="2564" max="2564" width="3.42578125" style="131" customWidth="1"/>
    <col min="2565" max="2565" width="11.28515625" style="131" customWidth="1"/>
    <col min="2566" max="2566" width="9.85546875" style="131" customWidth="1"/>
    <col min="2567" max="2567" width="10.7109375" style="131" customWidth="1"/>
    <col min="2568" max="2568" width="11.7109375" style="131" customWidth="1"/>
    <col min="2569" max="2569" width="12.140625" style="131" customWidth="1"/>
    <col min="2570" max="2571" width="11.5703125" style="131" customWidth="1"/>
    <col min="2572" max="2572" width="11.140625" style="131" customWidth="1"/>
    <col min="2573" max="2573" width="12.140625" style="131" customWidth="1"/>
    <col min="2574" max="2574" width="11.42578125" style="131" customWidth="1"/>
    <col min="2575" max="2575" width="12.140625" style="131" customWidth="1"/>
    <col min="2576" max="2576" width="12.28515625" style="131" customWidth="1"/>
    <col min="2577" max="2577" width="11.140625" style="131" customWidth="1"/>
    <col min="2578" max="2578" width="11.28515625" style="131" customWidth="1"/>
    <col min="2579" max="2579" width="11.7109375" style="131" customWidth="1"/>
    <col min="2580" max="2580" width="11.42578125" style="131" customWidth="1"/>
    <col min="2581" max="2581" width="11.28515625" style="131" customWidth="1"/>
    <col min="2582" max="2582" width="11.140625" style="131" customWidth="1"/>
    <col min="2583" max="2583" width="12.5703125" style="131" customWidth="1"/>
    <col min="2584" max="2584" width="12.85546875" style="131" customWidth="1"/>
    <col min="2585" max="2815" width="9.140625" style="131" customWidth="1"/>
    <col min="2816" max="2816" width="3.28515625" style="131"/>
    <col min="2817" max="2817" width="3.28515625" style="131" customWidth="1"/>
    <col min="2818" max="2818" width="10.85546875" style="131" customWidth="1"/>
    <col min="2819" max="2819" width="36" style="131" customWidth="1"/>
    <col min="2820" max="2820" width="3.42578125" style="131" customWidth="1"/>
    <col min="2821" max="2821" width="11.28515625" style="131" customWidth="1"/>
    <col min="2822" max="2822" width="9.85546875" style="131" customWidth="1"/>
    <col min="2823" max="2823" width="10.7109375" style="131" customWidth="1"/>
    <col min="2824" max="2824" width="11.7109375" style="131" customWidth="1"/>
    <col min="2825" max="2825" width="12.140625" style="131" customWidth="1"/>
    <col min="2826" max="2827" width="11.5703125" style="131" customWidth="1"/>
    <col min="2828" max="2828" width="11.140625" style="131" customWidth="1"/>
    <col min="2829" max="2829" width="12.140625" style="131" customWidth="1"/>
    <col min="2830" max="2830" width="11.42578125" style="131" customWidth="1"/>
    <col min="2831" max="2831" width="12.140625" style="131" customWidth="1"/>
    <col min="2832" max="2832" width="12.28515625" style="131" customWidth="1"/>
    <col min="2833" max="2833" width="11.140625" style="131" customWidth="1"/>
    <col min="2834" max="2834" width="11.28515625" style="131" customWidth="1"/>
    <col min="2835" max="2835" width="11.7109375" style="131" customWidth="1"/>
    <col min="2836" max="2836" width="11.42578125" style="131" customWidth="1"/>
    <col min="2837" max="2837" width="11.28515625" style="131" customWidth="1"/>
    <col min="2838" max="2838" width="11.140625" style="131" customWidth="1"/>
    <col min="2839" max="2839" width="12.5703125" style="131" customWidth="1"/>
    <col min="2840" max="2840" width="12.85546875" style="131" customWidth="1"/>
    <col min="2841" max="3071" width="9.140625" style="131" customWidth="1"/>
    <col min="3072" max="3072" width="3.28515625" style="131"/>
    <col min="3073" max="3073" width="3.28515625" style="131" customWidth="1"/>
    <col min="3074" max="3074" width="10.85546875" style="131" customWidth="1"/>
    <col min="3075" max="3075" width="36" style="131" customWidth="1"/>
    <col min="3076" max="3076" width="3.42578125" style="131" customWidth="1"/>
    <col min="3077" max="3077" width="11.28515625" style="131" customWidth="1"/>
    <col min="3078" max="3078" width="9.85546875" style="131" customWidth="1"/>
    <col min="3079" max="3079" width="10.7109375" style="131" customWidth="1"/>
    <col min="3080" max="3080" width="11.7109375" style="131" customWidth="1"/>
    <col min="3081" max="3081" width="12.140625" style="131" customWidth="1"/>
    <col min="3082" max="3083" width="11.5703125" style="131" customWidth="1"/>
    <col min="3084" max="3084" width="11.140625" style="131" customWidth="1"/>
    <col min="3085" max="3085" width="12.140625" style="131" customWidth="1"/>
    <col min="3086" max="3086" width="11.42578125" style="131" customWidth="1"/>
    <col min="3087" max="3087" width="12.140625" style="131" customWidth="1"/>
    <col min="3088" max="3088" width="12.28515625" style="131" customWidth="1"/>
    <col min="3089" max="3089" width="11.140625" style="131" customWidth="1"/>
    <col min="3090" max="3090" width="11.28515625" style="131" customWidth="1"/>
    <col min="3091" max="3091" width="11.7109375" style="131" customWidth="1"/>
    <col min="3092" max="3092" width="11.42578125" style="131" customWidth="1"/>
    <col min="3093" max="3093" width="11.28515625" style="131" customWidth="1"/>
    <col min="3094" max="3094" width="11.140625" style="131" customWidth="1"/>
    <col min="3095" max="3095" width="12.5703125" style="131" customWidth="1"/>
    <col min="3096" max="3096" width="12.85546875" style="131" customWidth="1"/>
    <col min="3097" max="3327" width="9.140625" style="131" customWidth="1"/>
    <col min="3328" max="3328" width="3.28515625" style="131"/>
    <col min="3329" max="3329" width="3.28515625" style="131" customWidth="1"/>
    <col min="3330" max="3330" width="10.85546875" style="131" customWidth="1"/>
    <col min="3331" max="3331" width="36" style="131" customWidth="1"/>
    <col min="3332" max="3332" width="3.42578125" style="131" customWidth="1"/>
    <col min="3333" max="3333" width="11.28515625" style="131" customWidth="1"/>
    <col min="3334" max="3334" width="9.85546875" style="131" customWidth="1"/>
    <col min="3335" max="3335" width="10.7109375" style="131" customWidth="1"/>
    <col min="3336" max="3336" width="11.7109375" style="131" customWidth="1"/>
    <col min="3337" max="3337" width="12.140625" style="131" customWidth="1"/>
    <col min="3338" max="3339" width="11.5703125" style="131" customWidth="1"/>
    <col min="3340" max="3340" width="11.140625" style="131" customWidth="1"/>
    <col min="3341" max="3341" width="12.140625" style="131" customWidth="1"/>
    <col min="3342" max="3342" width="11.42578125" style="131" customWidth="1"/>
    <col min="3343" max="3343" width="12.140625" style="131" customWidth="1"/>
    <col min="3344" max="3344" width="12.28515625" style="131" customWidth="1"/>
    <col min="3345" max="3345" width="11.140625" style="131" customWidth="1"/>
    <col min="3346" max="3346" width="11.28515625" style="131" customWidth="1"/>
    <col min="3347" max="3347" width="11.7109375" style="131" customWidth="1"/>
    <col min="3348" max="3348" width="11.42578125" style="131" customWidth="1"/>
    <col min="3349" max="3349" width="11.28515625" style="131" customWidth="1"/>
    <col min="3350" max="3350" width="11.140625" style="131" customWidth="1"/>
    <col min="3351" max="3351" width="12.5703125" style="131" customWidth="1"/>
    <col min="3352" max="3352" width="12.85546875" style="131" customWidth="1"/>
    <col min="3353" max="3583" width="9.140625" style="131" customWidth="1"/>
    <col min="3584" max="3584" width="3.28515625" style="131"/>
    <col min="3585" max="3585" width="3.28515625" style="131" customWidth="1"/>
    <col min="3586" max="3586" width="10.85546875" style="131" customWidth="1"/>
    <col min="3587" max="3587" width="36" style="131" customWidth="1"/>
    <col min="3588" max="3588" width="3.42578125" style="131" customWidth="1"/>
    <col min="3589" max="3589" width="11.28515625" style="131" customWidth="1"/>
    <col min="3590" max="3590" width="9.85546875" style="131" customWidth="1"/>
    <col min="3591" max="3591" width="10.7109375" style="131" customWidth="1"/>
    <col min="3592" max="3592" width="11.7109375" style="131" customWidth="1"/>
    <col min="3593" max="3593" width="12.140625" style="131" customWidth="1"/>
    <col min="3594" max="3595" width="11.5703125" style="131" customWidth="1"/>
    <col min="3596" max="3596" width="11.140625" style="131" customWidth="1"/>
    <col min="3597" max="3597" width="12.140625" style="131" customWidth="1"/>
    <col min="3598" max="3598" width="11.42578125" style="131" customWidth="1"/>
    <col min="3599" max="3599" width="12.140625" style="131" customWidth="1"/>
    <col min="3600" max="3600" width="12.28515625" style="131" customWidth="1"/>
    <col min="3601" max="3601" width="11.140625" style="131" customWidth="1"/>
    <col min="3602" max="3602" width="11.28515625" style="131" customWidth="1"/>
    <col min="3603" max="3603" width="11.7109375" style="131" customWidth="1"/>
    <col min="3604" max="3604" width="11.42578125" style="131" customWidth="1"/>
    <col min="3605" max="3605" width="11.28515625" style="131" customWidth="1"/>
    <col min="3606" max="3606" width="11.140625" style="131" customWidth="1"/>
    <col min="3607" max="3607" width="12.5703125" style="131" customWidth="1"/>
    <col min="3608" max="3608" width="12.85546875" style="131" customWidth="1"/>
    <col min="3609" max="3839" width="9.140625" style="131" customWidth="1"/>
    <col min="3840" max="3840" width="3.28515625" style="131"/>
    <col min="3841" max="3841" width="3.28515625" style="131" customWidth="1"/>
    <col min="3842" max="3842" width="10.85546875" style="131" customWidth="1"/>
    <col min="3843" max="3843" width="36" style="131" customWidth="1"/>
    <col min="3844" max="3844" width="3.42578125" style="131" customWidth="1"/>
    <col min="3845" max="3845" width="11.28515625" style="131" customWidth="1"/>
    <col min="3846" max="3846" width="9.85546875" style="131" customWidth="1"/>
    <col min="3847" max="3847" width="10.7109375" style="131" customWidth="1"/>
    <col min="3848" max="3848" width="11.7109375" style="131" customWidth="1"/>
    <col min="3849" max="3849" width="12.140625" style="131" customWidth="1"/>
    <col min="3850" max="3851" width="11.5703125" style="131" customWidth="1"/>
    <col min="3852" max="3852" width="11.140625" style="131" customWidth="1"/>
    <col min="3853" max="3853" width="12.140625" style="131" customWidth="1"/>
    <col min="3854" max="3854" width="11.42578125" style="131" customWidth="1"/>
    <col min="3855" max="3855" width="12.140625" style="131" customWidth="1"/>
    <col min="3856" max="3856" width="12.28515625" style="131" customWidth="1"/>
    <col min="3857" max="3857" width="11.140625" style="131" customWidth="1"/>
    <col min="3858" max="3858" width="11.28515625" style="131" customWidth="1"/>
    <col min="3859" max="3859" width="11.7109375" style="131" customWidth="1"/>
    <col min="3860" max="3860" width="11.42578125" style="131" customWidth="1"/>
    <col min="3861" max="3861" width="11.28515625" style="131" customWidth="1"/>
    <col min="3862" max="3862" width="11.140625" style="131" customWidth="1"/>
    <col min="3863" max="3863" width="12.5703125" style="131" customWidth="1"/>
    <col min="3864" max="3864" width="12.85546875" style="131" customWidth="1"/>
    <col min="3865" max="4095" width="9.140625" style="131" customWidth="1"/>
    <col min="4096" max="4096" width="3.28515625" style="131"/>
    <col min="4097" max="4097" width="3.28515625" style="131" customWidth="1"/>
    <col min="4098" max="4098" width="10.85546875" style="131" customWidth="1"/>
    <col min="4099" max="4099" width="36" style="131" customWidth="1"/>
    <col min="4100" max="4100" width="3.42578125" style="131" customWidth="1"/>
    <col min="4101" max="4101" width="11.28515625" style="131" customWidth="1"/>
    <col min="4102" max="4102" width="9.85546875" style="131" customWidth="1"/>
    <col min="4103" max="4103" width="10.7109375" style="131" customWidth="1"/>
    <col min="4104" max="4104" width="11.7109375" style="131" customWidth="1"/>
    <col min="4105" max="4105" width="12.140625" style="131" customWidth="1"/>
    <col min="4106" max="4107" width="11.5703125" style="131" customWidth="1"/>
    <col min="4108" max="4108" width="11.140625" style="131" customWidth="1"/>
    <col min="4109" max="4109" width="12.140625" style="131" customWidth="1"/>
    <col min="4110" max="4110" width="11.42578125" style="131" customWidth="1"/>
    <col min="4111" max="4111" width="12.140625" style="131" customWidth="1"/>
    <col min="4112" max="4112" width="12.28515625" style="131" customWidth="1"/>
    <col min="4113" max="4113" width="11.140625" style="131" customWidth="1"/>
    <col min="4114" max="4114" width="11.28515625" style="131" customWidth="1"/>
    <col min="4115" max="4115" width="11.7109375" style="131" customWidth="1"/>
    <col min="4116" max="4116" width="11.42578125" style="131" customWidth="1"/>
    <col min="4117" max="4117" width="11.28515625" style="131" customWidth="1"/>
    <col min="4118" max="4118" width="11.140625" style="131" customWidth="1"/>
    <col min="4119" max="4119" width="12.5703125" style="131" customWidth="1"/>
    <col min="4120" max="4120" width="12.85546875" style="131" customWidth="1"/>
    <col min="4121" max="4351" width="9.140625" style="131" customWidth="1"/>
    <col min="4352" max="4352" width="3.28515625" style="131"/>
    <col min="4353" max="4353" width="3.28515625" style="131" customWidth="1"/>
    <col min="4354" max="4354" width="10.85546875" style="131" customWidth="1"/>
    <col min="4355" max="4355" width="36" style="131" customWidth="1"/>
    <col min="4356" max="4356" width="3.42578125" style="131" customWidth="1"/>
    <col min="4357" max="4357" width="11.28515625" style="131" customWidth="1"/>
    <col min="4358" max="4358" width="9.85546875" style="131" customWidth="1"/>
    <col min="4359" max="4359" width="10.7109375" style="131" customWidth="1"/>
    <col min="4360" max="4360" width="11.7109375" style="131" customWidth="1"/>
    <col min="4361" max="4361" width="12.140625" style="131" customWidth="1"/>
    <col min="4362" max="4363" width="11.5703125" style="131" customWidth="1"/>
    <col min="4364" max="4364" width="11.140625" style="131" customWidth="1"/>
    <col min="4365" max="4365" width="12.140625" style="131" customWidth="1"/>
    <col min="4366" max="4366" width="11.42578125" style="131" customWidth="1"/>
    <col min="4367" max="4367" width="12.140625" style="131" customWidth="1"/>
    <col min="4368" max="4368" width="12.28515625" style="131" customWidth="1"/>
    <col min="4369" max="4369" width="11.140625" style="131" customWidth="1"/>
    <col min="4370" max="4370" width="11.28515625" style="131" customWidth="1"/>
    <col min="4371" max="4371" width="11.7109375" style="131" customWidth="1"/>
    <col min="4372" max="4372" width="11.42578125" style="131" customWidth="1"/>
    <col min="4373" max="4373" width="11.28515625" style="131" customWidth="1"/>
    <col min="4374" max="4374" width="11.140625" style="131" customWidth="1"/>
    <col min="4375" max="4375" width="12.5703125" style="131" customWidth="1"/>
    <col min="4376" max="4376" width="12.85546875" style="131" customWidth="1"/>
    <col min="4377" max="4607" width="9.140625" style="131" customWidth="1"/>
    <col min="4608" max="4608" width="3.28515625" style="131"/>
    <col min="4609" max="4609" width="3.28515625" style="131" customWidth="1"/>
    <col min="4610" max="4610" width="10.85546875" style="131" customWidth="1"/>
    <col min="4611" max="4611" width="36" style="131" customWidth="1"/>
    <col min="4612" max="4612" width="3.42578125" style="131" customWidth="1"/>
    <col min="4613" max="4613" width="11.28515625" style="131" customWidth="1"/>
    <col min="4614" max="4614" width="9.85546875" style="131" customWidth="1"/>
    <col min="4615" max="4615" width="10.7109375" style="131" customWidth="1"/>
    <col min="4616" max="4616" width="11.7109375" style="131" customWidth="1"/>
    <col min="4617" max="4617" width="12.140625" style="131" customWidth="1"/>
    <col min="4618" max="4619" width="11.5703125" style="131" customWidth="1"/>
    <col min="4620" max="4620" width="11.140625" style="131" customWidth="1"/>
    <col min="4621" max="4621" width="12.140625" style="131" customWidth="1"/>
    <col min="4622" max="4622" width="11.42578125" style="131" customWidth="1"/>
    <col min="4623" max="4623" width="12.140625" style="131" customWidth="1"/>
    <col min="4624" max="4624" width="12.28515625" style="131" customWidth="1"/>
    <col min="4625" max="4625" width="11.140625" style="131" customWidth="1"/>
    <col min="4626" max="4626" width="11.28515625" style="131" customWidth="1"/>
    <col min="4627" max="4627" width="11.7109375" style="131" customWidth="1"/>
    <col min="4628" max="4628" width="11.42578125" style="131" customWidth="1"/>
    <col min="4629" max="4629" width="11.28515625" style="131" customWidth="1"/>
    <col min="4630" max="4630" width="11.140625" style="131" customWidth="1"/>
    <col min="4631" max="4631" width="12.5703125" style="131" customWidth="1"/>
    <col min="4632" max="4632" width="12.85546875" style="131" customWidth="1"/>
    <col min="4633" max="4863" width="9.140625" style="131" customWidth="1"/>
    <col min="4864" max="4864" width="3.28515625" style="131"/>
    <col min="4865" max="4865" width="3.28515625" style="131" customWidth="1"/>
    <col min="4866" max="4866" width="10.85546875" style="131" customWidth="1"/>
    <col min="4867" max="4867" width="36" style="131" customWidth="1"/>
    <col min="4868" max="4868" width="3.42578125" style="131" customWidth="1"/>
    <col min="4869" max="4869" width="11.28515625" style="131" customWidth="1"/>
    <col min="4870" max="4870" width="9.85546875" style="131" customWidth="1"/>
    <col min="4871" max="4871" width="10.7109375" style="131" customWidth="1"/>
    <col min="4872" max="4872" width="11.7109375" style="131" customWidth="1"/>
    <col min="4873" max="4873" width="12.140625" style="131" customWidth="1"/>
    <col min="4874" max="4875" width="11.5703125" style="131" customWidth="1"/>
    <col min="4876" max="4876" width="11.140625" style="131" customWidth="1"/>
    <col min="4877" max="4877" width="12.140625" style="131" customWidth="1"/>
    <col min="4878" max="4878" width="11.42578125" style="131" customWidth="1"/>
    <col min="4879" max="4879" width="12.140625" style="131" customWidth="1"/>
    <col min="4880" max="4880" width="12.28515625" style="131" customWidth="1"/>
    <col min="4881" max="4881" width="11.140625" style="131" customWidth="1"/>
    <col min="4882" max="4882" width="11.28515625" style="131" customWidth="1"/>
    <col min="4883" max="4883" width="11.7109375" style="131" customWidth="1"/>
    <col min="4884" max="4884" width="11.42578125" style="131" customWidth="1"/>
    <col min="4885" max="4885" width="11.28515625" style="131" customWidth="1"/>
    <col min="4886" max="4886" width="11.140625" style="131" customWidth="1"/>
    <col min="4887" max="4887" width="12.5703125" style="131" customWidth="1"/>
    <col min="4888" max="4888" width="12.85546875" style="131" customWidth="1"/>
    <col min="4889" max="5119" width="9.140625" style="131" customWidth="1"/>
    <col min="5120" max="5120" width="3.28515625" style="131"/>
    <col min="5121" max="5121" width="3.28515625" style="131" customWidth="1"/>
    <col min="5122" max="5122" width="10.85546875" style="131" customWidth="1"/>
    <col min="5123" max="5123" width="36" style="131" customWidth="1"/>
    <col min="5124" max="5124" width="3.42578125" style="131" customWidth="1"/>
    <col min="5125" max="5125" width="11.28515625" style="131" customWidth="1"/>
    <col min="5126" max="5126" width="9.85546875" style="131" customWidth="1"/>
    <col min="5127" max="5127" width="10.7109375" style="131" customWidth="1"/>
    <col min="5128" max="5128" width="11.7109375" style="131" customWidth="1"/>
    <col min="5129" max="5129" width="12.140625" style="131" customWidth="1"/>
    <col min="5130" max="5131" width="11.5703125" style="131" customWidth="1"/>
    <col min="5132" max="5132" width="11.140625" style="131" customWidth="1"/>
    <col min="5133" max="5133" width="12.140625" style="131" customWidth="1"/>
    <col min="5134" max="5134" width="11.42578125" style="131" customWidth="1"/>
    <col min="5135" max="5135" width="12.140625" style="131" customWidth="1"/>
    <col min="5136" max="5136" width="12.28515625" style="131" customWidth="1"/>
    <col min="5137" max="5137" width="11.140625" style="131" customWidth="1"/>
    <col min="5138" max="5138" width="11.28515625" style="131" customWidth="1"/>
    <col min="5139" max="5139" width="11.7109375" style="131" customWidth="1"/>
    <col min="5140" max="5140" width="11.42578125" style="131" customWidth="1"/>
    <col min="5141" max="5141" width="11.28515625" style="131" customWidth="1"/>
    <col min="5142" max="5142" width="11.140625" style="131" customWidth="1"/>
    <col min="5143" max="5143" width="12.5703125" style="131" customWidth="1"/>
    <col min="5144" max="5144" width="12.85546875" style="131" customWidth="1"/>
    <col min="5145" max="5375" width="9.140625" style="131" customWidth="1"/>
    <col min="5376" max="5376" width="3.28515625" style="131"/>
    <col min="5377" max="5377" width="3.28515625" style="131" customWidth="1"/>
    <col min="5378" max="5378" width="10.85546875" style="131" customWidth="1"/>
    <col min="5379" max="5379" width="36" style="131" customWidth="1"/>
    <col min="5380" max="5380" width="3.42578125" style="131" customWidth="1"/>
    <col min="5381" max="5381" width="11.28515625" style="131" customWidth="1"/>
    <col min="5382" max="5382" width="9.85546875" style="131" customWidth="1"/>
    <col min="5383" max="5383" width="10.7109375" style="131" customWidth="1"/>
    <col min="5384" max="5384" width="11.7109375" style="131" customWidth="1"/>
    <col min="5385" max="5385" width="12.140625" style="131" customWidth="1"/>
    <col min="5386" max="5387" width="11.5703125" style="131" customWidth="1"/>
    <col min="5388" max="5388" width="11.140625" style="131" customWidth="1"/>
    <col min="5389" max="5389" width="12.140625" style="131" customWidth="1"/>
    <col min="5390" max="5390" width="11.42578125" style="131" customWidth="1"/>
    <col min="5391" max="5391" width="12.140625" style="131" customWidth="1"/>
    <col min="5392" max="5392" width="12.28515625" style="131" customWidth="1"/>
    <col min="5393" max="5393" width="11.140625" style="131" customWidth="1"/>
    <col min="5394" max="5394" width="11.28515625" style="131" customWidth="1"/>
    <col min="5395" max="5395" width="11.7109375" style="131" customWidth="1"/>
    <col min="5396" max="5396" width="11.42578125" style="131" customWidth="1"/>
    <col min="5397" max="5397" width="11.28515625" style="131" customWidth="1"/>
    <col min="5398" max="5398" width="11.140625" style="131" customWidth="1"/>
    <col min="5399" max="5399" width="12.5703125" style="131" customWidth="1"/>
    <col min="5400" max="5400" width="12.85546875" style="131" customWidth="1"/>
    <col min="5401" max="5631" width="9.140625" style="131" customWidth="1"/>
    <col min="5632" max="5632" width="3.28515625" style="131"/>
    <col min="5633" max="5633" width="3.28515625" style="131" customWidth="1"/>
    <col min="5634" max="5634" width="10.85546875" style="131" customWidth="1"/>
    <col min="5635" max="5635" width="36" style="131" customWidth="1"/>
    <col min="5636" max="5636" width="3.42578125" style="131" customWidth="1"/>
    <col min="5637" max="5637" width="11.28515625" style="131" customWidth="1"/>
    <col min="5638" max="5638" width="9.85546875" style="131" customWidth="1"/>
    <col min="5639" max="5639" width="10.7109375" style="131" customWidth="1"/>
    <col min="5640" max="5640" width="11.7109375" style="131" customWidth="1"/>
    <col min="5641" max="5641" width="12.140625" style="131" customWidth="1"/>
    <col min="5642" max="5643" width="11.5703125" style="131" customWidth="1"/>
    <col min="5644" max="5644" width="11.140625" style="131" customWidth="1"/>
    <col min="5645" max="5645" width="12.140625" style="131" customWidth="1"/>
    <col min="5646" max="5646" width="11.42578125" style="131" customWidth="1"/>
    <col min="5647" max="5647" width="12.140625" style="131" customWidth="1"/>
    <col min="5648" max="5648" width="12.28515625" style="131" customWidth="1"/>
    <col min="5649" max="5649" width="11.140625" style="131" customWidth="1"/>
    <col min="5650" max="5650" width="11.28515625" style="131" customWidth="1"/>
    <col min="5651" max="5651" width="11.7109375" style="131" customWidth="1"/>
    <col min="5652" max="5652" width="11.42578125" style="131" customWidth="1"/>
    <col min="5653" max="5653" width="11.28515625" style="131" customWidth="1"/>
    <col min="5654" max="5654" width="11.140625" style="131" customWidth="1"/>
    <col min="5655" max="5655" width="12.5703125" style="131" customWidth="1"/>
    <col min="5656" max="5656" width="12.85546875" style="131" customWidth="1"/>
    <col min="5657" max="5887" width="9.140625" style="131" customWidth="1"/>
    <col min="5888" max="5888" width="3.28515625" style="131"/>
    <col min="5889" max="5889" width="3.28515625" style="131" customWidth="1"/>
    <col min="5890" max="5890" width="10.85546875" style="131" customWidth="1"/>
    <col min="5891" max="5891" width="36" style="131" customWidth="1"/>
    <col min="5892" max="5892" width="3.42578125" style="131" customWidth="1"/>
    <col min="5893" max="5893" width="11.28515625" style="131" customWidth="1"/>
    <col min="5894" max="5894" width="9.85546875" style="131" customWidth="1"/>
    <col min="5895" max="5895" width="10.7109375" style="131" customWidth="1"/>
    <col min="5896" max="5896" width="11.7109375" style="131" customWidth="1"/>
    <col min="5897" max="5897" width="12.140625" style="131" customWidth="1"/>
    <col min="5898" max="5899" width="11.5703125" style="131" customWidth="1"/>
    <col min="5900" max="5900" width="11.140625" style="131" customWidth="1"/>
    <col min="5901" max="5901" width="12.140625" style="131" customWidth="1"/>
    <col min="5902" max="5902" width="11.42578125" style="131" customWidth="1"/>
    <col min="5903" max="5903" width="12.140625" style="131" customWidth="1"/>
    <col min="5904" max="5904" width="12.28515625" style="131" customWidth="1"/>
    <col min="5905" max="5905" width="11.140625" style="131" customWidth="1"/>
    <col min="5906" max="5906" width="11.28515625" style="131" customWidth="1"/>
    <col min="5907" max="5907" width="11.7109375" style="131" customWidth="1"/>
    <col min="5908" max="5908" width="11.42578125" style="131" customWidth="1"/>
    <col min="5909" max="5909" width="11.28515625" style="131" customWidth="1"/>
    <col min="5910" max="5910" width="11.140625" style="131" customWidth="1"/>
    <col min="5911" max="5911" width="12.5703125" style="131" customWidth="1"/>
    <col min="5912" max="5912" width="12.85546875" style="131" customWidth="1"/>
    <col min="5913" max="6143" width="9.140625" style="131" customWidth="1"/>
    <col min="6144" max="6144" width="3.28515625" style="131"/>
    <col min="6145" max="6145" width="3.28515625" style="131" customWidth="1"/>
    <col min="6146" max="6146" width="10.85546875" style="131" customWidth="1"/>
    <col min="6147" max="6147" width="36" style="131" customWidth="1"/>
    <col min="6148" max="6148" width="3.42578125" style="131" customWidth="1"/>
    <col min="6149" max="6149" width="11.28515625" style="131" customWidth="1"/>
    <col min="6150" max="6150" width="9.85546875" style="131" customWidth="1"/>
    <col min="6151" max="6151" width="10.7109375" style="131" customWidth="1"/>
    <col min="6152" max="6152" width="11.7109375" style="131" customWidth="1"/>
    <col min="6153" max="6153" width="12.140625" style="131" customWidth="1"/>
    <col min="6154" max="6155" width="11.5703125" style="131" customWidth="1"/>
    <col min="6156" max="6156" width="11.140625" style="131" customWidth="1"/>
    <col min="6157" max="6157" width="12.140625" style="131" customWidth="1"/>
    <col min="6158" max="6158" width="11.42578125" style="131" customWidth="1"/>
    <col min="6159" max="6159" width="12.140625" style="131" customWidth="1"/>
    <col min="6160" max="6160" width="12.28515625" style="131" customWidth="1"/>
    <col min="6161" max="6161" width="11.140625" style="131" customWidth="1"/>
    <col min="6162" max="6162" width="11.28515625" style="131" customWidth="1"/>
    <col min="6163" max="6163" width="11.7109375" style="131" customWidth="1"/>
    <col min="6164" max="6164" width="11.42578125" style="131" customWidth="1"/>
    <col min="6165" max="6165" width="11.28515625" style="131" customWidth="1"/>
    <col min="6166" max="6166" width="11.140625" style="131" customWidth="1"/>
    <col min="6167" max="6167" width="12.5703125" style="131" customWidth="1"/>
    <col min="6168" max="6168" width="12.85546875" style="131" customWidth="1"/>
    <col min="6169" max="6399" width="9.140625" style="131" customWidth="1"/>
    <col min="6400" max="6400" width="3.28515625" style="131"/>
    <col min="6401" max="6401" width="3.28515625" style="131" customWidth="1"/>
    <col min="6402" max="6402" width="10.85546875" style="131" customWidth="1"/>
    <col min="6403" max="6403" width="36" style="131" customWidth="1"/>
    <col min="6404" max="6404" width="3.42578125" style="131" customWidth="1"/>
    <col min="6405" max="6405" width="11.28515625" style="131" customWidth="1"/>
    <col min="6406" max="6406" width="9.85546875" style="131" customWidth="1"/>
    <col min="6407" max="6407" width="10.7109375" style="131" customWidth="1"/>
    <col min="6408" max="6408" width="11.7109375" style="131" customWidth="1"/>
    <col min="6409" max="6409" width="12.140625" style="131" customWidth="1"/>
    <col min="6410" max="6411" width="11.5703125" style="131" customWidth="1"/>
    <col min="6412" max="6412" width="11.140625" style="131" customWidth="1"/>
    <col min="6413" max="6413" width="12.140625" style="131" customWidth="1"/>
    <col min="6414" max="6414" width="11.42578125" style="131" customWidth="1"/>
    <col min="6415" max="6415" width="12.140625" style="131" customWidth="1"/>
    <col min="6416" max="6416" width="12.28515625" style="131" customWidth="1"/>
    <col min="6417" max="6417" width="11.140625" style="131" customWidth="1"/>
    <col min="6418" max="6418" width="11.28515625" style="131" customWidth="1"/>
    <col min="6419" max="6419" width="11.7109375" style="131" customWidth="1"/>
    <col min="6420" max="6420" width="11.42578125" style="131" customWidth="1"/>
    <col min="6421" max="6421" width="11.28515625" style="131" customWidth="1"/>
    <col min="6422" max="6422" width="11.140625" style="131" customWidth="1"/>
    <col min="6423" max="6423" width="12.5703125" style="131" customWidth="1"/>
    <col min="6424" max="6424" width="12.85546875" style="131" customWidth="1"/>
    <col min="6425" max="6655" width="9.140625" style="131" customWidth="1"/>
    <col min="6656" max="6656" width="3.28515625" style="131"/>
    <col min="6657" max="6657" width="3.28515625" style="131" customWidth="1"/>
    <col min="6658" max="6658" width="10.85546875" style="131" customWidth="1"/>
    <col min="6659" max="6659" width="36" style="131" customWidth="1"/>
    <col min="6660" max="6660" width="3.42578125" style="131" customWidth="1"/>
    <col min="6661" max="6661" width="11.28515625" style="131" customWidth="1"/>
    <col min="6662" max="6662" width="9.85546875" style="131" customWidth="1"/>
    <col min="6663" max="6663" width="10.7109375" style="131" customWidth="1"/>
    <col min="6664" max="6664" width="11.7109375" style="131" customWidth="1"/>
    <col min="6665" max="6665" width="12.140625" style="131" customWidth="1"/>
    <col min="6666" max="6667" width="11.5703125" style="131" customWidth="1"/>
    <col min="6668" max="6668" width="11.140625" style="131" customWidth="1"/>
    <col min="6669" max="6669" width="12.140625" style="131" customWidth="1"/>
    <col min="6670" max="6670" width="11.42578125" style="131" customWidth="1"/>
    <col min="6671" max="6671" width="12.140625" style="131" customWidth="1"/>
    <col min="6672" max="6672" width="12.28515625" style="131" customWidth="1"/>
    <col min="6673" max="6673" width="11.140625" style="131" customWidth="1"/>
    <col min="6674" max="6674" width="11.28515625" style="131" customWidth="1"/>
    <col min="6675" max="6675" width="11.7109375" style="131" customWidth="1"/>
    <col min="6676" max="6676" width="11.42578125" style="131" customWidth="1"/>
    <col min="6677" max="6677" width="11.28515625" style="131" customWidth="1"/>
    <col min="6678" max="6678" width="11.140625" style="131" customWidth="1"/>
    <col min="6679" max="6679" width="12.5703125" style="131" customWidth="1"/>
    <col min="6680" max="6680" width="12.85546875" style="131" customWidth="1"/>
    <col min="6681" max="6911" width="9.140625" style="131" customWidth="1"/>
    <col min="6912" max="6912" width="3.28515625" style="131"/>
    <col min="6913" max="6913" width="3.28515625" style="131" customWidth="1"/>
    <col min="6914" max="6914" width="10.85546875" style="131" customWidth="1"/>
    <col min="6915" max="6915" width="36" style="131" customWidth="1"/>
    <col min="6916" max="6916" width="3.42578125" style="131" customWidth="1"/>
    <col min="6917" max="6917" width="11.28515625" style="131" customWidth="1"/>
    <col min="6918" max="6918" width="9.85546875" style="131" customWidth="1"/>
    <col min="6919" max="6919" width="10.7109375" style="131" customWidth="1"/>
    <col min="6920" max="6920" width="11.7109375" style="131" customWidth="1"/>
    <col min="6921" max="6921" width="12.140625" style="131" customWidth="1"/>
    <col min="6922" max="6923" width="11.5703125" style="131" customWidth="1"/>
    <col min="6924" max="6924" width="11.140625" style="131" customWidth="1"/>
    <col min="6925" max="6925" width="12.140625" style="131" customWidth="1"/>
    <col min="6926" max="6926" width="11.42578125" style="131" customWidth="1"/>
    <col min="6927" max="6927" width="12.140625" style="131" customWidth="1"/>
    <col min="6928" max="6928" width="12.28515625" style="131" customWidth="1"/>
    <col min="6929" max="6929" width="11.140625" style="131" customWidth="1"/>
    <col min="6930" max="6930" width="11.28515625" style="131" customWidth="1"/>
    <col min="6931" max="6931" width="11.7109375" style="131" customWidth="1"/>
    <col min="6932" max="6932" width="11.42578125" style="131" customWidth="1"/>
    <col min="6933" max="6933" width="11.28515625" style="131" customWidth="1"/>
    <col min="6934" max="6934" width="11.140625" style="131" customWidth="1"/>
    <col min="6935" max="6935" width="12.5703125" style="131" customWidth="1"/>
    <col min="6936" max="6936" width="12.85546875" style="131" customWidth="1"/>
    <col min="6937" max="7167" width="9.140625" style="131" customWidth="1"/>
    <col min="7168" max="7168" width="3.28515625" style="131"/>
    <col min="7169" max="7169" width="3.28515625" style="131" customWidth="1"/>
    <col min="7170" max="7170" width="10.85546875" style="131" customWidth="1"/>
    <col min="7171" max="7171" width="36" style="131" customWidth="1"/>
    <col min="7172" max="7172" width="3.42578125" style="131" customWidth="1"/>
    <col min="7173" max="7173" width="11.28515625" style="131" customWidth="1"/>
    <col min="7174" max="7174" width="9.85546875" style="131" customWidth="1"/>
    <col min="7175" max="7175" width="10.7109375" style="131" customWidth="1"/>
    <col min="7176" max="7176" width="11.7109375" style="131" customWidth="1"/>
    <col min="7177" max="7177" width="12.140625" style="131" customWidth="1"/>
    <col min="7178" max="7179" width="11.5703125" style="131" customWidth="1"/>
    <col min="7180" max="7180" width="11.140625" style="131" customWidth="1"/>
    <col min="7181" max="7181" width="12.140625" style="131" customWidth="1"/>
    <col min="7182" max="7182" width="11.42578125" style="131" customWidth="1"/>
    <col min="7183" max="7183" width="12.140625" style="131" customWidth="1"/>
    <col min="7184" max="7184" width="12.28515625" style="131" customWidth="1"/>
    <col min="7185" max="7185" width="11.140625" style="131" customWidth="1"/>
    <col min="7186" max="7186" width="11.28515625" style="131" customWidth="1"/>
    <col min="7187" max="7187" width="11.7109375" style="131" customWidth="1"/>
    <col min="7188" max="7188" width="11.42578125" style="131" customWidth="1"/>
    <col min="7189" max="7189" width="11.28515625" style="131" customWidth="1"/>
    <col min="7190" max="7190" width="11.140625" style="131" customWidth="1"/>
    <col min="7191" max="7191" width="12.5703125" style="131" customWidth="1"/>
    <col min="7192" max="7192" width="12.85546875" style="131" customWidth="1"/>
    <col min="7193" max="7423" width="9.140625" style="131" customWidth="1"/>
    <col min="7424" max="7424" width="3.28515625" style="131"/>
    <col min="7425" max="7425" width="3.28515625" style="131" customWidth="1"/>
    <col min="7426" max="7426" width="10.85546875" style="131" customWidth="1"/>
    <col min="7427" max="7427" width="36" style="131" customWidth="1"/>
    <col min="7428" max="7428" width="3.42578125" style="131" customWidth="1"/>
    <col min="7429" max="7429" width="11.28515625" style="131" customWidth="1"/>
    <col min="7430" max="7430" width="9.85546875" style="131" customWidth="1"/>
    <col min="7431" max="7431" width="10.7109375" style="131" customWidth="1"/>
    <col min="7432" max="7432" width="11.7109375" style="131" customWidth="1"/>
    <col min="7433" max="7433" width="12.140625" style="131" customWidth="1"/>
    <col min="7434" max="7435" width="11.5703125" style="131" customWidth="1"/>
    <col min="7436" max="7436" width="11.140625" style="131" customWidth="1"/>
    <col min="7437" max="7437" width="12.140625" style="131" customWidth="1"/>
    <col min="7438" max="7438" width="11.42578125" style="131" customWidth="1"/>
    <col min="7439" max="7439" width="12.140625" style="131" customWidth="1"/>
    <col min="7440" max="7440" width="12.28515625" style="131" customWidth="1"/>
    <col min="7441" max="7441" width="11.140625" style="131" customWidth="1"/>
    <col min="7442" max="7442" width="11.28515625" style="131" customWidth="1"/>
    <col min="7443" max="7443" width="11.7109375" style="131" customWidth="1"/>
    <col min="7444" max="7444" width="11.42578125" style="131" customWidth="1"/>
    <col min="7445" max="7445" width="11.28515625" style="131" customWidth="1"/>
    <col min="7446" max="7446" width="11.140625" style="131" customWidth="1"/>
    <col min="7447" max="7447" width="12.5703125" style="131" customWidth="1"/>
    <col min="7448" max="7448" width="12.85546875" style="131" customWidth="1"/>
    <col min="7449" max="7679" width="9.140625" style="131" customWidth="1"/>
    <col min="7680" max="7680" width="3.28515625" style="131"/>
    <col min="7681" max="7681" width="3.28515625" style="131" customWidth="1"/>
    <col min="7682" max="7682" width="10.85546875" style="131" customWidth="1"/>
    <col min="7683" max="7683" width="36" style="131" customWidth="1"/>
    <col min="7684" max="7684" width="3.42578125" style="131" customWidth="1"/>
    <col min="7685" max="7685" width="11.28515625" style="131" customWidth="1"/>
    <col min="7686" max="7686" width="9.85546875" style="131" customWidth="1"/>
    <col min="7687" max="7687" width="10.7109375" style="131" customWidth="1"/>
    <col min="7688" max="7688" width="11.7109375" style="131" customWidth="1"/>
    <col min="7689" max="7689" width="12.140625" style="131" customWidth="1"/>
    <col min="7690" max="7691" width="11.5703125" style="131" customWidth="1"/>
    <col min="7692" max="7692" width="11.140625" style="131" customWidth="1"/>
    <col min="7693" max="7693" width="12.140625" style="131" customWidth="1"/>
    <col min="7694" max="7694" width="11.42578125" style="131" customWidth="1"/>
    <col min="7695" max="7695" width="12.140625" style="131" customWidth="1"/>
    <col min="7696" max="7696" width="12.28515625" style="131" customWidth="1"/>
    <col min="7697" max="7697" width="11.140625" style="131" customWidth="1"/>
    <col min="7698" max="7698" width="11.28515625" style="131" customWidth="1"/>
    <col min="7699" max="7699" width="11.7109375" style="131" customWidth="1"/>
    <col min="7700" max="7700" width="11.42578125" style="131" customWidth="1"/>
    <col min="7701" max="7701" width="11.28515625" style="131" customWidth="1"/>
    <col min="7702" max="7702" width="11.140625" style="131" customWidth="1"/>
    <col min="7703" max="7703" width="12.5703125" style="131" customWidth="1"/>
    <col min="7704" max="7704" width="12.85546875" style="131" customWidth="1"/>
    <col min="7705" max="7935" width="9.140625" style="131" customWidth="1"/>
    <col min="7936" max="7936" width="3.28515625" style="131"/>
    <col min="7937" max="7937" width="3.28515625" style="131" customWidth="1"/>
    <col min="7938" max="7938" width="10.85546875" style="131" customWidth="1"/>
    <col min="7939" max="7939" width="36" style="131" customWidth="1"/>
    <col min="7940" max="7940" width="3.42578125" style="131" customWidth="1"/>
    <col min="7941" max="7941" width="11.28515625" style="131" customWidth="1"/>
    <col min="7942" max="7942" width="9.85546875" style="131" customWidth="1"/>
    <col min="7943" max="7943" width="10.7109375" style="131" customWidth="1"/>
    <col min="7944" max="7944" width="11.7109375" style="131" customWidth="1"/>
    <col min="7945" max="7945" width="12.140625" style="131" customWidth="1"/>
    <col min="7946" max="7947" width="11.5703125" style="131" customWidth="1"/>
    <col min="7948" max="7948" width="11.140625" style="131" customWidth="1"/>
    <col min="7949" max="7949" width="12.140625" style="131" customWidth="1"/>
    <col min="7950" max="7950" width="11.42578125" style="131" customWidth="1"/>
    <col min="7951" max="7951" width="12.140625" style="131" customWidth="1"/>
    <col min="7952" max="7952" width="12.28515625" style="131" customWidth="1"/>
    <col min="7953" max="7953" width="11.140625" style="131" customWidth="1"/>
    <col min="7954" max="7954" width="11.28515625" style="131" customWidth="1"/>
    <col min="7955" max="7955" width="11.7109375" style="131" customWidth="1"/>
    <col min="7956" max="7956" width="11.42578125" style="131" customWidth="1"/>
    <col min="7957" max="7957" width="11.28515625" style="131" customWidth="1"/>
    <col min="7958" max="7958" width="11.140625" style="131" customWidth="1"/>
    <col min="7959" max="7959" width="12.5703125" style="131" customWidth="1"/>
    <col min="7960" max="7960" width="12.85546875" style="131" customWidth="1"/>
    <col min="7961" max="8191" width="9.140625" style="131" customWidth="1"/>
    <col min="8192" max="8192" width="3.28515625" style="131"/>
    <col min="8193" max="8193" width="3.28515625" style="131" customWidth="1"/>
    <col min="8194" max="8194" width="10.85546875" style="131" customWidth="1"/>
    <col min="8195" max="8195" width="36" style="131" customWidth="1"/>
    <col min="8196" max="8196" width="3.42578125" style="131" customWidth="1"/>
    <col min="8197" max="8197" width="11.28515625" style="131" customWidth="1"/>
    <col min="8198" max="8198" width="9.85546875" style="131" customWidth="1"/>
    <col min="8199" max="8199" width="10.7109375" style="131" customWidth="1"/>
    <col min="8200" max="8200" width="11.7109375" style="131" customWidth="1"/>
    <col min="8201" max="8201" width="12.140625" style="131" customWidth="1"/>
    <col min="8202" max="8203" width="11.5703125" style="131" customWidth="1"/>
    <col min="8204" max="8204" width="11.140625" style="131" customWidth="1"/>
    <col min="8205" max="8205" width="12.140625" style="131" customWidth="1"/>
    <col min="8206" max="8206" width="11.42578125" style="131" customWidth="1"/>
    <col min="8207" max="8207" width="12.140625" style="131" customWidth="1"/>
    <col min="8208" max="8208" width="12.28515625" style="131" customWidth="1"/>
    <col min="8209" max="8209" width="11.140625" style="131" customWidth="1"/>
    <col min="8210" max="8210" width="11.28515625" style="131" customWidth="1"/>
    <col min="8211" max="8211" width="11.7109375" style="131" customWidth="1"/>
    <col min="8212" max="8212" width="11.42578125" style="131" customWidth="1"/>
    <col min="8213" max="8213" width="11.28515625" style="131" customWidth="1"/>
    <col min="8214" max="8214" width="11.140625" style="131" customWidth="1"/>
    <col min="8215" max="8215" width="12.5703125" style="131" customWidth="1"/>
    <col min="8216" max="8216" width="12.85546875" style="131" customWidth="1"/>
    <col min="8217" max="8447" width="9.140625" style="131" customWidth="1"/>
    <col min="8448" max="8448" width="3.28515625" style="131"/>
    <col min="8449" max="8449" width="3.28515625" style="131" customWidth="1"/>
    <col min="8450" max="8450" width="10.85546875" style="131" customWidth="1"/>
    <col min="8451" max="8451" width="36" style="131" customWidth="1"/>
    <col min="8452" max="8452" width="3.42578125" style="131" customWidth="1"/>
    <col min="8453" max="8453" width="11.28515625" style="131" customWidth="1"/>
    <col min="8454" max="8454" width="9.85546875" style="131" customWidth="1"/>
    <col min="8455" max="8455" width="10.7109375" style="131" customWidth="1"/>
    <col min="8456" max="8456" width="11.7109375" style="131" customWidth="1"/>
    <col min="8457" max="8457" width="12.140625" style="131" customWidth="1"/>
    <col min="8458" max="8459" width="11.5703125" style="131" customWidth="1"/>
    <col min="8460" max="8460" width="11.140625" style="131" customWidth="1"/>
    <col min="8461" max="8461" width="12.140625" style="131" customWidth="1"/>
    <col min="8462" max="8462" width="11.42578125" style="131" customWidth="1"/>
    <col min="8463" max="8463" width="12.140625" style="131" customWidth="1"/>
    <col min="8464" max="8464" width="12.28515625" style="131" customWidth="1"/>
    <col min="8465" max="8465" width="11.140625" style="131" customWidth="1"/>
    <col min="8466" max="8466" width="11.28515625" style="131" customWidth="1"/>
    <col min="8467" max="8467" width="11.7109375" style="131" customWidth="1"/>
    <col min="8468" max="8468" width="11.42578125" style="131" customWidth="1"/>
    <col min="8469" max="8469" width="11.28515625" style="131" customWidth="1"/>
    <col min="8470" max="8470" width="11.140625" style="131" customWidth="1"/>
    <col min="8471" max="8471" width="12.5703125" style="131" customWidth="1"/>
    <col min="8472" max="8472" width="12.85546875" style="131" customWidth="1"/>
    <col min="8473" max="8703" width="9.140625" style="131" customWidth="1"/>
    <col min="8704" max="8704" width="3.28515625" style="131"/>
    <col min="8705" max="8705" width="3.28515625" style="131" customWidth="1"/>
    <col min="8706" max="8706" width="10.85546875" style="131" customWidth="1"/>
    <col min="8707" max="8707" width="36" style="131" customWidth="1"/>
    <col min="8708" max="8708" width="3.42578125" style="131" customWidth="1"/>
    <col min="8709" max="8709" width="11.28515625" style="131" customWidth="1"/>
    <col min="8710" max="8710" width="9.85546875" style="131" customWidth="1"/>
    <col min="8711" max="8711" width="10.7109375" style="131" customWidth="1"/>
    <col min="8712" max="8712" width="11.7109375" style="131" customWidth="1"/>
    <col min="8713" max="8713" width="12.140625" style="131" customWidth="1"/>
    <col min="8714" max="8715" width="11.5703125" style="131" customWidth="1"/>
    <col min="8716" max="8716" width="11.140625" style="131" customWidth="1"/>
    <col min="8717" max="8717" width="12.140625" style="131" customWidth="1"/>
    <col min="8718" max="8718" width="11.42578125" style="131" customWidth="1"/>
    <col min="8719" max="8719" width="12.140625" style="131" customWidth="1"/>
    <col min="8720" max="8720" width="12.28515625" style="131" customWidth="1"/>
    <col min="8721" max="8721" width="11.140625" style="131" customWidth="1"/>
    <col min="8722" max="8722" width="11.28515625" style="131" customWidth="1"/>
    <col min="8723" max="8723" width="11.7109375" style="131" customWidth="1"/>
    <col min="8724" max="8724" width="11.42578125" style="131" customWidth="1"/>
    <col min="8725" max="8725" width="11.28515625" style="131" customWidth="1"/>
    <col min="8726" max="8726" width="11.140625" style="131" customWidth="1"/>
    <col min="8727" max="8727" width="12.5703125" style="131" customWidth="1"/>
    <col min="8728" max="8728" width="12.85546875" style="131" customWidth="1"/>
    <col min="8729" max="8959" width="9.140625" style="131" customWidth="1"/>
    <col min="8960" max="8960" width="3.28515625" style="131"/>
    <col min="8961" max="8961" width="3.28515625" style="131" customWidth="1"/>
    <col min="8962" max="8962" width="10.85546875" style="131" customWidth="1"/>
    <col min="8963" max="8963" width="36" style="131" customWidth="1"/>
    <col min="8964" max="8964" width="3.42578125" style="131" customWidth="1"/>
    <col min="8965" max="8965" width="11.28515625" style="131" customWidth="1"/>
    <col min="8966" max="8966" width="9.85546875" style="131" customWidth="1"/>
    <col min="8967" max="8967" width="10.7109375" style="131" customWidth="1"/>
    <col min="8968" max="8968" width="11.7109375" style="131" customWidth="1"/>
    <col min="8969" max="8969" width="12.140625" style="131" customWidth="1"/>
    <col min="8970" max="8971" width="11.5703125" style="131" customWidth="1"/>
    <col min="8972" max="8972" width="11.140625" style="131" customWidth="1"/>
    <col min="8973" max="8973" width="12.140625" style="131" customWidth="1"/>
    <col min="8974" max="8974" width="11.42578125" style="131" customWidth="1"/>
    <col min="8975" max="8975" width="12.140625" style="131" customWidth="1"/>
    <col min="8976" max="8976" width="12.28515625" style="131" customWidth="1"/>
    <col min="8977" max="8977" width="11.140625" style="131" customWidth="1"/>
    <col min="8978" max="8978" width="11.28515625" style="131" customWidth="1"/>
    <col min="8979" max="8979" width="11.7109375" style="131" customWidth="1"/>
    <col min="8980" max="8980" width="11.42578125" style="131" customWidth="1"/>
    <col min="8981" max="8981" width="11.28515625" style="131" customWidth="1"/>
    <col min="8982" max="8982" width="11.140625" style="131" customWidth="1"/>
    <col min="8983" max="8983" width="12.5703125" style="131" customWidth="1"/>
    <col min="8984" max="8984" width="12.85546875" style="131" customWidth="1"/>
    <col min="8985" max="9215" width="9.140625" style="131" customWidth="1"/>
    <col min="9216" max="9216" width="3.28515625" style="131"/>
    <col min="9217" max="9217" width="3.28515625" style="131" customWidth="1"/>
    <col min="9218" max="9218" width="10.85546875" style="131" customWidth="1"/>
    <col min="9219" max="9219" width="36" style="131" customWidth="1"/>
    <col min="9220" max="9220" width="3.42578125" style="131" customWidth="1"/>
    <col min="9221" max="9221" width="11.28515625" style="131" customWidth="1"/>
    <col min="9222" max="9222" width="9.85546875" style="131" customWidth="1"/>
    <col min="9223" max="9223" width="10.7109375" style="131" customWidth="1"/>
    <col min="9224" max="9224" width="11.7109375" style="131" customWidth="1"/>
    <col min="9225" max="9225" width="12.140625" style="131" customWidth="1"/>
    <col min="9226" max="9227" width="11.5703125" style="131" customWidth="1"/>
    <col min="9228" max="9228" width="11.140625" style="131" customWidth="1"/>
    <col min="9229" max="9229" width="12.140625" style="131" customWidth="1"/>
    <col min="9230" max="9230" width="11.42578125" style="131" customWidth="1"/>
    <col min="9231" max="9231" width="12.140625" style="131" customWidth="1"/>
    <col min="9232" max="9232" width="12.28515625" style="131" customWidth="1"/>
    <col min="9233" max="9233" width="11.140625" style="131" customWidth="1"/>
    <col min="9234" max="9234" width="11.28515625" style="131" customWidth="1"/>
    <col min="9235" max="9235" width="11.7109375" style="131" customWidth="1"/>
    <col min="9236" max="9236" width="11.42578125" style="131" customWidth="1"/>
    <col min="9237" max="9237" width="11.28515625" style="131" customWidth="1"/>
    <col min="9238" max="9238" width="11.140625" style="131" customWidth="1"/>
    <col min="9239" max="9239" width="12.5703125" style="131" customWidth="1"/>
    <col min="9240" max="9240" width="12.85546875" style="131" customWidth="1"/>
    <col min="9241" max="9471" width="9.140625" style="131" customWidth="1"/>
    <col min="9472" max="9472" width="3.28515625" style="131"/>
    <col min="9473" max="9473" width="3.28515625" style="131" customWidth="1"/>
    <col min="9474" max="9474" width="10.85546875" style="131" customWidth="1"/>
    <col min="9475" max="9475" width="36" style="131" customWidth="1"/>
    <col min="9476" max="9476" width="3.42578125" style="131" customWidth="1"/>
    <col min="9477" max="9477" width="11.28515625" style="131" customWidth="1"/>
    <col min="9478" max="9478" width="9.85546875" style="131" customWidth="1"/>
    <col min="9479" max="9479" width="10.7109375" style="131" customWidth="1"/>
    <col min="9480" max="9480" width="11.7109375" style="131" customWidth="1"/>
    <col min="9481" max="9481" width="12.140625" style="131" customWidth="1"/>
    <col min="9482" max="9483" width="11.5703125" style="131" customWidth="1"/>
    <col min="9484" max="9484" width="11.140625" style="131" customWidth="1"/>
    <col min="9485" max="9485" width="12.140625" style="131" customWidth="1"/>
    <col min="9486" max="9486" width="11.42578125" style="131" customWidth="1"/>
    <col min="9487" max="9487" width="12.140625" style="131" customWidth="1"/>
    <col min="9488" max="9488" width="12.28515625" style="131" customWidth="1"/>
    <col min="9489" max="9489" width="11.140625" style="131" customWidth="1"/>
    <col min="9490" max="9490" width="11.28515625" style="131" customWidth="1"/>
    <col min="9491" max="9491" width="11.7109375" style="131" customWidth="1"/>
    <col min="9492" max="9492" width="11.42578125" style="131" customWidth="1"/>
    <col min="9493" max="9493" width="11.28515625" style="131" customWidth="1"/>
    <col min="9494" max="9494" width="11.140625" style="131" customWidth="1"/>
    <col min="9495" max="9495" width="12.5703125" style="131" customWidth="1"/>
    <col min="9496" max="9496" width="12.85546875" style="131" customWidth="1"/>
    <col min="9497" max="9727" width="9.140625" style="131" customWidth="1"/>
    <col min="9728" max="9728" width="3.28515625" style="131"/>
    <col min="9729" max="9729" width="3.28515625" style="131" customWidth="1"/>
    <col min="9730" max="9730" width="10.85546875" style="131" customWidth="1"/>
    <col min="9731" max="9731" width="36" style="131" customWidth="1"/>
    <col min="9732" max="9732" width="3.42578125" style="131" customWidth="1"/>
    <col min="9733" max="9733" width="11.28515625" style="131" customWidth="1"/>
    <col min="9734" max="9734" width="9.85546875" style="131" customWidth="1"/>
    <col min="9735" max="9735" width="10.7109375" style="131" customWidth="1"/>
    <col min="9736" max="9736" width="11.7109375" style="131" customWidth="1"/>
    <col min="9737" max="9737" width="12.140625" style="131" customWidth="1"/>
    <col min="9738" max="9739" width="11.5703125" style="131" customWidth="1"/>
    <col min="9740" max="9740" width="11.140625" style="131" customWidth="1"/>
    <col min="9741" max="9741" width="12.140625" style="131" customWidth="1"/>
    <col min="9742" max="9742" width="11.42578125" style="131" customWidth="1"/>
    <col min="9743" max="9743" width="12.140625" style="131" customWidth="1"/>
    <col min="9744" max="9744" width="12.28515625" style="131" customWidth="1"/>
    <col min="9745" max="9745" width="11.140625" style="131" customWidth="1"/>
    <col min="9746" max="9746" width="11.28515625" style="131" customWidth="1"/>
    <col min="9747" max="9747" width="11.7109375" style="131" customWidth="1"/>
    <col min="9748" max="9748" width="11.42578125" style="131" customWidth="1"/>
    <col min="9749" max="9749" width="11.28515625" style="131" customWidth="1"/>
    <col min="9750" max="9750" width="11.140625" style="131" customWidth="1"/>
    <col min="9751" max="9751" width="12.5703125" style="131" customWidth="1"/>
    <col min="9752" max="9752" width="12.85546875" style="131" customWidth="1"/>
    <col min="9753" max="9983" width="9.140625" style="131" customWidth="1"/>
    <col min="9984" max="9984" width="3.28515625" style="131"/>
    <col min="9985" max="9985" width="3.28515625" style="131" customWidth="1"/>
    <col min="9986" max="9986" width="10.85546875" style="131" customWidth="1"/>
    <col min="9987" max="9987" width="36" style="131" customWidth="1"/>
    <col min="9988" max="9988" width="3.42578125" style="131" customWidth="1"/>
    <col min="9989" max="9989" width="11.28515625" style="131" customWidth="1"/>
    <col min="9990" max="9990" width="9.85546875" style="131" customWidth="1"/>
    <col min="9991" max="9991" width="10.7109375" style="131" customWidth="1"/>
    <col min="9992" max="9992" width="11.7109375" style="131" customWidth="1"/>
    <col min="9993" max="9993" width="12.140625" style="131" customWidth="1"/>
    <col min="9994" max="9995" width="11.5703125" style="131" customWidth="1"/>
    <col min="9996" max="9996" width="11.140625" style="131" customWidth="1"/>
    <col min="9997" max="9997" width="12.140625" style="131" customWidth="1"/>
    <col min="9998" max="9998" width="11.42578125" style="131" customWidth="1"/>
    <col min="9999" max="9999" width="12.140625" style="131" customWidth="1"/>
    <col min="10000" max="10000" width="12.28515625" style="131" customWidth="1"/>
    <col min="10001" max="10001" width="11.140625" style="131" customWidth="1"/>
    <col min="10002" max="10002" width="11.28515625" style="131" customWidth="1"/>
    <col min="10003" max="10003" width="11.7109375" style="131" customWidth="1"/>
    <col min="10004" max="10004" width="11.42578125" style="131" customWidth="1"/>
    <col min="10005" max="10005" width="11.28515625" style="131" customWidth="1"/>
    <col min="10006" max="10006" width="11.140625" style="131" customWidth="1"/>
    <col min="10007" max="10007" width="12.5703125" style="131" customWidth="1"/>
    <col min="10008" max="10008" width="12.85546875" style="131" customWidth="1"/>
    <col min="10009" max="10239" width="9.140625" style="131" customWidth="1"/>
    <col min="10240" max="10240" width="3.28515625" style="131"/>
    <col min="10241" max="10241" width="3.28515625" style="131" customWidth="1"/>
    <col min="10242" max="10242" width="10.85546875" style="131" customWidth="1"/>
    <col min="10243" max="10243" width="36" style="131" customWidth="1"/>
    <col min="10244" max="10244" width="3.42578125" style="131" customWidth="1"/>
    <col min="10245" max="10245" width="11.28515625" style="131" customWidth="1"/>
    <col min="10246" max="10246" width="9.85546875" style="131" customWidth="1"/>
    <col min="10247" max="10247" width="10.7109375" style="131" customWidth="1"/>
    <col min="10248" max="10248" width="11.7109375" style="131" customWidth="1"/>
    <col min="10249" max="10249" width="12.140625" style="131" customWidth="1"/>
    <col min="10250" max="10251" width="11.5703125" style="131" customWidth="1"/>
    <col min="10252" max="10252" width="11.140625" style="131" customWidth="1"/>
    <col min="10253" max="10253" width="12.140625" style="131" customWidth="1"/>
    <col min="10254" max="10254" width="11.42578125" style="131" customWidth="1"/>
    <col min="10255" max="10255" width="12.140625" style="131" customWidth="1"/>
    <col min="10256" max="10256" width="12.28515625" style="131" customWidth="1"/>
    <col min="10257" max="10257" width="11.140625" style="131" customWidth="1"/>
    <col min="10258" max="10258" width="11.28515625" style="131" customWidth="1"/>
    <col min="10259" max="10259" width="11.7109375" style="131" customWidth="1"/>
    <col min="10260" max="10260" width="11.42578125" style="131" customWidth="1"/>
    <col min="10261" max="10261" width="11.28515625" style="131" customWidth="1"/>
    <col min="10262" max="10262" width="11.140625" style="131" customWidth="1"/>
    <col min="10263" max="10263" width="12.5703125" style="131" customWidth="1"/>
    <col min="10264" max="10264" width="12.85546875" style="131" customWidth="1"/>
    <col min="10265" max="10495" width="9.140625" style="131" customWidth="1"/>
    <col min="10496" max="10496" width="3.28515625" style="131"/>
    <col min="10497" max="10497" width="3.28515625" style="131" customWidth="1"/>
    <col min="10498" max="10498" width="10.85546875" style="131" customWidth="1"/>
    <col min="10499" max="10499" width="36" style="131" customWidth="1"/>
    <col min="10500" max="10500" width="3.42578125" style="131" customWidth="1"/>
    <col min="10501" max="10501" width="11.28515625" style="131" customWidth="1"/>
    <col min="10502" max="10502" width="9.85546875" style="131" customWidth="1"/>
    <col min="10503" max="10503" width="10.7109375" style="131" customWidth="1"/>
    <col min="10504" max="10504" width="11.7109375" style="131" customWidth="1"/>
    <col min="10505" max="10505" width="12.140625" style="131" customWidth="1"/>
    <col min="10506" max="10507" width="11.5703125" style="131" customWidth="1"/>
    <col min="10508" max="10508" width="11.140625" style="131" customWidth="1"/>
    <col min="10509" max="10509" width="12.140625" style="131" customWidth="1"/>
    <col min="10510" max="10510" width="11.42578125" style="131" customWidth="1"/>
    <col min="10511" max="10511" width="12.140625" style="131" customWidth="1"/>
    <col min="10512" max="10512" width="12.28515625" style="131" customWidth="1"/>
    <col min="10513" max="10513" width="11.140625" style="131" customWidth="1"/>
    <col min="10514" max="10514" width="11.28515625" style="131" customWidth="1"/>
    <col min="10515" max="10515" width="11.7109375" style="131" customWidth="1"/>
    <col min="10516" max="10516" width="11.42578125" style="131" customWidth="1"/>
    <col min="10517" max="10517" width="11.28515625" style="131" customWidth="1"/>
    <col min="10518" max="10518" width="11.140625" style="131" customWidth="1"/>
    <col min="10519" max="10519" width="12.5703125" style="131" customWidth="1"/>
    <col min="10520" max="10520" width="12.85546875" style="131" customWidth="1"/>
    <col min="10521" max="10751" width="9.140625" style="131" customWidth="1"/>
    <col min="10752" max="10752" width="3.28515625" style="131"/>
    <col min="10753" max="10753" width="3.28515625" style="131" customWidth="1"/>
    <col min="10754" max="10754" width="10.85546875" style="131" customWidth="1"/>
    <col min="10755" max="10755" width="36" style="131" customWidth="1"/>
    <col min="10756" max="10756" width="3.42578125" style="131" customWidth="1"/>
    <col min="10757" max="10757" width="11.28515625" style="131" customWidth="1"/>
    <col min="10758" max="10758" width="9.85546875" style="131" customWidth="1"/>
    <col min="10759" max="10759" width="10.7109375" style="131" customWidth="1"/>
    <col min="10760" max="10760" width="11.7109375" style="131" customWidth="1"/>
    <col min="10761" max="10761" width="12.140625" style="131" customWidth="1"/>
    <col min="10762" max="10763" width="11.5703125" style="131" customWidth="1"/>
    <col min="10764" max="10764" width="11.140625" style="131" customWidth="1"/>
    <col min="10765" max="10765" width="12.140625" style="131" customWidth="1"/>
    <col min="10766" max="10766" width="11.42578125" style="131" customWidth="1"/>
    <col min="10767" max="10767" width="12.140625" style="131" customWidth="1"/>
    <col min="10768" max="10768" width="12.28515625" style="131" customWidth="1"/>
    <col min="10769" max="10769" width="11.140625" style="131" customWidth="1"/>
    <col min="10770" max="10770" width="11.28515625" style="131" customWidth="1"/>
    <col min="10771" max="10771" width="11.7109375" style="131" customWidth="1"/>
    <col min="10772" max="10772" width="11.42578125" style="131" customWidth="1"/>
    <col min="10773" max="10773" width="11.28515625" style="131" customWidth="1"/>
    <col min="10774" max="10774" width="11.140625" style="131" customWidth="1"/>
    <col min="10775" max="10775" width="12.5703125" style="131" customWidth="1"/>
    <col min="10776" max="10776" width="12.85546875" style="131" customWidth="1"/>
    <col min="10777" max="11007" width="9.140625" style="131" customWidth="1"/>
    <col min="11008" max="11008" width="3.28515625" style="131"/>
    <col min="11009" max="11009" width="3.28515625" style="131" customWidth="1"/>
    <col min="11010" max="11010" width="10.85546875" style="131" customWidth="1"/>
    <col min="11011" max="11011" width="36" style="131" customWidth="1"/>
    <col min="11012" max="11012" width="3.42578125" style="131" customWidth="1"/>
    <col min="11013" max="11013" width="11.28515625" style="131" customWidth="1"/>
    <col min="11014" max="11014" width="9.85546875" style="131" customWidth="1"/>
    <col min="11015" max="11015" width="10.7109375" style="131" customWidth="1"/>
    <col min="11016" max="11016" width="11.7109375" style="131" customWidth="1"/>
    <col min="11017" max="11017" width="12.140625" style="131" customWidth="1"/>
    <col min="11018" max="11019" width="11.5703125" style="131" customWidth="1"/>
    <col min="11020" max="11020" width="11.140625" style="131" customWidth="1"/>
    <col min="11021" max="11021" width="12.140625" style="131" customWidth="1"/>
    <col min="11022" max="11022" width="11.42578125" style="131" customWidth="1"/>
    <col min="11023" max="11023" width="12.140625" style="131" customWidth="1"/>
    <col min="11024" max="11024" width="12.28515625" style="131" customWidth="1"/>
    <col min="11025" max="11025" width="11.140625" style="131" customWidth="1"/>
    <col min="11026" max="11026" width="11.28515625" style="131" customWidth="1"/>
    <col min="11027" max="11027" width="11.7109375" style="131" customWidth="1"/>
    <col min="11028" max="11028" width="11.42578125" style="131" customWidth="1"/>
    <col min="11029" max="11029" width="11.28515625" style="131" customWidth="1"/>
    <col min="11030" max="11030" width="11.140625" style="131" customWidth="1"/>
    <col min="11031" max="11031" width="12.5703125" style="131" customWidth="1"/>
    <col min="11032" max="11032" width="12.85546875" style="131" customWidth="1"/>
    <col min="11033" max="11263" width="9.140625" style="131" customWidth="1"/>
    <col min="11264" max="11264" width="3.28515625" style="131"/>
    <col min="11265" max="11265" width="3.28515625" style="131" customWidth="1"/>
    <col min="11266" max="11266" width="10.85546875" style="131" customWidth="1"/>
    <col min="11267" max="11267" width="36" style="131" customWidth="1"/>
    <col min="11268" max="11268" width="3.42578125" style="131" customWidth="1"/>
    <col min="11269" max="11269" width="11.28515625" style="131" customWidth="1"/>
    <col min="11270" max="11270" width="9.85546875" style="131" customWidth="1"/>
    <col min="11271" max="11271" width="10.7109375" style="131" customWidth="1"/>
    <col min="11272" max="11272" width="11.7109375" style="131" customWidth="1"/>
    <col min="11273" max="11273" width="12.140625" style="131" customWidth="1"/>
    <col min="11274" max="11275" width="11.5703125" style="131" customWidth="1"/>
    <col min="11276" max="11276" width="11.140625" style="131" customWidth="1"/>
    <col min="11277" max="11277" width="12.140625" style="131" customWidth="1"/>
    <col min="11278" max="11278" width="11.42578125" style="131" customWidth="1"/>
    <col min="11279" max="11279" width="12.140625" style="131" customWidth="1"/>
    <col min="11280" max="11280" width="12.28515625" style="131" customWidth="1"/>
    <col min="11281" max="11281" width="11.140625" style="131" customWidth="1"/>
    <col min="11282" max="11282" width="11.28515625" style="131" customWidth="1"/>
    <col min="11283" max="11283" width="11.7109375" style="131" customWidth="1"/>
    <col min="11284" max="11284" width="11.42578125" style="131" customWidth="1"/>
    <col min="11285" max="11285" width="11.28515625" style="131" customWidth="1"/>
    <col min="11286" max="11286" width="11.140625" style="131" customWidth="1"/>
    <col min="11287" max="11287" width="12.5703125" style="131" customWidth="1"/>
    <col min="11288" max="11288" width="12.85546875" style="131" customWidth="1"/>
    <col min="11289" max="11519" width="9.140625" style="131" customWidth="1"/>
    <col min="11520" max="11520" width="3.28515625" style="131"/>
    <col min="11521" max="11521" width="3.28515625" style="131" customWidth="1"/>
    <col min="11522" max="11522" width="10.85546875" style="131" customWidth="1"/>
    <col min="11523" max="11523" width="36" style="131" customWidth="1"/>
    <col min="11524" max="11524" width="3.42578125" style="131" customWidth="1"/>
    <col min="11525" max="11525" width="11.28515625" style="131" customWidth="1"/>
    <col min="11526" max="11526" width="9.85546875" style="131" customWidth="1"/>
    <col min="11527" max="11527" width="10.7109375" style="131" customWidth="1"/>
    <col min="11528" max="11528" width="11.7109375" style="131" customWidth="1"/>
    <col min="11529" max="11529" width="12.140625" style="131" customWidth="1"/>
    <col min="11530" max="11531" width="11.5703125" style="131" customWidth="1"/>
    <col min="11532" max="11532" width="11.140625" style="131" customWidth="1"/>
    <col min="11533" max="11533" width="12.140625" style="131" customWidth="1"/>
    <col min="11534" max="11534" width="11.42578125" style="131" customWidth="1"/>
    <col min="11535" max="11535" width="12.140625" style="131" customWidth="1"/>
    <col min="11536" max="11536" width="12.28515625" style="131" customWidth="1"/>
    <col min="11537" max="11537" width="11.140625" style="131" customWidth="1"/>
    <col min="11538" max="11538" width="11.28515625" style="131" customWidth="1"/>
    <col min="11539" max="11539" width="11.7109375" style="131" customWidth="1"/>
    <col min="11540" max="11540" width="11.42578125" style="131" customWidth="1"/>
    <col min="11541" max="11541" width="11.28515625" style="131" customWidth="1"/>
    <col min="11542" max="11542" width="11.140625" style="131" customWidth="1"/>
    <col min="11543" max="11543" width="12.5703125" style="131" customWidth="1"/>
    <col min="11544" max="11544" width="12.85546875" style="131" customWidth="1"/>
    <col min="11545" max="11775" width="9.140625" style="131" customWidth="1"/>
    <col min="11776" max="11776" width="3.28515625" style="131"/>
    <col min="11777" max="11777" width="3.28515625" style="131" customWidth="1"/>
    <col min="11778" max="11778" width="10.85546875" style="131" customWidth="1"/>
    <col min="11779" max="11779" width="36" style="131" customWidth="1"/>
    <col min="11780" max="11780" width="3.42578125" style="131" customWidth="1"/>
    <col min="11781" max="11781" width="11.28515625" style="131" customWidth="1"/>
    <col min="11782" max="11782" width="9.85546875" style="131" customWidth="1"/>
    <col min="11783" max="11783" width="10.7109375" style="131" customWidth="1"/>
    <col min="11784" max="11784" width="11.7109375" style="131" customWidth="1"/>
    <col min="11785" max="11785" width="12.140625" style="131" customWidth="1"/>
    <col min="11786" max="11787" width="11.5703125" style="131" customWidth="1"/>
    <col min="11788" max="11788" width="11.140625" style="131" customWidth="1"/>
    <col min="11789" max="11789" width="12.140625" style="131" customWidth="1"/>
    <col min="11790" max="11790" width="11.42578125" style="131" customWidth="1"/>
    <col min="11791" max="11791" width="12.140625" style="131" customWidth="1"/>
    <col min="11792" max="11792" width="12.28515625" style="131" customWidth="1"/>
    <col min="11793" max="11793" width="11.140625" style="131" customWidth="1"/>
    <col min="11794" max="11794" width="11.28515625" style="131" customWidth="1"/>
    <col min="11795" max="11795" width="11.7109375" style="131" customWidth="1"/>
    <col min="11796" max="11796" width="11.42578125" style="131" customWidth="1"/>
    <col min="11797" max="11797" width="11.28515625" style="131" customWidth="1"/>
    <col min="11798" max="11798" width="11.140625" style="131" customWidth="1"/>
    <col min="11799" max="11799" width="12.5703125" style="131" customWidth="1"/>
    <col min="11800" max="11800" width="12.85546875" style="131" customWidth="1"/>
    <col min="11801" max="12031" width="9.140625" style="131" customWidth="1"/>
    <col min="12032" max="12032" width="3.28515625" style="131"/>
    <col min="12033" max="12033" width="3.28515625" style="131" customWidth="1"/>
    <col min="12034" max="12034" width="10.85546875" style="131" customWidth="1"/>
    <col min="12035" max="12035" width="36" style="131" customWidth="1"/>
    <col min="12036" max="12036" width="3.42578125" style="131" customWidth="1"/>
    <col min="12037" max="12037" width="11.28515625" style="131" customWidth="1"/>
    <col min="12038" max="12038" width="9.85546875" style="131" customWidth="1"/>
    <col min="12039" max="12039" width="10.7109375" style="131" customWidth="1"/>
    <col min="12040" max="12040" width="11.7109375" style="131" customWidth="1"/>
    <col min="12041" max="12041" width="12.140625" style="131" customWidth="1"/>
    <col min="12042" max="12043" width="11.5703125" style="131" customWidth="1"/>
    <col min="12044" max="12044" width="11.140625" style="131" customWidth="1"/>
    <col min="12045" max="12045" width="12.140625" style="131" customWidth="1"/>
    <col min="12046" max="12046" width="11.42578125" style="131" customWidth="1"/>
    <col min="12047" max="12047" width="12.140625" style="131" customWidth="1"/>
    <col min="12048" max="12048" width="12.28515625" style="131" customWidth="1"/>
    <col min="12049" max="12049" width="11.140625" style="131" customWidth="1"/>
    <col min="12050" max="12050" width="11.28515625" style="131" customWidth="1"/>
    <col min="12051" max="12051" width="11.7109375" style="131" customWidth="1"/>
    <col min="12052" max="12052" width="11.42578125" style="131" customWidth="1"/>
    <col min="12053" max="12053" width="11.28515625" style="131" customWidth="1"/>
    <col min="12054" max="12054" width="11.140625" style="131" customWidth="1"/>
    <col min="12055" max="12055" width="12.5703125" style="131" customWidth="1"/>
    <col min="12056" max="12056" width="12.85546875" style="131" customWidth="1"/>
    <col min="12057" max="12287" width="9.140625" style="131" customWidth="1"/>
    <col min="12288" max="12288" width="3.28515625" style="131"/>
    <col min="12289" max="12289" width="3.28515625" style="131" customWidth="1"/>
    <col min="12290" max="12290" width="10.85546875" style="131" customWidth="1"/>
    <col min="12291" max="12291" width="36" style="131" customWidth="1"/>
    <col min="12292" max="12292" width="3.42578125" style="131" customWidth="1"/>
    <col min="12293" max="12293" width="11.28515625" style="131" customWidth="1"/>
    <col min="12294" max="12294" width="9.85546875" style="131" customWidth="1"/>
    <col min="12295" max="12295" width="10.7109375" style="131" customWidth="1"/>
    <col min="12296" max="12296" width="11.7109375" style="131" customWidth="1"/>
    <col min="12297" max="12297" width="12.140625" style="131" customWidth="1"/>
    <col min="12298" max="12299" width="11.5703125" style="131" customWidth="1"/>
    <col min="12300" max="12300" width="11.140625" style="131" customWidth="1"/>
    <col min="12301" max="12301" width="12.140625" style="131" customWidth="1"/>
    <col min="12302" max="12302" width="11.42578125" style="131" customWidth="1"/>
    <col min="12303" max="12303" width="12.140625" style="131" customWidth="1"/>
    <col min="12304" max="12304" width="12.28515625" style="131" customWidth="1"/>
    <col min="12305" max="12305" width="11.140625" style="131" customWidth="1"/>
    <col min="12306" max="12306" width="11.28515625" style="131" customWidth="1"/>
    <col min="12307" max="12307" width="11.7109375" style="131" customWidth="1"/>
    <col min="12308" max="12308" width="11.42578125" style="131" customWidth="1"/>
    <col min="12309" max="12309" width="11.28515625" style="131" customWidth="1"/>
    <col min="12310" max="12310" width="11.140625" style="131" customWidth="1"/>
    <col min="12311" max="12311" width="12.5703125" style="131" customWidth="1"/>
    <col min="12312" max="12312" width="12.85546875" style="131" customWidth="1"/>
    <col min="12313" max="12543" width="9.140625" style="131" customWidth="1"/>
    <col min="12544" max="12544" width="3.28515625" style="131"/>
    <col min="12545" max="12545" width="3.28515625" style="131" customWidth="1"/>
    <col min="12546" max="12546" width="10.85546875" style="131" customWidth="1"/>
    <col min="12547" max="12547" width="36" style="131" customWidth="1"/>
    <col min="12548" max="12548" width="3.42578125" style="131" customWidth="1"/>
    <col min="12549" max="12549" width="11.28515625" style="131" customWidth="1"/>
    <col min="12550" max="12550" width="9.85546875" style="131" customWidth="1"/>
    <col min="12551" max="12551" width="10.7109375" style="131" customWidth="1"/>
    <col min="12552" max="12552" width="11.7109375" style="131" customWidth="1"/>
    <col min="12553" max="12553" width="12.140625" style="131" customWidth="1"/>
    <col min="12554" max="12555" width="11.5703125" style="131" customWidth="1"/>
    <col min="12556" max="12556" width="11.140625" style="131" customWidth="1"/>
    <col min="12557" max="12557" width="12.140625" style="131" customWidth="1"/>
    <col min="12558" max="12558" width="11.42578125" style="131" customWidth="1"/>
    <col min="12559" max="12559" width="12.140625" style="131" customWidth="1"/>
    <col min="12560" max="12560" width="12.28515625" style="131" customWidth="1"/>
    <col min="12561" max="12561" width="11.140625" style="131" customWidth="1"/>
    <col min="12562" max="12562" width="11.28515625" style="131" customWidth="1"/>
    <col min="12563" max="12563" width="11.7109375" style="131" customWidth="1"/>
    <col min="12564" max="12564" width="11.42578125" style="131" customWidth="1"/>
    <col min="12565" max="12565" width="11.28515625" style="131" customWidth="1"/>
    <col min="12566" max="12566" width="11.140625" style="131" customWidth="1"/>
    <col min="12567" max="12567" width="12.5703125" style="131" customWidth="1"/>
    <col min="12568" max="12568" width="12.85546875" style="131" customWidth="1"/>
    <col min="12569" max="12799" width="9.140625" style="131" customWidth="1"/>
    <col min="12800" max="12800" width="3.28515625" style="131"/>
    <col min="12801" max="12801" width="3.28515625" style="131" customWidth="1"/>
    <col min="12802" max="12802" width="10.85546875" style="131" customWidth="1"/>
    <col min="12803" max="12803" width="36" style="131" customWidth="1"/>
    <col min="12804" max="12804" width="3.42578125" style="131" customWidth="1"/>
    <col min="12805" max="12805" width="11.28515625" style="131" customWidth="1"/>
    <col min="12806" max="12806" width="9.85546875" style="131" customWidth="1"/>
    <col min="12807" max="12807" width="10.7109375" style="131" customWidth="1"/>
    <col min="12808" max="12808" width="11.7109375" style="131" customWidth="1"/>
    <col min="12809" max="12809" width="12.140625" style="131" customWidth="1"/>
    <col min="12810" max="12811" width="11.5703125" style="131" customWidth="1"/>
    <col min="12812" max="12812" width="11.140625" style="131" customWidth="1"/>
    <col min="12813" max="12813" width="12.140625" style="131" customWidth="1"/>
    <col min="12814" max="12814" width="11.42578125" style="131" customWidth="1"/>
    <col min="12815" max="12815" width="12.140625" style="131" customWidth="1"/>
    <col min="12816" max="12816" width="12.28515625" style="131" customWidth="1"/>
    <col min="12817" max="12817" width="11.140625" style="131" customWidth="1"/>
    <col min="12818" max="12818" width="11.28515625" style="131" customWidth="1"/>
    <col min="12819" max="12819" width="11.7109375" style="131" customWidth="1"/>
    <col min="12820" max="12820" width="11.42578125" style="131" customWidth="1"/>
    <col min="12821" max="12821" width="11.28515625" style="131" customWidth="1"/>
    <col min="12822" max="12822" width="11.140625" style="131" customWidth="1"/>
    <col min="12823" max="12823" width="12.5703125" style="131" customWidth="1"/>
    <col min="12824" max="12824" width="12.85546875" style="131" customWidth="1"/>
    <col min="12825" max="13055" width="9.140625" style="131" customWidth="1"/>
    <col min="13056" max="13056" width="3.28515625" style="131"/>
    <col min="13057" max="13057" width="3.28515625" style="131" customWidth="1"/>
    <col min="13058" max="13058" width="10.85546875" style="131" customWidth="1"/>
    <col min="13059" max="13059" width="36" style="131" customWidth="1"/>
    <col min="13060" max="13060" width="3.42578125" style="131" customWidth="1"/>
    <col min="13061" max="13061" width="11.28515625" style="131" customWidth="1"/>
    <col min="13062" max="13062" width="9.85546875" style="131" customWidth="1"/>
    <col min="13063" max="13063" width="10.7109375" style="131" customWidth="1"/>
    <col min="13064" max="13064" width="11.7109375" style="131" customWidth="1"/>
    <col min="13065" max="13065" width="12.140625" style="131" customWidth="1"/>
    <col min="13066" max="13067" width="11.5703125" style="131" customWidth="1"/>
    <col min="13068" max="13068" width="11.140625" style="131" customWidth="1"/>
    <col min="13069" max="13069" width="12.140625" style="131" customWidth="1"/>
    <col min="13070" max="13070" width="11.42578125" style="131" customWidth="1"/>
    <col min="13071" max="13071" width="12.140625" style="131" customWidth="1"/>
    <col min="13072" max="13072" width="12.28515625" style="131" customWidth="1"/>
    <col min="13073" max="13073" width="11.140625" style="131" customWidth="1"/>
    <col min="13074" max="13074" width="11.28515625" style="131" customWidth="1"/>
    <col min="13075" max="13075" width="11.7109375" style="131" customWidth="1"/>
    <col min="13076" max="13076" width="11.42578125" style="131" customWidth="1"/>
    <col min="13077" max="13077" width="11.28515625" style="131" customWidth="1"/>
    <col min="13078" max="13078" width="11.140625" style="131" customWidth="1"/>
    <col min="13079" max="13079" width="12.5703125" style="131" customWidth="1"/>
    <col min="13080" max="13080" width="12.85546875" style="131" customWidth="1"/>
    <col min="13081" max="13311" width="9.140625" style="131" customWidth="1"/>
    <col min="13312" max="13312" width="3.28515625" style="131"/>
    <col min="13313" max="13313" width="3.28515625" style="131" customWidth="1"/>
    <col min="13314" max="13314" width="10.85546875" style="131" customWidth="1"/>
    <col min="13315" max="13315" width="36" style="131" customWidth="1"/>
    <col min="13316" max="13316" width="3.42578125" style="131" customWidth="1"/>
    <col min="13317" max="13317" width="11.28515625" style="131" customWidth="1"/>
    <col min="13318" max="13318" width="9.85546875" style="131" customWidth="1"/>
    <col min="13319" max="13319" width="10.7109375" style="131" customWidth="1"/>
    <col min="13320" max="13320" width="11.7109375" style="131" customWidth="1"/>
    <col min="13321" max="13321" width="12.140625" style="131" customWidth="1"/>
    <col min="13322" max="13323" width="11.5703125" style="131" customWidth="1"/>
    <col min="13324" max="13324" width="11.140625" style="131" customWidth="1"/>
    <col min="13325" max="13325" width="12.140625" style="131" customWidth="1"/>
    <col min="13326" max="13326" width="11.42578125" style="131" customWidth="1"/>
    <col min="13327" max="13327" width="12.140625" style="131" customWidth="1"/>
    <col min="13328" max="13328" width="12.28515625" style="131" customWidth="1"/>
    <col min="13329" max="13329" width="11.140625" style="131" customWidth="1"/>
    <col min="13330" max="13330" width="11.28515625" style="131" customWidth="1"/>
    <col min="13331" max="13331" width="11.7109375" style="131" customWidth="1"/>
    <col min="13332" max="13332" width="11.42578125" style="131" customWidth="1"/>
    <col min="13333" max="13333" width="11.28515625" style="131" customWidth="1"/>
    <col min="13334" max="13334" width="11.140625" style="131" customWidth="1"/>
    <col min="13335" max="13335" width="12.5703125" style="131" customWidth="1"/>
    <col min="13336" max="13336" width="12.85546875" style="131" customWidth="1"/>
    <col min="13337" max="13567" width="9.140625" style="131" customWidth="1"/>
    <col min="13568" max="13568" width="3.28515625" style="131"/>
    <col min="13569" max="13569" width="3.28515625" style="131" customWidth="1"/>
    <col min="13570" max="13570" width="10.85546875" style="131" customWidth="1"/>
    <col min="13571" max="13571" width="36" style="131" customWidth="1"/>
    <col min="13572" max="13572" width="3.42578125" style="131" customWidth="1"/>
    <col min="13573" max="13573" width="11.28515625" style="131" customWidth="1"/>
    <col min="13574" max="13574" width="9.85546875" style="131" customWidth="1"/>
    <col min="13575" max="13575" width="10.7109375" style="131" customWidth="1"/>
    <col min="13576" max="13576" width="11.7109375" style="131" customWidth="1"/>
    <col min="13577" max="13577" width="12.140625" style="131" customWidth="1"/>
    <col min="13578" max="13579" width="11.5703125" style="131" customWidth="1"/>
    <col min="13580" max="13580" width="11.140625" style="131" customWidth="1"/>
    <col min="13581" max="13581" width="12.140625" style="131" customWidth="1"/>
    <col min="13582" max="13582" width="11.42578125" style="131" customWidth="1"/>
    <col min="13583" max="13583" width="12.140625" style="131" customWidth="1"/>
    <col min="13584" max="13584" width="12.28515625" style="131" customWidth="1"/>
    <col min="13585" max="13585" width="11.140625" style="131" customWidth="1"/>
    <col min="13586" max="13586" width="11.28515625" style="131" customWidth="1"/>
    <col min="13587" max="13587" width="11.7109375" style="131" customWidth="1"/>
    <col min="13588" max="13588" width="11.42578125" style="131" customWidth="1"/>
    <col min="13589" max="13589" width="11.28515625" style="131" customWidth="1"/>
    <col min="13590" max="13590" width="11.140625" style="131" customWidth="1"/>
    <col min="13591" max="13591" width="12.5703125" style="131" customWidth="1"/>
    <col min="13592" max="13592" width="12.85546875" style="131" customWidth="1"/>
    <col min="13593" max="13823" width="9.140625" style="131" customWidth="1"/>
    <col min="13824" max="13824" width="3.28515625" style="131"/>
    <col min="13825" max="13825" width="3.28515625" style="131" customWidth="1"/>
    <col min="13826" max="13826" width="10.85546875" style="131" customWidth="1"/>
    <col min="13827" max="13827" width="36" style="131" customWidth="1"/>
    <col min="13828" max="13828" width="3.42578125" style="131" customWidth="1"/>
    <col min="13829" max="13829" width="11.28515625" style="131" customWidth="1"/>
    <col min="13830" max="13830" width="9.85546875" style="131" customWidth="1"/>
    <col min="13831" max="13831" width="10.7109375" style="131" customWidth="1"/>
    <col min="13832" max="13832" width="11.7109375" style="131" customWidth="1"/>
    <col min="13833" max="13833" width="12.140625" style="131" customWidth="1"/>
    <col min="13834" max="13835" width="11.5703125" style="131" customWidth="1"/>
    <col min="13836" max="13836" width="11.140625" style="131" customWidth="1"/>
    <col min="13837" max="13837" width="12.140625" style="131" customWidth="1"/>
    <col min="13838" max="13838" width="11.42578125" style="131" customWidth="1"/>
    <col min="13839" max="13839" width="12.140625" style="131" customWidth="1"/>
    <col min="13840" max="13840" width="12.28515625" style="131" customWidth="1"/>
    <col min="13841" max="13841" width="11.140625" style="131" customWidth="1"/>
    <col min="13842" max="13842" width="11.28515625" style="131" customWidth="1"/>
    <col min="13843" max="13843" width="11.7109375" style="131" customWidth="1"/>
    <col min="13844" max="13844" width="11.42578125" style="131" customWidth="1"/>
    <col min="13845" max="13845" width="11.28515625" style="131" customWidth="1"/>
    <col min="13846" max="13846" width="11.140625" style="131" customWidth="1"/>
    <col min="13847" max="13847" width="12.5703125" style="131" customWidth="1"/>
    <col min="13848" max="13848" width="12.85546875" style="131" customWidth="1"/>
    <col min="13849" max="14079" width="9.140625" style="131" customWidth="1"/>
    <col min="14080" max="14080" width="3.28515625" style="131"/>
    <col min="14081" max="14081" width="3.28515625" style="131" customWidth="1"/>
    <col min="14082" max="14082" width="10.85546875" style="131" customWidth="1"/>
    <col min="14083" max="14083" width="36" style="131" customWidth="1"/>
    <col min="14084" max="14084" width="3.42578125" style="131" customWidth="1"/>
    <col min="14085" max="14085" width="11.28515625" style="131" customWidth="1"/>
    <col min="14086" max="14086" width="9.85546875" style="131" customWidth="1"/>
    <col min="14087" max="14087" width="10.7109375" style="131" customWidth="1"/>
    <col min="14088" max="14088" width="11.7109375" style="131" customWidth="1"/>
    <col min="14089" max="14089" width="12.140625" style="131" customWidth="1"/>
    <col min="14090" max="14091" width="11.5703125" style="131" customWidth="1"/>
    <col min="14092" max="14092" width="11.140625" style="131" customWidth="1"/>
    <col min="14093" max="14093" width="12.140625" style="131" customWidth="1"/>
    <col min="14094" max="14094" width="11.42578125" style="131" customWidth="1"/>
    <col min="14095" max="14095" width="12.140625" style="131" customWidth="1"/>
    <col min="14096" max="14096" width="12.28515625" style="131" customWidth="1"/>
    <col min="14097" max="14097" width="11.140625" style="131" customWidth="1"/>
    <col min="14098" max="14098" width="11.28515625" style="131" customWidth="1"/>
    <col min="14099" max="14099" width="11.7109375" style="131" customWidth="1"/>
    <col min="14100" max="14100" width="11.42578125" style="131" customWidth="1"/>
    <col min="14101" max="14101" width="11.28515625" style="131" customWidth="1"/>
    <col min="14102" max="14102" width="11.140625" style="131" customWidth="1"/>
    <col min="14103" max="14103" width="12.5703125" style="131" customWidth="1"/>
    <col min="14104" max="14104" width="12.85546875" style="131" customWidth="1"/>
    <col min="14105" max="14335" width="9.140625" style="131" customWidth="1"/>
    <col min="14336" max="14336" width="3.28515625" style="131"/>
    <col min="14337" max="14337" width="3.28515625" style="131" customWidth="1"/>
    <col min="14338" max="14338" width="10.85546875" style="131" customWidth="1"/>
    <col min="14339" max="14339" width="36" style="131" customWidth="1"/>
    <col min="14340" max="14340" width="3.42578125" style="131" customWidth="1"/>
    <col min="14341" max="14341" width="11.28515625" style="131" customWidth="1"/>
    <col min="14342" max="14342" width="9.85546875" style="131" customWidth="1"/>
    <col min="14343" max="14343" width="10.7109375" style="131" customWidth="1"/>
    <col min="14344" max="14344" width="11.7109375" style="131" customWidth="1"/>
    <col min="14345" max="14345" width="12.140625" style="131" customWidth="1"/>
    <col min="14346" max="14347" width="11.5703125" style="131" customWidth="1"/>
    <col min="14348" max="14348" width="11.140625" style="131" customWidth="1"/>
    <col min="14349" max="14349" width="12.140625" style="131" customWidth="1"/>
    <col min="14350" max="14350" width="11.42578125" style="131" customWidth="1"/>
    <col min="14351" max="14351" width="12.140625" style="131" customWidth="1"/>
    <col min="14352" max="14352" width="12.28515625" style="131" customWidth="1"/>
    <col min="14353" max="14353" width="11.140625" style="131" customWidth="1"/>
    <col min="14354" max="14354" width="11.28515625" style="131" customWidth="1"/>
    <col min="14355" max="14355" width="11.7109375" style="131" customWidth="1"/>
    <col min="14356" max="14356" width="11.42578125" style="131" customWidth="1"/>
    <col min="14357" max="14357" width="11.28515625" style="131" customWidth="1"/>
    <col min="14358" max="14358" width="11.140625" style="131" customWidth="1"/>
    <col min="14359" max="14359" width="12.5703125" style="131" customWidth="1"/>
    <col min="14360" max="14360" width="12.85546875" style="131" customWidth="1"/>
    <col min="14361" max="14591" width="9.140625" style="131" customWidth="1"/>
    <col min="14592" max="14592" width="3.28515625" style="131"/>
    <col min="14593" max="14593" width="3.28515625" style="131" customWidth="1"/>
    <col min="14594" max="14594" width="10.85546875" style="131" customWidth="1"/>
    <col min="14595" max="14595" width="36" style="131" customWidth="1"/>
    <col min="14596" max="14596" width="3.42578125" style="131" customWidth="1"/>
    <col min="14597" max="14597" width="11.28515625" style="131" customWidth="1"/>
    <col min="14598" max="14598" width="9.85546875" style="131" customWidth="1"/>
    <col min="14599" max="14599" width="10.7109375" style="131" customWidth="1"/>
    <col min="14600" max="14600" width="11.7109375" style="131" customWidth="1"/>
    <col min="14601" max="14601" width="12.140625" style="131" customWidth="1"/>
    <col min="14602" max="14603" width="11.5703125" style="131" customWidth="1"/>
    <col min="14604" max="14604" width="11.140625" style="131" customWidth="1"/>
    <col min="14605" max="14605" width="12.140625" style="131" customWidth="1"/>
    <col min="14606" max="14606" width="11.42578125" style="131" customWidth="1"/>
    <col min="14607" max="14607" width="12.140625" style="131" customWidth="1"/>
    <col min="14608" max="14608" width="12.28515625" style="131" customWidth="1"/>
    <col min="14609" max="14609" width="11.140625" style="131" customWidth="1"/>
    <col min="14610" max="14610" width="11.28515625" style="131" customWidth="1"/>
    <col min="14611" max="14611" width="11.7109375" style="131" customWidth="1"/>
    <col min="14612" max="14612" width="11.42578125" style="131" customWidth="1"/>
    <col min="14613" max="14613" width="11.28515625" style="131" customWidth="1"/>
    <col min="14614" max="14614" width="11.140625" style="131" customWidth="1"/>
    <col min="14615" max="14615" width="12.5703125" style="131" customWidth="1"/>
    <col min="14616" max="14616" width="12.85546875" style="131" customWidth="1"/>
    <col min="14617" max="14847" width="9.140625" style="131" customWidth="1"/>
    <col min="14848" max="14848" width="3.28515625" style="131"/>
    <col min="14849" max="14849" width="3.28515625" style="131" customWidth="1"/>
    <col min="14850" max="14850" width="10.85546875" style="131" customWidth="1"/>
    <col min="14851" max="14851" width="36" style="131" customWidth="1"/>
    <col min="14852" max="14852" width="3.42578125" style="131" customWidth="1"/>
    <col min="14853" max="14853" width="11.28515625" style="131" customWidth="1"/>
    <col min="14854" max="14854" width="9.85546875" style="131" customWidth="1"/>
    <col min="14855" max="14855" width="10.7109375" style="131" customWidth="1"/>
    <col min="14856" max="14856" width="11.7109375" style="131" customWidth="1"/>
    <col min="14857" max="14857" width="12.140625" style="131" customWidth="1"/>
    <col min="14858" max="14859" width="11.5703125" style="131" customWidth="1"/>
    <col min="14860" max="14860" width="11.140625" style="131" customWidth="1"/>
    <col min="14861" max="14861" width="12.140625" style="131" customWidth="1"/>
    <col min="14862" max="14862" width="11.42578125" style="131" customWidth="1"/>
    <col min="14863" max="14863" width="12.140625" style="131" customWidth="1"/>
    <col min="14864" max="14864" width="12.28515625" style="131" customWidth="1"/>
    <col min="14865" max="14865" width="11.140625" style="131" customWidth="1"/>
    <col min="14866" max="14866" width="11.28515625" style="131" customWidth="1"/>
    <col min="14867" max="14867" width="11.7109375" style="131" customWidth="1"/>
    <col min="14868" max="14868" width="11.42578125" style="131" customWidth="1"/>
    <col min="14869" max="14869" width="11.28515625" style="131" customWidth="1"/>
    <col min="14870" max="14870" width="11.140625" style="131" customWidth="1"/>
    <col min="14871" max="14871" width="12.5703125" style="131" customWidth="1"/>
    <col min="14872" max="14872" width="12.85546875" style="131" customWidth="1"/>
    <col min="14873" max="15103" width="9.140625" style="131" customWidth="1"/>
    <col min="15104" max="15104" width="3.28515625" style="131"/>
    <col min="15105" max="15105" width="3.28515625" style="131" customWidth="1"/>
    <col min="15106" max="15106" width="10.85546875" style="131" customWidth="1"/>
    <col min="15107" max="15107" width="36" style="131" customWidth="1"/>
    <col min="15108" max="15108" width="3.42578125" style="131" customWidth="1"/>
    <col min="15109" max="15109" width="11.28515625" style="131" customWidth="1"/>
    <col min="15110" max="15110" width="9.85546875" style="131" customWidth="1"/>
    <col min="15111" max="15111" width="10.7109375" style="131" customWidth="1"/>
    <col min="15112" max="15112" width="11.7109375" style="131" customWidth="1"/>
    <col min="15113" max="15113" width="12.140625" style="131" customWidth="1"/>
    <col min="15114" max="15115" width="11.5703125" style="131" customWidth="1"/>
    <col min="15116" max="15116" width="11.140625" style="131" customWidth="1"/>
    <col min="15117" max="15117" width="12.140625" style="131" customWidth="1"/>
    <col min="15118" max="15118" width="11.42578125" style="131" customWidth="1"/>
    <col min="15119" max="15119" width="12.140625" style="131" customWidth="1"/>
    <col min="15120" max="15120" width="12.28515625" style="131" customWidth="1"/>
    <col min="15121" max="15121" width="11.140625" style="131" customWidth="1"/>
    <col min="15122" max="15122" width="11.28515625" style="131" customWidth="1"/>
    <col min="15123" max="15123" width="11.7109375" style="131" customWidth="1"/>
    <col min="15124" max="15124" width="11.42578125" style="131" customWidth="1"/>
    <col min="15125" max="15125" width="11.28515625" style="131" customWidth="1"/>
    <col min="15126" max="15126" width="11.140625" style="131" customWidth="1"/>
    <col min="15127" max="15127" width="12.5703125" style="131" customWidth="1"/>
    <col min="15128" max="15128" width="12.85546875" style="131" customWidth="1"/>
    <col min="15129" max="15359" width="9.140625" style="131" customWidth="1"/>
    <col min="15360" max="15360" width="3.28515625" style="131"/>
    <col min="15361" max="15361" width="3.28515625" style="131" customWidth="1"/>
    <col min="15362" max="15362" width="10.85546875" style="131" customWidth="1"/>
    <col min="15363" max="15363" width="36" style="131" customWidth="1"/>
    <col min="15364" max="15364" width="3.42578125" style="131" customWidth="1"/>
    <col min="15365" max="15365" width="11.28515625" style="131" customWidth="1"/>
    <col min="15366" max="15366" width="9.85546875" style="131" customWidth="1"/>
    <col min="15367" max="15367" width="10.7109375" style="131" customWidth="1"/>
    <col min="15368" max="15368" width="11.7109375" style="131" customWidth="1"/>
    <col min="15369" max="15369" width="12.140625" style="131" customWidth="1"/>
    <col min="15370" max="15371" width="11.5703125" style="131" customWidth="1"/>
    <col min="15372" max="15372" width="11.140625" style="131" customWidth="1"/>
    <col min="15373" max="15373" width="12.140625" style="131" customWidth="1"/>
    <col min="15374" max="15374" width="11.42578125" style="131" customWidth="1"/>
    <col min="15375" max="15375" width="12.140625" style="131" customWidth="1"/>
    <col min="15376" max="15376" width="12.28515625" style="131" customWidth="1"/>
    <col min="15377" max="15377" width="11.140625" style="131" customWidth="1"/>
    <col min="15378" max="15378" width="11.28515625" style="131" customWidth="1"/>
    <col min="15379" max="15379" width="11.7109375" style="131" customWidth="1"/>
    <col min="15380" max="15380" width="11.42578125" style="131" customWidth="1"/>
    <col min="15381" max="15381" width="11.28515625" style="131" customWidth="1"/>
    <col min="15382" max="15382" width="11.140625" style="131" customWidth="1"/>
    <col min="15383" max="15383" width="12.5703125" style="131" customWidth="1"/>
    <col min="15384" max="15384" width="12.85546875" style="131" customWidth="1"/>
    <col min="15385" max="15615" width="9.140625" style="131" customWidth="1"/>
    <col min="15616" max="15616" width="3.28515625" style="131"/>
    <col min="15617" max="15617" width="3.28515625" style="131" customWidth="1"/>
    <col min="15618" max="15618" width="10.85546875" style="131" customWidth="1"/>
    <col min="15619" max="15619" width="36" style="131" customWidth="1"/>
    <col min="15620" max="15620" width="3.42578125" style="131" customWidth="1"/>
    <col min="15621" max="15621" width="11.28515625" style="131" customWidth="1"/>
    <col min="15622" max="15622" width="9.85546875" style="131" customWidth="1"/>
    <col min="15623" max="15623" width="10.7109375" style="131" customWidth="1"/>
    <col min="15624" max="15624" width="11.7109375" style="131" customWidth="1"/>
    <col min="15625" max="15625" width="12.140625" style="131" customWidth="1"/>
    <col min="15626" max="15627" width="11.5703125" style="131" customWidth="1"/>
    <col min="15628" max="15628" width="11.140625" style="131" customWidth="1"/>
    <col min="15629" max="15629" width="12.140625" style="131" customWidth="1"/>
    <col min="15630" max="15630" width="11.42578125" style="131" customWidth="1"/>
    <col min="15631" max="15631" width="12.140625" style="131" customWidth="1"/>
    <col min="15632" max="15632" width="12.28515625" style="131" customWidth="1"/>
    <col min="15633" max="15633" width="11.140625" style="131" customWidth="1"/>
    <col min="15634" max="15634" width="11.28515625" style="131" customWidth="1"/>
    <col min="15635" max="15635" width="11.7109375" style="131" customWidth="1"/>
    <col min="15636" max="15636" width="11.42578125" style="131" customWidth="1"/>
    <col min="15637" max="15637" width="11.28515625" style="131" customWidth="1"/>
    <col min="15638" max="15638" width="11.140625" style="131" customWidth="1"/>
    <col min="15639" max="15639" width="12.5703125" style="131" customWidth="1"/>
    <col min="15640" max="15640" width="12.85546875" style="131" customWidth="1"/>
    <col min="15641" max="15871" width="9.140625" style="131" customWidth="1"/>
    <col min="15872" max="15872" width="3.28515625" style="131"/>
    <col min="15873" max="15873" width="3.28515625" style="131" customWidth="1"/>
    <col min="15874" max="15874" width="10.85546875" style="131" customWidth="1"/>
    <col min="15875" max="15875" width="36" style="131" customWidth="1"/>
    <col min="15876" max="15876" width="3.42578125" style="131" customWidth="1"/>
    <col min="15877" max="15877" width="11.28515625" style="131" customWidth="1"/>
    <col min="15878" max="15878" width="9.85546875" style="131" customWidth="1"/>
    <col min="15879" max="15879" width="10.7109375" style="131" customWidth="1"/>
    <col min="15880" max="15880" width="11.7109375" style="131" customWidth="1"/>
    <col min="15881" max="15881" width="12.140625" style="131" customWidth="1"/>
    <col min="15882" max="15883" width="11.5703125" style="131" customWidth="1"/>
    <col min="15884" max="15884" width="11.140625" style="131" customWidth="1"/>
    <col min="15885" max="15885" width="12.140625" style="131" customWidth="1"/>
    <col min="15886" max="15886" width="11.42578125" style="131" customWidth="1"/>
    <col min="15887" max="15887" width="12.140625" style="131" customWidth="1"/>
    <col min="15888" max="15888" width="12.28515625" style="131" customWidth="1"/>
    <col min="15889" max="15889" width="11.140625" style="131" customWidth="1"/>
    <col min="15890" max="15890" width="11.28515625" style="131" customWidth="1"/>
    <col min="15891" max="15891" width="11.7109375" style="131" customWidth="1"/>
    <col min="15892" max="15892" width="11.42578125" style="131" customWidth="1"/>
    <col min="15893" max="15893" width="11.28515625" style="131" customWidth="1"/>
    <col min="15894" max="15894" width="11.140625" style="131" customWidth="1"/>
    <col min="15895" max="15895" width="12.5703125" style="131" customWidth="1"/>
    <col min="15896" max="15896" width="12.85546875" style="131" customWidth="1"/>
    <col min="15897" max="16127" width="9.140625" style="131" customWidth="1"/>
    <col min="16128" max="16128" width="3.28515625" style="131"/>
    <col min="16129" max="16129" width="3.28515625" style="131" customWidth="1"/>
    <col min="16130" max="16130" width="10.85546875" style="131" customWidth="1"/>
    <col min="16131" max="16131" width="36" style="131" customWidth="1"/>
    <col min="16132" max="16132" width="3.42578125" style="131" customWidth="1"/>
    <col min="16133" max="16133" width="11.28515625" style="131" customWidth="1"/>
    <col min="16134" max="16134" width="9.85546875" style="131" customWidth="1"/>
    <col min="16135" max="16135" width="10.7109375" style="131" customWidth="1"/>
    <col min="16136" max="16136" width="11.7109375" style="131" customWidth="1"/>
    <col min="16137" max="16137" width="12.140625" style="131" customWidth="1"/>
    <col min="16138" max="16139" width="11.5703125" style="131" customWidth="1"/>
    <col min="16140" max="16140" width="11.140625" style="131" customWidth="1"/>
    <col min="16141" max="16141" width="12.140625" style="131" customWidth="1"/>
    <col min="16142" max="16142" width="11.42578125" style="131" customWidth="1"/>
    <col min="16143" max="16143" width="12.140625" style="131" customWidth="1"/>
    <col min="16144" max="16144" width="12.28515625" style="131" customWidth="1"/>
    <col min="16145" max="16145" width="11.140625" style="131" customWidth="1"/>
    <col min="16146" max="16146" width="11.28515625" style="131" customWidth="1"/>
    <col min="16147" max="16147" width="11.7109375" style="131" customWidth="1"/>
    <col min="16148" max="16148" width="11.42578125" style="131" customWidth="1"/>
    <col min="16149" max="16149" width="11.28515625" style="131" customWidth="1"/>
    <col min="16150" max="16150" width="11.140625" style="131" customWidth="1"/>
    <col min="16151" max="16151" width="12.5703125" style="131" customWidth="1"/>
    <col min="16152" max="16152" width="12.85546875" style="131" customWidth="1"/>
    <col min="16153" max="16383" width="9.140625" style="131" customWidth="1"/>
    <col min="16384" max="16384" width="3.28515625" style="131"/>
  </cols>
  <sheetData>
    <row r="1" spans="1:24" x14ac:dyDescent="0.2">
      <c r="B1" s="308" t="s">
        <v>0</v>
      </c>
      <c r="C1" s="307"/>
      <c r="D1" s="307"/>
      <c r="E1" s="307"/>
      <c r="F1" s="135"/>
      <c r="G1" s="135"/>
      <c r="K1" s="310"/>
      <c r="L1" s="309" t="s">
        <v>777</v>
      </c>
      <c r="M1" s="306"/>
      <c r="N1" s="306"/>
      <c r="O1" s="306"/>
    </row>
    <row r="2" spans="1:24" ht="15" x14ac:dyDescent="0.25">
      <c r="B2" s="308"/>
      <c r="C2" s="307"/>
      <c r="D2" s="307"/>
      <c r="E2" s="307"/>
      <c r="F2" s="135"/>
      <c r="G2" s="135"/>
      <c r="I2" s="621" t="s">
        <v>377</v>
      </c>
      <c r="J2" s="621"/>
      <c r="K2" s="621"/>
      <c r="L2" s="621"/>
      <c r="M2" s="306"/>
      <c r="N2" s="306"/>
      <c r="O2" s="306"/>
    </row>
    <row r="3" spans="1:24" ht="15" x14ac:dyDescent="0.25">
      <c r="B3" s="308"/>
      <c r="C3" s="307"/>
      <c r="D3" s="307"/>
      <c r="E3" s="307"/>
      <c r="F3" s="135"/>
      <c r="G3" s="135"/>
      <c r="I3" s="621" t="s">
        <v>1002</v>
      </c>
      <c r="J3" s="621"/>
      <c r="K3" s="621"/>
      <c r="L3" s="621"/>
      <c r="M3" s="306"/>
      <c r="N3" s="306"/>
      <c r="O3" s="306"/>
    </row>
    <row r="4" spans="1:24" ht="18" customHeight="1" x14ac:dyDescent="0.25">
      <c r="A4" s="622" t="s">
        <v>776</v>
      </c>
      <c r="B4" s="622"/>
      <c r="C4" s="622"/>
      <c r="D4" s="622"/>
      <c r="E4" s="622"/>
      <c r="F4" s="622"/>
      <c r="G4" s="622"/>
      <c r="H4" s="622"/>
      <c r="I4" s="622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</row>
    <row r="5" spans="1:24" s="132" customFormat="1" ht="12.75" customHeight="1" x14ac:dyDescent="0.25">
      <c r="A5" s="623" t="s">
        <v>775</v>
      </c>
      <c r="B5" s="625" t="s">
        <v>774</v>
      </c>
      <c r="C5" s="627" t="s">
        <v>773</v>
      </c>
      <c r="D5" s="305"/>
      <c r="E5" s="305" t="s">
        <v>772</v>
      </c>
      <c r="F5" s="305" t="s">
        <v>771</v>
      </c>
      <c r="G5" s="305" t="s">
        <v>770</v>
      </c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3"/>
      <c r="U5" s="303"/>
      <c r="V5" s="303"/>
      <c r="W5" s="303"/>
      <c r="X5" s="302" t="s">
        <v>769</v>
      </c>
    </row>
    <row r="6" spans="1:24" s="132" customFormat="1" x14ac:dyDescent="0.25">
      <c r="A6" s="624"/>
      <c r="B6" s="626"/>
      <c r="C6" s="628"/>
      <c r="D6" s="301"/>
      <c r="E6" s="301" t="s">
        <v>768</v>
      </c>
      <c r="F6" s="301" t="s">
        <v>767</v>
      </c>
      <c r="G6" s="301" t="s">
        <v>12</v>
      </c>
      <c r="H6" s="301">
        <v>2018</v>
      </c>
      <c r="I6" s="301">
        <f t="shared" ref="I6:U6" si="0">SUM(H6+1)</f>
        <v>2019</v>
      </c>
      <c r="J6" s="301">
        <f t="shared" si="0"/>
        <v>2020</v>
      </c>
      <c r="K6" s="301">
        <f t="shared" si="0"/>
        <v>2021</v>
      </c>
      <c r="L6" s="301">
        <f t="shared" si="0"/>
        <v>2022</v>
      </c>
      <c r="M6" s="301">
        <f t="shared" si="0"/>
        <v>2023</v>
      </c>
      <c r="N6" s="301">
        <f t="shared" si="0"/>
        <v>2024</v>
      </c>
      <c r="O6" s="301">
        <f t="shared" si="0"/>
        <v>2025</v>
      </c>
      <c r="P6" s="301">
        <f t="shared" si="0"/>
        <v>2026</v>
      </c>
      <c r="Q6" s="301">
        <f t="shared" si="0"/>
        <v>2027</v>
      </c>
      <c r="R6" s="301">
        <f t="shared" si="0"/>
        <v>2028</v>
      </c>
      <c r="S6" s="301">
        <f t="shared" si="0"/>
        <v>2029</v>
      </c>
      <c r="T6" s="301">
        <f t="shared" si="0"/>
        <v>2030</v>
      </c>
      <c r="U6" s="301">
        <f t="shared" si="0"/>
        <v>2031</v>
      </c>
      <c r="V6" s="300">
        <v>2032</v>
      </c>
      <c r="W6" s="300" t="s">
        <v>766</v>
      </c>
      <c r="X6" s="299" t="s">
        <v>491</v>
      </c>
    </row>
    <row r="7" spans="1:24" s="257" customFormat="1" x14ac:dyDescent="0.2">
      <c r="A7" s="580">
        <v>1</v>
      </c>
      <c r="B7" s="225" t="s">
        <v>765</v>
      </c>
      <c r="C7" s="576" t="s">
        <v>764</v>
      </c>
      <c r="D7" s="576">
        <v>501</v>
      </c>
      <c r="E7" s="629">
        <v>5443737.54</v>
      </c>
      <c r="F7" s="281" t="s">
        <v>763</v>
      </c>
      <c r="G7" s="225" t="s">
        <v>498</v>
      </c>
      <c r="H7" s="260">
        <v>201568</v>
      </c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193">
        <f t="shared" ref="X7:X38" si="1">SUM(H7:W7)</f>
        <v>201568</v>
      </c>
    </row>
    <row r="8" spans="1:24" s="257" customFormat="1" x14ac:dyDescent="0.2">
      <c r="A8" s="581"/>
      <c r="B8" s="229" t="s">
        <v>762</v>
      </c>
      <c r="C8" s="577"/>
      <c r="D8" s="577"/>
      <c r="E8" s="630"/>
      <c r="F8" s="280" t="s">
        <v>761</v>
      </c>
      <c r="G8" s="234">
        <v>2.5000000000000001E-3</v>
      </c>
      <c r="H8" s="266">
        <v>7336.25</v>
      </c>
      <c r="I8" s="259"/>
      <c r="J8" s="266"/>
      <c r="K8" s="266"/>
      <c r="L8" s="266"/>
      <c r="M8" s="266"/>
      <c r="N8" s="266"/>
      <c r="O8" s="266"/>
      <c r="P8" s="266"/>
      <c r="Q8" s="266"/>
      <c r="R8" s="259"/>
      <c r="S8" s="259"/>
      <c r="T8" s="259"/>
      <c r="U8" s="259"/>
      <c r="V8" s="259"/>
      <c r="W8" s="259"/>
      <c r="X8" s="191">
        <f t="shared" si="1"/>
        <v>7336.25</v>
      </c>
    </row>
    <row r="9" spans="1:24" s="257" customFormat="1" ht="12.75" customHeight="1" x14ac:dyDescent="0.2">
      <c r="A9" s="580">
        <v>2</v>
      </c>
      <c r="B9" s="225" t="s">
        <v>500</v>
      </c>
      <c r="C9" s="576" t="s">
        <v>760</v>
      </c>
      <c r="D9" s="576">
        <v>519</v>
      </c>
      <c r="E9" s="574">
        <v>620226.73</v>
      </c>
      <c r="F9" s="281" t="s">
        <v>759</v>
      </c>
      <c r="G9" s="288" t="s">
        <v>498</v>
      </c>
      <c r="H9" s="260">
        <v>55934</v>
      </c>
      <c r="I9" s="260"/>
      <c r="J9" s="260"/>
      <c r="K9" s="260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193">
        <f t="shared" si="1"/>
        <v>55934</v>
      </c>
    </row>
    <row r="10" spans="1:24" s="257" customFormat="1" x14ac:dyDescent="0.2">
      <c r="A10" s="581"/>
      <c r="B10" s="229" t="s">
        <v>758</v>
      </c>
      <c r="C10" s="577"/>
      <c r="D10" s="577"/>
      <c r="E10" s="575"/>
      <c r="F10" s="280" t="s">
        <v>757</v>
      </c>
      <c r="G10" s="234">
        <v>2.5000000000000001E-3</v>
      </c>
      <c r="H10" s="266">
        <v>681.19</v>
      </c>
      <c r="I10" s="259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191">
        <f t="shared" si="1"/>
        <v>681.19</v>
      </c>
    </row>
    <row r="11" spans="1:24" s="257" customFormat="1" ht="12.75" customHeight="1" x14ac:dyDescent="0.2">
      <c r="A11" s="580">
        <v>3</v>
      </c>
      <c r="B11" s="225" t="s">
        <v>500</v>
      </c>
      <c r="C11" s="576" t="s">
        <v>756</v>
      </c>
      <c r="D11" s="576">
        <v>521</v>
      </c>
      <c r="E11" s="574">
        <v>528555.29</v>
      </c>
      <c r="F11" s="289" t="s">
        <v>755</v>
      </c>
      <c r="G11" s="288" t="s">
        <v>498</v>
      </c>
      <c r="H11" s="260">
        <v>36451.14</v>
      </c>
      <c r="I11" s="260"/>
      <c r="J11" s="260"/>
      <c r="K11" s="260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193">
        <f t="shared" si="1"/>
        <v>36451.14</v>
      </c>
    </row>
    <row r="12" spans="1:24" s="257" customFormat="1" x14ac:dyDescent="0.2">
      <c r="A12" s="581"/>
      <c r="B12" s="229" t="s">
        <v>754</v>
      </c>
      <c r="C12" s="577"/>
      <c r="D12" s="577"/>
      <c r="E12" s="575"/>
      <c r="F12" s="287">
        <v>44275</v>
      </c>
      <c r="G12" s="234">
        <v>2.5000000000000001E-3</v>
      </c>
      <c r="H12" s="266">
        <v>447.82</v>
      </c>
      <c r="I12" s="259"/>
      <c r="J12" s="259"/>
      <c r="K12" s="259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191">
        <f t="shared" si="1"/>
        <v>447.82</v>
      </c>
    </row>
    <row r="13" spans="1:24" s="257" customFormat="1" x14ac:dyDescent="0.2">
      <c r="A13" s="580">
        <v>4</v>
      </c>
      <c r="B13" s="225" t="s">
        <v>500</v>
      </c>
      <c r="C13" s="576" t="s">
        <v>753</v>
      </c>
      <c r="D13" s="576">
        <v>529</v>
      </c>
      <c r="E13" s="574">
        <v>1734805.15</v>
      </c>
      <c r="F13" s="289" t="s">
        <v>743</v>
      </c>
      <c r="G13" s="288" t="s">
        <v>498</v>
      </c>
      <c r="H13" s="260">
        <v>129876</v>
      </c>
      <c r="I13" s="274"/>
      <c r="J13" s="274"/>
      <c r="K13" s="274"/>
      <c r="L13" s="274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193">
        <f t="shared" si="1"/>
        <v>129876</v>
      </c>
    </row>
    <row r="14" spans="1:24" s="257" customFormat="1" x14ac:dyDescent="0.2">
      <c r="A14" s="581"/>
      <c r="B14" s="229" t="s">
        <v>752</v>
      </c>
      <c r="C14" s="577"/>
      <c r="D14" s="577"/>
      <c r="E14" s="575"/>
      <c r="F14" s="280" t="s">
        <v>751</v>
      </c>
      <c r="G14" s="234">
        <v>2.5000000000000001E-3</v>
      </c>
      <c r="H14" s="266">
        <v>2086.6</v>
      </c>
      <c r="I14" s="273"/>
      <c r="J14" s="273"/>
      <c r="K14" s="2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191">
        <f t="shared" si="1"/>
        <v>2086.6</v>
      </c>
    </row>
    <row r="15" spans="1:24" s="257" customFormat="1" ht="12.75" customHeight="1" x14ac:dyDescent="0.2">
      <c r="A15" s="580">
        <v>5</v>
      </c>
      <c r="B15" s="225" t="s">
        <v>500</v>
      </c>
      <c r="C15" s="576" t="s">
        <v>750</v>
      </c>
      <c r="D15" s="576">
        <v>531</v>
      </c>
      <c r="E15" s="574">
        <v>1547885.33</v>
      </c>
      <c r="F15" s="289" t="s">
        <v>743</v>
      </c>
      <c r="G15" s="288" t="s">
        <v>498</v>
      </c>
      <c r="H15" s="260">
        <v>54920</v>
      </c>
      <c r="I15" s="274"/>
      <c r="J15" s="274"/>
      <c r="K15" s="274"/>
      <c r="L15" s="274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193">
        <f t="shared" si="1"/>
        <v>54920</v>
      </c>
    </row>
    <row r="16" spans="1:24" s="257" customFormat="1" x14ac:dyDescent="0.2">
      <c r="A16" s="581">
        <v>7.6561771561771499</v>
      </c>
      <c r="B16" s="229" t="s">
        <v>749</v>
      </c>
      <c r="C16" s="577"/>
      <c r="D16" s="577"/>
      <c r="E16" s="575"/>
      <c r="F16" s="280" t="s">
        <v>741</v>
      </c>
      <c r="G16" s="234">
        <v>2.5000000000000001E-3</v>
      </c>
      <c r="H16" s="266">
        <v>885.57</v>
      </c>
      <c r="I16" s="273"/>
      <c r="J16" s="273"/>
      <c r="K16" s="2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191">
        <f t="shared" si="1"/>
        <v>885.57</v>
      </c>
    </row>
    <row r="17" spans="1:24" s="257" customFormat="1" ht="12.75" customHeight="1" x14ac:dyDescent="0.2">
      <c r="A17" s="603">
        <v>6</v>
      </c>
      <c r="B17" s="238" t="s">
        <v>500</v>
      </c>
      <c r="C17" s="601" t="s">
        <v>748</v>
      </c>
      <c r="D17" s="601">
        <v>528</v>
      </c>
      <c r="E17" s="599">
        <v>3463800.72</v>
      </c>
      <c r="F17" s="292" t="s">
        <v>743</v>
      </c>
      <c r="G17" s="291" t="s">
        <v>498</v>
      </c>
      <c r="H17" s="260">
        <v>259320</v>
      </c>
      <c r="I17" s="274"/>
      <c r="J17" s="277"/>
      <c r="K17" s="277"/>
      <c r="L17" s="277"/>
      <c r="M17" s="374"/>
      <c r="N17" s="374"/>
      <c r="O17" s="374"/>
      <c r="P17" s="374"/>
      <c r="Q17" s="374"/>
      <c r="R17" s="374"/>
      <c r="S17" s="374"/>
      <c r="T17" s="374"/>
      <c r="U17" s="374"/>
      <c r="V17" s="374"/>
      <c r="W17" s="374"/>
      <c r="X17" s="193">
        <f t="shared" si="1"/>
        <v>259320</v>
      </c>
    </row>
    <row r="18" spans="1:24" s="257" customFormat="1" x14ac:dyDescent="0.2">
      <c r="A18" s="581">
        <v>8.0547785547785509</v>
      </c>
      <c r="B18" s="229" t="s">
        <v>747</v>
      </c>
      <c r="C18" s="577"/>
      <c r="D18" s="577"/>
      <c r="E18" s="575"/>
      <c r="F18" s="280" t="s">
        <v>741</v>
      </c>
      <c r="G18" s="234">
        <v>2.5000000000000001E-3</v>
      </c>
      <c r="H18" s="266">
        <v>4168.8900000000003</v>
      </c>
      <c r="I18" s="273"/>
      <c r="J18" s="273"/>
      <c r="K18" s="2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191">
        <f t="shared" si="1"/>
        <v>4168.8900000000003</v>
      </c>
    </row>
    <row r="19" spans="1:24" s="257" customFormat="1" ht="12.75" customHeight="1" x14ac:dyDescent="0.2">
      <c r="A19" s="603">
        <v>7</v>
      </c>
      <c r="B19" s="238" t="s">
        <v>500</v>
      </c>
      <c r="C19" s="601" t="s">
        <v>746</v>
      </c>
      <c r="D19" s="601">
        <v>527</v>
      </c>
      <c r="E19" s="599">
        <v>1228934.3799999999</v>
      </c>
      <c r="F19" s="292" t="s">
        <v>743</v>
      </c>
      <c r="G19" s="291" t="s">
        <v>498</v>
      </c>
      <c r="H19" s="263">
        <v>43556.959999999999</v>
      </c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193">
        <f t="shared" si="1"/>
        <v>43556.959999999999</v>
      </c>
    </row>
    <row r="20" spans="1:24" s="257" customFormat="1" x14ac:dyDescent="0.2">
      <c r="A20" s="604">
        <v>8.4533799533799492</v>
      </c>
      <c r="B20" s="249" t="s">
        <v>745</v>
      </c>
      <c r="C20" s="602"/>
      <c r="D20" s="602"/>
      <c r="E20" s="600"/>
      <c r="F20" s="278" t="s">
        <v>741</v>
      </c>
      <c r="G20" s="234">
        <v>2.5000000000000001E-3</v>
      </c>
      <c r="H20" s="265">
        <v>702.36</v>
      </c>
      <c r="I20" s="276"/>
      <c r="J20" s="276"/>
      <c r="K20" s="276"/>
      <c r="L20" s="276"/>
      <c r="M20" s="375"/>
      <c r="N20" s="375"/>
      <c r="O20" s="375"/>
      <c r="P20" s="375"/>
      <c r="Q20" s="375"/>
      <c r="R20" s="375"/>
      <c r="S20" s="375"/>
      <c r="T20" s="375"/>
      <c r="U20" s="375"/>
      <c r="V20" s="375"/>
      <c r="W20" s="375"/>
      <c r="X20" s="191">
        <f t="shared" si="1"/>
        <v>702.36</v>
      </c>
    </row>
    <row r="21" spans="1:24" s="257" customFormat="1" ht="12.75" customHeight="1" x14ac:dyDescent="0.2">
      <c r="A21" s="580">
        <v>8</v>
      </c>
      <c r="B21" s="225" t="s">
        <v>500</v>
      </c>
      <c r="C21" s="576" t="s">
        <v>744</v>
      </c>
      <c r="D21" s="576">
        <v>526</v>
      </c>
      <c r="E21" s="574">
        <v>754990.52</v>
      </c>
      <c r="F21" s="289" t="s">
        <v>743</v>
      </c>
      <c r="G21" s="288" t="s">
        <v>498</v>
      </c>
      <c r="H21" s="260">
        <v>45671.34</v>
      </c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193">
        <f t="shared" si="1"/>
        <v>45671.34</v>
      </c>
    </row>
    <row r="22" spans="1:24" s="257" customFormat="1" x14ac:dyDescent="0.2">
      <c r="A22" s="581">
        <v>8.8519813519813493</v>
      </c>
      <c r="B22" s="229" t="s">
        <v>742</v>
      </c>
      <c r="C22" s="577"/>
      <c r="D22" s="577"/>
      <c r="E22" s="575"/>
      <c r="F22" s="280" t="s">
        <v>741</v>
      </c>
      <c r="G22" s="234">
        <v>2.5000000000000001E-3</v>
      </c>
      <c r="H22" s="266">
        <v>736.43</v>
      </c>
      <c r="I22" s="273"/>
      <c r="J22" s="273"/>
      <c r="K22" s="273"/>
      <c r="L22" s="273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191">
        <f t="shared" si="1"/>
        <v>736.43</v>
      </c>
    </row>
    <row r="23" spans="1:24" s="257" customFormat="1" ht="12.75" customHeight="1" x14ac:dyDescent="0.2">
      <c r="A23" s="603">
        <v>9</v>
      </c>
      <c r="B23" s="238" t="s">
        <v>500</v>
      </c>
      <c r="C23" s="601" t="s">
        <v>740</v>
      </c>
      <c r="D23" s="601">
        <v>535</v>
      </c>
      <c r="E23" s="599">
        <v>2963664.12</v>
      </c>
      <c r="F23" s="279" t="s">
        <v>730</v>
      </c>
      <c r="G23" s="291" t="s">
        <v>498</v>
      </c>
      <c r="H23" s="263">
        <v>111783.66</v>
      </c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193">
        <f t="shared" si="1"/>
        <v>111783.66</v>
      </c>
    </row>
    <row r="24" spans="1:24" s="257" customFormat="1" x14ac:dyDescent="0.2">
      <c r="A24" s="604"/>
      <c r="B24" s="249" t="s">
        <v>739</v>
      </c>
      <c r="C24" s="602"/>
      <c r="D24" s="602"/>
      <c r="E24" s="600"/>
      <c r="F24" s="278" t="s">
        <v>732</v>
      </c>
      <c r="G24" s="234">
        <v>2.5000000000000001E-3</v>
      </c>
      <c r="H24" s="265">
        <v>3961.67</v>
      </c>
      <c r="I24" s="276"/>
      <c r="J24" s="276"/>
      <c r="K24" s="276"/>
      <c r="L24" s="276"/>
      <c r="M24" s="276"/>
      <c r="N24" s="276"/>
      <c r="O24" s="276"/>
      <c r="P24" s="276"/>
      <c r="Q24" s="276"/>
      <c r="R24" s="375"/>
      <c r="S24" s="375"/>
      <c r="T24" s="375"/>
      <c r="U24" s="375"/>
      <c r="V24" s="375"/>
      <c r="W24" s="375"/>
      <c r="X24" s="191">
        <f t="shared" si="1"/>
        <v>3961.67</v>
      </c>
    </row>
    <row r="25" spans="1:24" s="257" customFormat="1" ht="12.75" customHeight="1" x14ac:dyDescent="0.2">
      <c r="A25" s="526">
        <v>10</v>
      </c>
      <c r="B25" s="222" t="s">
        <v>500</v>
      </c>
      <c r="C25" s="532" t="s">
        <v>738</v>
      </c>
      <c r="D25" s="532">
        <v>533</v>
      </c>
      <c r="E25" s="530">
        <v>55090.75</v>
      </c>
      <c r="F25" s="296" t="s">
        <v>730</v>
      </c>
      <c r="G25" s="295" t="s">
        <v>498</v>
      </c>
      <c r="H25" s="187"/>
      <c r="I25" s="376"/>
      <c r="J25" s="376"/>
      <c r="K25" s="376"/>
      <c r="L25" s="376"/>
      <c r="M25" s="376"/>
      <c r="N25" s="376"/>
      <c r="O25" s="376"/>
      <c r="P25" s="376"/>
      <c r="Q25" s="376"/>
      <c r="R25" s="376"/>
      <c r="S25" s="376"/>
      <c r="T25" s="376"/>
      <c r="U25" s="376"/>
      <c r="V25" s="376"/>
      <c r="W25" s="376"/>
      <c r="X25" s="220">
        <f t="shared" si="1"/>
        <v>0</v>
      </c>
    </row>
    <row r="26" spans="1:24" s="257" customFormat="1" x14ac:dyDescent="0.2">
      <c r="A26" s="527"/>
      <c r="B26" s="271" t="s">
        <v>737</v>
      </c>
      <c r="C26" s="533"/>
      <c r="D26" s="533"/>
      <c r="E26" s="531"/>
      <c r="F26" s="294" t="s">
        <v>728</v>
      </c>
      <c r="G26" s="267">
        <v>2.5000000000000001E-3</v>
      </c>
      <c r="H26" s="181">
        <v>16.25</v>
      </c>
      <c r="I26" s="378"/>
      <c r="J26" s="378"/>
      <c r="K26" s="378"/>
      <c r="L26" s="378"/>
      <c r="M26" s="377"/>
      <c r="N26" s="377"/>
      <c r="O26" s="377"/>
      <c r="P26" s="377"/>
      <c r="Q26" s="377"/>
      <c r="R26" s="377"/>
      <c r="S26" s="377"/>
      <c r="T26" s="377"/>
      <c r="U26" s="377"/>
      <c r="V26" s="377"/>
      <c r="W26" s="377"/>
      <c r="X26" s="218">
        <f t="shared" si="1"/>
        <v>16.25</v>
      </c>
    </row>
    <row r="27" spans="1:24" s="257" customFormat="1" ht="12.75" customHeight="1" x14ac:dyDescent="0.2">
      <c r="A27" s="603">
        <v>11</v>
      </c>
      <c r="B27" s="238" t="s">
        <v>500</v>
      </c>
      <c r="C27" s="601" t="s">
        <v>736</v>
      </c>
      <c r="D27" s="601">
        <v>536</v>
      </c>
      <c r="E27" s="599">
        <v>4539311.0999999996</v>
      </c>
      <c r="F27" s="279" t="s">
        <v>730</v>
      </c>
      <c r="G27" s="291" t="s">
        <v>498</v>
      </c>
      <c r="H27" s="263">
        <v>189750</v>
      </c>
      <c r="I27" s="277"/>
      <c r="J27" s="277"/>
      <c r="K27" s="277"/>
      <c r="L27" s="277"/>
      <c r="M27" s="277"/>
      <c r="N27" s="277"/>
      <c r="O27" s="277"/>
      <c r="P27" s="277"/>
      <c r="Q27" s="277"/>
      <c r="R27" s="277"/>
      <c r="S27" s="277"/>
      <c r="T27" s="277"/>
      <c r="U27" s="277"/>
      <c r="V27" s="277"/>
      <c r="W27" s="277"/>
      <c r="X27" s="193">
        <f t="shared" si="1"/>
        <v>189750</v>
      </c>
    </row>
    <row r="28" spans="1:24" s="257" customFormat="1" x14ac:dyDescent="0.2">
      <c r="A28" s="604"/>
      <c r="B28" s="249" t="s">
        <v>735</v>
      </c>
      <c r="C28" s="602"/>
      <c r="D28" s="602"/>
      <c r="E28" s="600"/>
      <c r="F28" s="278" t="s">
        <v>732</v>
      </c>
      <c r="G28" s="234">
        <v>2.5000000000000001E-3</v>
      </c>
      <c r="H28" s="265">
        <v>6716.64</v>
      </c>
      <c r="I28" s="276"/>
      <c r="J28" s="276"/>
      <c r="K28" s="276"/>
      <c r="L28" s="276"/>
      <c r="M28" s="276"/>
      <c r="N28" s="276"/>
      <c r="O28" s="276"/>
      <c r="P28" s="276"/>
      <c r="Q28" s="276"/>
      <c r="R28" s="375"/>
      <c r="S28" s="375"/>
      <c r="T28" s="375"/>
      <c r="U28" s="375"/>
      <c r="V28" s="375"/>
      <c r="W28" s="375"/>
      <c r="X28" s="191">
        <f t="shared" si="1"/>
        <v>6716.64</v>
      </c>
    </row>
    <row r="29" spans="1:24" s="257" customFormat="1" ht="12.75" customHeight="1" x14ac:dyDescent="0.2">
      <c r="A29" s="580">
        <v>12</v>
      </c>
      <c r="B29" s="225" t="s">
        <v>500</v>
      </c>
      <c r="C29" s="576" t="s">
        <v>734</v>
      </c>
      <c r="D29" s="576">
        <v>537</v>
      </c>
      <c r="E29" s="574">
        <v>5020748.32</v>
      </c>
      <c r="F29" s="281" t="s">
        <v>730</v>
      </c>
      <c r="G29" s="288" t="s">
        <v>498</v>
      </c>
      <c r="H29" s="260">
        <v>209886</v>
      </c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193">
        <f t="shared" si="1"/>
        <v>209886</v>
      </c>
    </row>
    <row r="30" spans="1:24" s="257" customFormat="1" x14ac:dyDescent="0.2">
      <c r="A30" s="581"/>
      <c r="B30" s="229" t="s">
        <v>733</v>
      </c>
      <c r="C30" s="577"/>
      <c r="D30" s="577"/>
      <c r="E30" s="575"/>
      <c r="F30" s="280" t="s">
        <v>732</v>
      </c>
      <c r="G30" s="234">
        <v>2.5000000000000001E-3</v>
      </c>
      <c r="H30" s="266">
        <v>7432.99</v>
      </c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191">
        <f t="shared" si="1"/>
        <v>7432.99</v>
      </c>
    </row>
    <row r="31" spans="1:24" s="257" customFormat="1" ht="12.75" customHeight="1" x14ac:dyDescent="0.2">
      <c r="A31" s="603">
        <v>13</v>
      </c>
      <c r="B31" s="238" t="s">
        <v>500</v>
      </c>
      <c r="C31" s="601" t="s">
        <v>731</v>
      </c>
      <c r="D31" s="601">
        <v>538</v>
      </c>
      <c r="E31" s="599">
        <v>367297.28000000003</v>
      </c>
      <c r="F31" s="279" t="s">
        <v>730</v>
      </c>
      <c r="G31" s="291" t="s">
        <v>498</v>
      </c>
      <c r="H31" s="263">
        <v>19854.759999999998</v>
      </c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7"/>
      <c r="W31" s="277"/>
      <c r="X31" s="193">
        <f t="shared" si="1"/>
        <v>19854.759999999998</v>
      </c>
    </row>
    <row r="32" spans="1:24" s="257" customFormat="1" x14ac:dyDescent="0.2">
      <c r="A32" s="604"/>
      <c r="B32" s="249" t="s">
        <v>729</v>
      </c>
      <c r="C32" s="602"/>
      <c r="D32" s="602"/>
      <c r="E32" s="600"/>
      <c r="F32" s="278" t="s">
        <v>728</v>
      </c>
      <c r="G32" s="234">
        <v>2.5000000000000001E-3</v>
      </c>
      <c r="H32" s="265">
        <v>320.33</v>
      </c>
      <c r="I32" s="276"/>
      <c r="J32" s="276"/>
      <c r="K32" s="276"/>
      <c r="L32" s="276"/>
      <c r="M32" s="276"/>
      <c r="N32" s="375"/>
      <c r="O32" s="375"/>
      <c r="P32" s="375"/>
      <c r="Q32" s="375"/>
      <c r="R32" s="375"/>
      <c r="S32" s="375"/>
      <c r="T32" s="375"/>
      <c r="U32" s="375"/>
      <c r="V32" s="375"/>
      <c r="W32" s="375"/>
      <c r="X32" s="191">
        <f t="shared" si="1"/>
        <v>320.33</v>
      </c>
    </row>
    <row r="33" spans="1:24" s="257" customFormat="1" ht="12.75" customHeight="1" x14ac:dyDescent="0.2">
      <c r="A33" s="580">
        <v>14</v>
      </c>
      <c r="B33" s="225" t="s">
        <v>500</v>
      </c>
      <c r="C33" s="576" t="s">
        <v>727</v>
      </c>
      <c r="D33" s="576">
        <v>539</v>
      </c>
      <c r="E33" s="574">
        <v>238543.04</v>
      </c>
      <c r="F33" s="281" t="s">
        <v>724</v>
      </c>
      <c r="G33" s="288" t="s">
        <v>498</v>
      </c>
      <c r="H33" s="260">
        <v>12555.42</v>
      </c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274"/>
      <c r="V33" s="274"/>
      <c r="W33" s="274"/>
      <c r="X33" s="193">
        <f t="shared" si="1"/>
        <v>12555.42</v>
      </c>
    </row>
    <row r="34" spans="1:24" s="257" customFormat="1" x14ac:dyDescent="0.2">
      <c r="A34" s="581"/>
      <c r="B34" s="229" t="s">
        <v>726</v>
      </c>
      <c r="C34" s="577"/>
      <c r="D34" s="577"/>
      <c r="E34" s="575"/>
      <c r="F34" s="280" t="s">
        <v>720</v>
      </c>
      <c r="G34" s="234">
        <v>2.5000000000000001E-3</v>
      </c>
      <c r="H34" s="266">
        <v>214.7</v>
      </c>
      <c r="I34" s="273"/>
      <c r="J34" s="273"/>
      <c r="K34" s="273"/>
      <c r="L34" s="273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191">
        <f t="shared" si="1"/>
        <v>214.7</v>
      </c>
    </row>
    <row r="35" spans="1:24" s="257" customFormat="1" ht="12.75" customHeight="1" x14ac:dyDescent="0.2">
      <c r="A35" s="603">
        <v>15</v>
      </c>
      <c r="B35" s="238" t="s">
        <v>500</v>
      </c>
      <c r="C35" s="601" t="s">
        <v>725</v>
      </c>
      <c r="D35" s="601">
        <v>540</v>
      </c>
      <c r="E35" s="599">
        <v>269491.92</v>
      </c>
      <c r="F35" s="279" t="s">
        <v>724</v>
      </c>
      <c r="G35" s="291" t="s">
        <v>498</v>
      </c>
      <c r="H35" s="263">
        <v>14186.04</v>
      </c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277"/>
      <c r="W35" s="277"/>
      <c r="X35" s="193">
        <f t="shared" si="1"/>
        <v>14186.04</v>
      </c>
    </row>
    <row r="36" spans="1:24" s="257" customFormat="1" x14ac:dyDescent="0.2">
      <c r="A36" s="604"/>
      <c r="B36" s="249" t="s">
        <v>723</v>
      </c>
      <c r="C36" s="602"/>
      <c r="D36" s="602"/>
      <c r="E36" s="600"/>
      <c r="F36" s="278" t="s">
        <v>720</v>
      </c>
      <c r="G36" s="234">
        <v>2.5000000000000001E-3</v>
      </c>
      <c r="H36" s="265">
        <v>242.66</v>
      </c>
      <c r="I36" s="276"/>
      <c r="J36" s="276"/>
      <c r="K36" s="276"/>
      <c r="L36" s="276"/>
      <c r="M36" s="276"/>
      <c r="N36" s="375"/>
      <c r="O36" s="375"/>
      <c r="P36" s="375"/>
      <c r="Q36" s="375"/>
      <c r="R36" s="375"/>
      <c r="S36" s="375"/>
      <c r="T36" s="375"/>
      <c r="U36" s="375"/>
      <c r="V36" s="375"/>
      <c r="W36" s="375"/>
      <c r="X36" s="191">
        <f t="shared" si="1"/>
        <v>242.66</v>
      </c>
    </row>
    <row r="37" spans="1:24" s="257" customFormat="1" ht="12.75" customHeight="1" x14ac:dyDescent="0.2">
      <c r="A37" s="580">
        <v>16</v>
      </c>
      <c r="B37" s="225" t="s">
        <v>500</v>
      </c>
      <c r="C37" s="576" t="s">
        <v>722</v>
      </c>
      <c r="D37" s="576">
        <v>542</v>
      </c>
      <c r="E37" s="574">
        <v>87193.58</v>
      </c>
      <c r="F37" s="281" t="s">
        <v>718</v>
      </c>
      <c r="G37" s="288" t="s">
        <v>498</v>
      </c>
      <c r="H37" s="260">
        <v>4590.18</v>
      </c>
      <c r="I37" s="274"/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274"/>
      <c r="V37" s="274"/>
      <c r="W37" s="274"/>
      <c r="X37" s="193">
        <f t="shared" si="1"/>
        <v>4590.18</v>
      </c>
    </row>
    <row r="38" spans="1:24" s="257" customFormat="1" x14ac:dyDescent="0.2">
      <c r="A38" s="581"/>
      <c r="B38" s="229" t="s">
        <v>721</v>
      </c>
      <c r="C38" s="577"/>
      <c r="D38" s="577"/>
      <c r="E38" s="575"/>
      <c r="F38" s="280" t="s">
        <v>720</v>
      </c>
      <c r="G38" s="234">
        <v>2.5000000000000001E-3</v>
      </c>
      <c r="H38" s="266">
        <v>78.44</v>
      </c>
      <c r="I38" s="273"/>
      <c r="J38" s="273"/>
      <c r="K38" s="273"/>
      <c r="L38" s="273"/>
      <c r="M38" s="273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191">
        <f t="shared" si="1"/>
        <v>78.44</v>
      </c>
    </row>
    <row r="39" spans="1:24" s="257" customFormat="1" ht="12.75" customHeight="1" x14ac:dyDescent="0.2">
      <c r="A39" s="603">
        <v>17</v>
      </c>
      <c r="B39" s="238" t="s">
        <v>500</v>
      </c>
      <c r="C39" s="601" t="s">
        <v>719</v>
      </c>
      <c r="D39" s="601">
        <v>541</v>
      </c>
      <c r="E39" s="599">
        <v>876419.31</v>
      </c>
      <c r="F39" s="279" t="s">
        <v>718</v>
      </c>
      <c r="G39" s="291" t="s">
        <v>498</v>
      </c>
      <c r="H39" s="260">
        <v>31818.26</v>
      </c>
      <c r="I39" s="274"/>
      <c r="J39" s="277"/>
      <c r="K39" s="277"/>
      <c r="L39" s="277"/>
      <c r="M39" s="277"/>
      <c r="N39" s="277"/>
      <c r="O39" s="277"/>
      <c r="P39" s="277"/>
      <c r="Q39" s="277"/>
      <c r="R39" s="277"/>
      <c r="S39" s="277"/>
      <c r="T39" s="277"/>
      <c r="U39" s="277"/>
      <c r="V39" s="277"/>
      <c r="W39" s="277"/>
      <c r="X39" s="193">
        <f t="shared" ref="X39:X70" si="2">SUM(H39:W39)</f>
        <v>31818.26</v>
      </c>
    </row>
    <row r="40" spans="1:24" s="257" customFormat="1" x14ac:dyDescent="0.2">
      <c r="A40" s="604"/>
      <c r="B40" s="249" t="s">
        <v>717</v>
      </c>
      <c r="C40" s="602"/>
      <c r="D40" s="602"/>
      <c r="E40" s="600"/>
      <c r="F40" s="278" t="s">
        <v>716</v>
      </c>
      <c r="G40" s="234">
        <v>2.5000000000000001E-3</v>
      </c>
      <c r="H40" s="266">
        <v>1189.31</v>
      </c>
      <c r="I40" s="273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191">
        <f t="shared" si="2"/>
        <v>1189.31</v>
      </c>
    </row>
    <row r="41" spans="1:24" s="293" customFormat="1" ht="12.75" customHeight="1" x14ac:dyDescent="0.2">
      <c r="A41" s="580">
        <v>18</v>
      </c>
      <c r="B41" s="225" t="s">
        <v>500</v>
      </c>
      <c r="C41" s="576" t="s">
        <v>692</v>
      </c>
      <c r="D41" s="576">
        <v>544</v>
      </c>
      <c r="E41" s="574">
        <v>215078.46</v>
      </c>
      <c r="F41" s="281" t="s">
        <v>714</v>
      </c>
      <c r="G41" s="288" t="s">
        <v>498</v>
      </c>
      <c r="H41" s="260">
        <v>10241.84</v>
      </c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274"/>
      <c r="V41" s="274"/>
      <c r="W41" s="274"/>
      <c r="X41" s="193">
        <f t="shared" si="2"/>
        <v>10241.84</v>
      </c>
    </row>
    <row r="42" spans="1:24" s="257" customFormat="1" x14ac:dyDescent="0.2">
      <c r="A42" s="581"/>
      <c r="B42" s="229" t="s">
        <v>715</v>
      </c>
      <c r="C42" s="620"/>
      <c r="D42" s="577"/>
      <c r="E42" s="575"/>
      <c r="F42" s="280" t="s">
        <v>695</v>
      </c>
      <c r="G42" s="234">
        <v>2.5000000000000001E-3</v>
      </c>
      <c r="H42" s="266">
        <v>214.59</v>
      </c>
      <c r="I42" s="273"/>
      <c r="J42" s="273"/>
      <c r="K42" s="273"/>
      <c r="L42" s="273"/>
      <c r="M42" s="273"/>
      <c r="N42" s="273"/>
      <c r="O42" s="275"/>
      <c r="P42" s="275"/>
      <c r="Q42" s="275"/>
      <c r="R42" s="275"/>
      <c r="S42" s="275"/>
      <c r="T42" s="275"/>
      <c r="U42" s="275"/>
      <c r="V42" s="275"/>
      <c r="W42" s="275"/>
      <c r="X42" s="191">
        <f t="shared" si="2"/>
        <v>214.59</v>
      </c>
    </row>
    <row r="43" spans="1:24" s="293" customFormat="1" ht="12.75" customHeight="1" x14ac:dyDescent="0.2">
      <c r="A43" s="580">
        <v>19</v>
      </c>
      <c r="B43" s="225" t="s">
        <v>500</v>
      </c>
      <c r="C43" s="576" t="s">
        <v>627</v>
      </c>
      <c r="D43" s="576">
        <v>543</v>
      </c>
      <c r="E43" s="574">
        <v>64700</v>
      </c>
      <c r="F43" s="281" t="s">
        <v>714</v>
      </c>
      <c r="G43" s="225" t="s">
        <v>498</v>
      </c>
      <c r="H43" s="260">
        <v>3210</v>
      </c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274"/>
      <c r="W43" s="274"/>
      <c r="X43" s="193">
        <f t="shared" si="2"/>
        <v>3210</v>
      </c>
    </row>
    <row r="44" spans="1:24" s="257" customFormat="1" x14ac:dyDescent="0.2">
      <c r="A44" s="581"/>
      <c r="B44" s="229" t="s">
        <v>713</v>
      </c>
      <c r="C44" s="577"/>
      <c r="D44" s="577"/>
      <c r="E44" s="575"/>
      <c r="F44" s="280" t="s">
        <v>695</v>
      </c>
      <c r="G44" s="234">
        <v>2.5000000000000001E-3</v>
      </c>
      <c r="H44" s="266">
        <v>67.25</v>
      </c>
      <c r="I44" s="273"/>
      <c r="J44" s="273"/>
      <c r="K44" s="273"/>
      <c r="L44" s="273"/>
      <c r="M44" s="273"/>
      <c r="N44" s="275"/>
      <c r="O44" s="275"/>
      <c r="P44" s="275"/>
      <c r="Q44" s="275"/>
      <c r="R44" s="275"/>
      <c r="S44" s="275"/>
      <c r="T44" s="275"/>
      <c r="U44" s="275"/>
      <c r="V44" s="275"/>
      <c r="W44" s="275"/>
      <c r="X44" s="191">
        <f t="shared" si="2"/>
        <v>67.25</v>
      </c>
    </row>
    <row r="45" spans="1:24" s="293" customFormat="1" ht="13.5" customHeight="1" x14ac:dyDescent="0.2">
      <c r="A45" s="580">
        <v>20</v>
      </c>
      <c r="B45" s="225" t="s">
        <v>500</v>
      </c>
      <c r="C45" s="576" t="s">
        <v>694</v>
      </c>
      <c r="D45" s="576">
        <v>545</v>
      </c>
      <c r="E45" s="574">
        <v>241620.71</v>
      </c>
      <c r="F45" s="281" t="s">
        <v>712</v>
      </c>
      <c r="G45" s="288" t="s">
        <v>498</v>
      </c>
      <c r="H45" s="260">
        <v>11508.18</v>
      </c>
      <c r="I45" s="274"/>
      <c r="J45" s="274"/>
      <c r="K45" s="274"/>
      <c r="L45" s="274"/>
      <c r="M45" s="274"/>
      <c r="N45" s="274"/>
      <c r="O45" s="274"/>
      <c r="P45" s="274"/>
      <c r="Q45" s="274"/>
      <c r="R45" s="274"/>
      <c r="S45" s="274"/>
      <c r="T45" s="274"/>
      <c r="U45" s="274"/>
      <c r="V45" s="274"/>
      <c r="W45" s="274"/>
      <c r="X45" s="193">
        <f t="shared" si="2"/>
        <v>11508.18</v>
      </c>
    </row>
    <row r="46" spans="1:24" s="257" customFormat="1" x14ac:dyDescent="0.2">
      <c r="A46" s="581"/>
      <c r="B46" s="229" t="s">
        <v>711</v>
      </c>
      <c r="C46" s="577"/>
      <c r="D46" s="577"/>
      <c r="E46" s="575"/>
      <c r="F46" s="280" t="s">
        <v>710</v>
      </c>
      <c r="G46" s="234">
        <v>2.5000000000000001E-3</v>
      </c>
      <c r="H46" s="266">
        <v>241.01</v>
      </c>
      <c r="I46" s="273"/>
      <c r="J46" s="273"/>
      <c r="K46" s="273"/>
      <c r="L46" s="273"/>
      <c r="M46" s="273"/>
      <c r="N46" s="273"/>
      <c r="O46" s="275"/>
      <c r="P46" s="275"/>
      <c r="Q46" s="275"/>
      <c r="R46" s="275"/>
      <c r="S46" s="275"/>
      <c r="T46" s="275"/>
      <c r="U46" s="275"/>
      <c r="V46" s="275"/>
      <c r="W46" s="275"/>
      <c r="X46" s="191">
        <f t="shared" si="2"/>
        <v>241.01</v>
      </c>
    </row>
    <row r="47" spans="1:24" s="293" customFormat="1" ht="12.75" customHeight="1" x14ac:dyDescent="0.2">
      <c r="A47" s="603">
        <v>21</v>
      </c>
      <c r="B47" s="238" t="s">
        <v>500</v>
      </c>
      <c r="C47" s="601" t="s">
        <v>709</v>
      </c>
      <c r="D47" s="601">
        <v>546</v>
      </c>
      <c r="E47" s="599">
        <v>993544.59</v>
      </c>
      <c r="F47" s="279" t="s">
        <v>708</v>
      </c>
      <c r="G47" s="291" t="s">
        <v>498</v>
      </c>
      <c r="H47" s="263">
        <v>33631</v>
      </c>
      <c r="I47" s="277"/>
      <c r="J47" s="277"/>
      <c r="K47" s="277"/>
      <c r="L47" s="277"/>
      <c r="M47" s="277"/>
      <c r="N47" s="277"/>
      <c r="O47" s="277"/>
      <c r="P47" s="277"/>
      <c r="Q47" s="277"/>
      <c r="R47" s="277"/>
      <c r="S47" s="277"/>
      <c r="T47" s="277"/>
      <c r="U47" s="277"/>
      <c r="V47" s="277"/>
      <c r="W47" s="277"/>
      <c r="X47" s="193">
        <f t="shared" si="2"/>
        <v>33631</v>
      </c>
    </row>
    <row r="48" spans="1:24" s="257" customFormat="1" x14ac:dyDescent="0.2">
      <c r="A48" s="604"/>
      <c r="B48" s="249" t="s">
        <v>707</v>
      </c>
      <c r="C48" s="619"/>
      <c r="D48" s="602"/>
      <c r="E48" s="600"/>
      <c r="F48" s="278" t="s">
        <v>706</v>
      </c>
      <c r="G48" s="234">
        <v>2.5000000000000001E-3</v>
      </c>
      <c r="H48" s="265">
        <v>1386.36</v>
      </c>
      <c r="I48" s="276"/>
      <c r="J48" s="276"/>
      <c r="K48" s="276"/>
      <c r="L48" s="276"/>
      <c r="M48" s="276"/>
      <c r="N48" s="276"/>
      <c r="O48" s="276"/>
      <c r="P48" s="276"/>
      <c r="Q48" s="276"/>
      <c r="R48" s="276"/>
      <c r="S48" s="276"/>
      <c r="T48" s="276"/>
      <c r="U48" s="276"/>
      <c r="V48" s="276"/>
      <c r="W48" s="276"/>
      <c r="X48" s="191">
        <f t="shared" si="2"/>
        <v>1386.36</v>
      </c>
    </row>
    <row r="49" spans="1:24" s="293" customFormat="1" ht="12.75" customHeight="1" x14ac:dyDescent="0.2">
      <c r="A49" s="580">
        <v>22</v>
      </c>
      <c r="B49" s="225" t="s">
        <v>500</v>
      </c>
      <c r="C49" s="576" t="s">
        <v>655</v>
      </c>
      <c r="D49" s="576">
        <v>548</v>
      </c>
      <c r="E49" s="574">
        <v>337718.84</v>
      </c>
      <c r="F49" s="281" t="s">
        <v>702</v>
      </c>
      <c r="G49" s="288" t="s">
        <v>498</v>
      </c>
      <c r="H49" s="260">
        <v>15708.5</v>
      </c>
      <c r="I49" s="274"/>
      <c r="J49" s="274"/>
      <c r="K49" s="274"/>
      <c r="L49" s="274"/>
      <c r="M49" s="274"/>
      <c r="N49" s="274"/>
      <c r="O49" s="274"/>
      <c r="P49" s="274"/>
      <c r="Q49" s="274"/>
      <c r="R49" s="274"/>
      <c r="S49" s="274"/>
      <c r="T49" s="274"/>
      <c r="U49" s="274"/>
      <c r="V49" s="274"/>
      <c r="W49" s="274"/>
      <c r="X49" s="193">
        <f t="shared" si="2"/>
        <v>15708.5</v>
      </c>
    </row>
    <row r="50" spans="1:24" s="257" customFormat="1" x14ac:dyDescent="0.2">
      <c r="A50" s="581"/>
      <c r="B50" s="229" t="s">
        <v>705</v>
      </c>
      <c r="C50" s="577"/>
      <c r="D50" s="577"/>
      <c r="E50" s="575"/>
      <c r="F50" s="280" t="s">
        <v>704</v>
      </c>
      <c r="G50" s="234">
        <v>2.5000000000000001E-3</v>
      </c>
      <c r="H50" s="266">
        <v>344.37</v>
      </c>
      <c r="I50" s="273"/>
      <c r="J50" s="273"/>
      <c r="K50" s="273"/>
      <c r="L50" s="273"/>
      <c r="M50" s="273"/>
      <c r="N50" s="275"/>
      <c r="O50" s="275"/>
      <c r="P50" s="275"/>
      <c r="Q50" s="275"/>
      <c r="R50" s="275"/>
      <c r="S50" s="275"/>
      <c r="T50" s="275"/>
      <c r="U50" s="275"/>
      <c r="V50" s="275"/>
      <c r="W50" s="275"/>
      <c r="X50" s="191">
        <f t="shared" si="2"/>
        <v>344.37</v>
      </c>
    </row>
    <row r="51" spans="1:24" s="293" customFormat="1" ht="12.75" customHeight="1" x14ac:dyDescent="0.2">
      <c r="A51" s="603">
        <v>23</v>
      </c>
      <c r="B51" s="238" t="s">
        <v>500</v>
      </c>
      <c r="C51" s="601" t="s">
        <v>703</v>
      </c>
      <c r="D51" s="601">
        <v>547</v>
      </c>
      <c r="E51" s="599">
        <v>452006.32</v>
      </c>
      <c r="F51" s="279" t="s">
        <v>702</v>
      </c>
      <c r="G51" s="291" t="s">
        <v>498</v>
      </c>
      <c r="H51" s="263">
        <v>21024.36</v>
      </c>
      <c r="I51" s="277"/>
      <c r="J51" s="277"/>
      <c r="K51" s="277"/>
      <c r="L51" s="277"/>
      <c r="M51" s="277"/>
      <c r="N51" s="277"/>
      <c r="O51" s="277"/>
      <c r="P51" s="277"/>
      <c r="Q51" s="277"/>
      <c r="R51" s="277"/>
      <c r="S51" s="277"/>
      <c r="T51" s="277"/>
      <c r="U51" s="277"/>
      <c r="V51" s="277"/>
      <c r="W51" s="277"/>
      <c r="X51" s="193">
        <f t="shared" si="2"/>
        <v>21024.36</v>
      </c>
    </row>
    <row r="52" spans="1:24" s="257" customFormat="1" x14ac:dyDescent="0.2">
      <c r="A52" s="604"/>
      <c r="B52" s="249" t="s">
        <v>701</v>
      </c>
      <c r="C52" s="602"/>
      <c r="D52" s="602"/>
      <c r="E52" s="600"/>
      <c r="F52" s="278" t="s">
        <v>695</v>
      </c>
      <c r="G52" s="234">
        <v>2.5000000000000001E-3</v>
      </c>
      <c r="H52" s="265">
        <v>460.75</v>
      </c>
      <c r="I52" s="276"/>
      <c r="J52" s="276"/>
      <c r="K52" s="276"/>
      <c r="L52" s="276"/>
      <c r="M52" s="276"/>
      <c r="N52" s="276"/>
      <c r="O52" s="375"/>
      <c r="P52" s="375"/>
      <c r="Q52" s="375"/>
      <c r="R52" s="375"/>
      <c r="S52" s="375"/>
      <c r="T52" s="375"/>
      <c r="U52" s="375"/>
      <c r="V52" s="375"/>
      <c r="W52" s="375"/>
      <c r="X52" s="191">
        <f t="shared" si="2"/>
        <v>460.75</v>
      </c>
    </row>
    <row r="53" spans="1:24" s="293" customFormat="1" ht="12.75" customHeight="1" x14ac:dyDescent="0.2">
      <c r="A53" s="580">
        <v>24</v>
      </c>
      <c r="B53" s="225" t="s">
        <v>500</v>
      </c>
      <c r="C53" s="576" t="s">
        <v>679</v>
      </c>
      <c r="D53" s="576">
        <v>549</v>
      </c>
      <c r="E53" s="574">
        <v>403086.24</v>
      </c>
      <c r="F53" s="281" t="s">
        <v>700</v>
      </c>
      <c r="G53" s="288" t="s">
        <v>498</v>
      </c>
      <c r="H53" s="260">
        <v>19197.38</v>
      </c>
      <c r="I53" s="274"/>
      <c r="J53" s="274"/>
      <c r="K53" s="274"/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  <c r="W53" s="274"/>
      <c r="X53" s="193">
        <f t="shared" si="2"/>
        <v>19197.38</v>
      </c>
    </row>
    <row r="54" spans="1:24" s="257" customFormat="1" x14ac:dyDescent="0.2">
      <c r="A54" s="581"/>
      <c r="B54" s="229" t="s">
        <v>699</v>
      </c>
      <c r="C54" s="577"/>
      <c r="D54" s="577"/>
      <c r="E54" s="575"/>
      <c r="F54" s="280" t="s">
        <v>695</v>
      </c>
      <c r="G54" s="234">
        <v>2.5000000000000001E-3</v>
      </c>
      <c r="H54" s="266">
        <v>402.11</v>
      </c>
      <c r="I54" s="273"/>
      <c r="J54" s="273"/>
      <c r="K54" s="273"/>
      <c r="L54" s="273"/>
      <c r="M54" s="273"/>
      <c r="N54" s="275"/>
      <c r="O54" s="275"/>
      <c r="P54" s="275"/>
      <c r="Q54" s="275"/>
      <c r="R54" s="275"/>
      <c r="S54" s="275"/>
      <c r="T54" s="275"/>
      <c r="U54" s="275"/>
      <c r="V54" s="275"/>
      <c r="W54" s="275"/>
      <c r="X54" s="191">
        <f t="shared" si="2"/>
        <v>402.11</v>
      </c>
    </row>
    <row r="55" spans="1:24" s="293" customFormat="1" ht="12.75" customHeight="1" x14ac:dyDescent="0.2">
      <c r="A55" s="603">
        <v>25</v>
      </c>
      <c r="B55" s="238" t="s">
        <v>500</v>
      </c>
      <c r="C55" s="601" t="s">
        <v>698</v>
      </c>
      <c r="D55" s="601">
        <v>557</v>
      </c>
      <c r="E55" s="599">
        <v>359487.14</v>
      </c>
      <c r="F55" s="279" t="s">
        <v>697</v>
      </c>
      <c r="G55" s="291" t="s">
        <v>498</v>
      </c>
      <c r="H55" s="263">
        <v>17120</v>
      </c>
      <c r="I55" s="277"/>
      <c r="J55" s="277"/>
      <c r="K55" s="277"/>
      <c r="L55" s="277"/>
      <c r="M55" s="277"/>
      <c r="N55" s="277"/>
      <c r="O55" s="277"/>
      <c r="P55" s="277"/>
      <c r="Q55" s="277"/>
      <c r="R55" s="277"/>
      <c r="S55" s="277"/>
      <c r="T55" s="277"/>
      <c r="U55" s="277"/>
      <c r="V55" s="277"/>
      <c r="W55" s="277"/>
      <c r="X55" s="193">
        <f t="shared" si="2"/>
        <v>17120</v>
      </c>
    </row>
    <row r="56" spans="1:24" s="257" customFormat="1" x14ac:dyDescent="0.2">
      <c r="A56" s="604"/>
      <c r="B56" s="249" t="s">
        <v>696</v>
      </c>
      <c r="C56" s="602"/>
      <c r="D56" s="602"/>
      <c r="E56" s="600"/>
      <c r="F56" s="278" t="s">
        <v>695</v>
      </c>
      <c r="G56" s="234">
        <v>2.5000000000000001E-3</v>
      </c>
      <c r="H56" s="265">
        <v>358.64</v>
      </c>
      <c r="I56" s="276"/>
      <c r="J56" s="276"/>
      <c r="K56" s="276"/>
      <c r="L56" s="276"/>
      <c r="M56" s="276"/>
      <c r="N56" s="375"/>
      <c r="O56" s="375"/>
      <c r="P56" s="375"/>
      <c r="Q56" s="375"/>
      <c r="R56" s="375"/>
      <c r="S56" s="375"/>
      <c r="T56" s="375"/>
      <c r="U56" s="375"/>
      <c r="V56" s="375"/>
      <c r="W56" s="375"/>
      <c r="X56" s="191">
        <f t="shared" si="2"/>
        <v>358.64</v>
      </c>
    </row>
    <row r="57" spans="1:24" s="257" customFormat="1" ht="12.75" customHeight="1" x14ac:dyDescent="0.2">
      <c r="A57" s="580">
        <v>26</v>
      </c>
      <c r="B57" s="225" t="s">
        <v>500</v>
      </c>
      <c r="C57" s="576" t="s">
        <v>694</v>
      </c>
      <c r="D57" s="576">
        <v>551</v>
      </c>
      <c r="E57" s="574">
        <v>250209.16</v>
      </c>
      <c r="F57" s="281" t="s">
        <v>691</v>
      </c>
      <c r="G57" s="288" t="s">
        <v>498</v>
      </c>
      <c r="H57" s="260">
        <v>11121.16</v>
      </c>
      <c r="I57" s="274"/>
      <c r="J57" s="274"/>
      <c r="K57" s="274"/>
      <c r="L57" s="274"/>
      <c r="M57" s="274"/>
      <c r="N57" s="274"/>
      <c r="O57" s="274"/>
      <c r="P57" s="274"/>
      <c r="Q57" s="274"/>
      <c r="R57" s="274"/>
      <c r="S57" s="274"/>
      <c r="T57" s="274"/>
      <c r="U57" s="274"/>
      <c r="V57" s="274"/>
      <c r="W57" s="274"/>
      <c r="X57" s="193">
        <f t="shared" si="2"/>
        <v>11121.16</v>
      </c>
    </row>
    <row r="58" spans="1:24" s="257" customFormat="1" x14ac:dyDescent="0.2">
      <c r="A58" s="581"/>
      <c r="B58" s="229" t="s">
        <v>693</v>
      </c>
      <c r="C58" s="577"/>
      <c r="D58" s="577"/>
      <c r="E58" s="575"/>
      <c r="F58" s="280" t="s">
        <v>683</v>
      </c>
      <c r="G58" s="234">
        <v>2.5000000000000001E-3</v>
      </c>
      <c r="H58" s="266">
        <v>265.17</v>
      </c>
      <c r="I58" s="273"/>
      <c r="J58" s="273"/>
      <c r="K58" s="273"/>
      <c r="L58" s="273"/>
      <c r="M58" s="273"/>
      <c r="N58" s="273"/>
      <c r="O58" s="275"/>
      <c r="P58" s="275"/>
      <c r="Q58" s="275"/>
      <c r="R58" s="275"/>
      <c r="S58" s="275"/>
      <c r="T58" s="275"/>
      <c r="U58" s="275"/>
      <c r="V58" s="275"/>
      <c r="W58" s="275"/>
      <c r="X58" s="191">
        <f t="shared" si="2"/>
        <v>265.17</v>
      </c>
    </row>
    <row r="59" spans="1:24" s="257" customFormat="1" ht="12.75" customHeight="1" x14ac:dyDescent="0.2">
      <c r="A59" s="603">
        <v>27</v>
      </c>
      <c r="B59" s="238" t="s">
        <v>500</v>
      </c>
      <c r="C59" s="601" t="s">
        <v>692</v>
      </c>
      <c r="D59" s="601">
        <v>550</v>
      </c>
      <c r="E59" s="599">
        <v>76266.03</v>
      </c>
      <c r="F59" s="279" t="s">
        <v>691</v>
      </c>
      <c r="G59" s="291" t="s">
        <v>498</v>
      </c>
      <c r="H59" s="263">
        <v>3392.12</v>
      </c>
      <c r="I59" s="277"/>
      <c r="J59" s="277"/>
      <c r="K59" s="277"/>
      <c r="L59" s="277"/>
      <c r="M59" s="277"/>
      <c r="N59" s="277"/>
      <c r="O59" s="277"/>
      <c r="P59" s="277"/>
      <c r="Q59" s="277"/>
      <c r="R59" s="277"/>
      <c r="S59" s="277"/>
      <c r="T59" s="277"/>
      <c r="U59" s="277"/>
      <c r="V59" s="277"/>
      <c r="W59" s="277"/>
      <c r="X59" s="193">
        <f t="shared" si="2"/>
        <v>3392.12</v>
      </c>
    </row>
    <row r="60" spans="1:24" s="257" customFormat="1" x14ac:dyDescent="0.2">
      <c r="A60" s="604"/>
      <c r="B60" s="249" t="s">
        <v>690</v>
      </c>
      <c r="C60" s="602"/>
      <c r="D60" s="602"/>
      <c r="E60" s="600"/>
      <c r="F60" s="278" t="s">
        <v>683</v>
      </c>
      <c r="G60" s="234">
        <v>2.5000000000000001E-3</v>
      </c>
      <c r="H60" s="265">
        <v>80.78</v>
      </c>
      <c r="I60" s="276"/>
      <c r="J60" s="276"/>
      <c r="K60" s="276"/>
      <c r="L60" s="276"/>
      <c r="M60" s="276"/>
      <c r="N60" s="276"/>
      <c r="O60" s="375"/>
      <c r="P60" s="375"/>
      <c r="Q60" s="375"/>
      <c r="R60" s="375"/>
      <c r="S60" s="375"/>
      <c r="T60" s="375"/>
      <c r="U60" s="375"/>
      <c r="V60" s="375"/>
      <c r="W60" s="375"/>
      <c r="X60" s="191">
        <f t="shared" si="2"/>
        <v>80.78</v>
      </c>
    </row>
    <row r="61" spans="1:24" s="257" customFormat="1" ht="12.75" customHeight="1" x14ac:dyDescent="0.2">
      <c r="A61" s="580">
        <v>28</v>
      </c>
      <c r="B61" s="225" t="s">
        <v>500</v>
      </c>
      <c r="C61" s="576" t="s">
        <v>689</v>
      </c>
      <c r="D61" s="576">
        <v>552</v>
      </c>
      <c r="E61" s="574">
        <v>158629.16</v>
      </c>
      <c r="F61" s="281" t="s">
        <v>688</v>
      </c>
      <c r="G61" s="288" t="s">
        <v>498</v>
      </c>
      <c r="H61" s="260">
        <v>7051.76</v>
      </c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193">
        <f t="shared" si="2"/>
        <v>7051.76</v>
      </c>
    </row>
    <row r="62" spans="1:24" s="257" customFormat="1" x14ac:dyDescent="0.2">
      <c r="A62" s="581"/>
      <c r="B62" s="229" t="s">
        <v>687</v>
      </c>
      <c r="C62" s="577"/>
      <c r="D62" s="577"/>
      <c r="E62" s="575"/>
      <c r="F62" s="280" t="s">
        <v>683</v>
      </c>
      <c r="G62" s="234">
        <v>2.5000000000000001E-3</v>
      </c>
      <c r="H62" s="266">
        <v>168.1</v>
      </c>
      <c r="I62" s="273"/>
      <c r="J62" s="273"/>
      <c r="K62" s="273"/>
      <c r="L62" s="273"/>
      <c r="M62" s="273"/>
      <c r="N62" s="273"/>
      <c r="O62" s="275"/>
      <c r="P62" s="275"/>
      <c r="Q62" s="275"/>
      <c r="R62" s="275"/>
      <c r="S62" s="275"/>
      <c r="T62" s="275"/>
      <c r="U62" s="275"/>
      <c r="V62" s="275"/>
      <c r="W62" s="275"/>
      <c r="X62" s="191">
        <f t="shared" si="2"/>
        <v>168.1</v>
      </c>
    </row>
    <row r="63" spans="1:24" s="257" customFormat="1" ht="12.75" customHeight="1" x14ac:dyDescent="0.2">
      <c r="A63" s="603">
        <v>29</v>
      </c>
      <c r="B63" s="238" t="s">
        <v>500</v>
      </c>
      <c r="C63" s="601" t="s">
        <v>686</v>
      </c>
      <c r="D63" s="601">
        <v>553</v>
      </c>
      <c r="E63" s="599">
        <v>107926.42</v>
      </c>
      <c r="F63" s="279" t="s">
        <v>685</v>
      </c>
      <c r="G63" s="291" t="s">
        <v>498</v>
      </c>
      <c r="H63" s="263">
        <v>4797.92</v>
      </c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193">
        <f t="shared" si="2"/>
        <v>4797.92</v>
      </c>
    </row>
    <row r="64" spans="1:24" s="257" customFormat="1" x14ac:dyDescent="0.2">
      <c r="A64" s="604"/>
      <c r="B64" s="249" t="s">
        <v>684</v>
      </c>
      <c r="C64" s="602"/>
      <c r="D64" s="602"/>
      <c r="E64" s="600"/>
      <c r="F64" s="278" t="s">
        <v>683</v>
      </c>
      <c r="G64" s="234">
        <v>2.5000000000000001E-3</v>
      </c>
      <c r="H64" s="265">
        <v>114.35</v>
      </c>
      <c r="I64" s="276"/>
      <c r="J64" s="276"/>
      <c r="K64" s="276"/>
      <c r="L64" s="276"/>
      <c r="M64" s="276"/>
      <c r="N64" s="276"/>
      <c r="O64" s="375"/>
      <c r="P64" s="375"/>
      <c r="Q64" s="375"/>
      <c r="R64" s="375"/>
      <c r="S64" s="375"/>
      <c r="T64" s="375"/>
      <c r="U64" s="375"/>
      <c r="V64" s="375"/>
      <c r="W64" s="375"/>
      <c r="X64" s="191">
        <f t="shared" si="2"/>
        <v>114.35</v>
      </c>
    </row>
    <row r="65" spans="1:24" s="257" customFormat="1" ht="12.75" customHeight="1" x14ac:dyDescent="0.2">
      <c r="A65" s="580">
        <v>30</v>
      </c>
      <c r="B65" s="225" t="s">
        <v>500</v>
      </c>
      <c r="C65" s="576" t="s">
        <v>682</v>
      </c>
      <c r="D65" s="576">
        <v>558</v>
      </c>
      <c r="E65" s="574">
        <v>296887.89</v>
      </c>
      <c r="F65" s="289" t="s">
        <v>681</v>
      </c>
      <c r="G65" s="288" t="s">
        <v>498</v>
      </c>
      <c r="H65" s="260">
        <v>13195.72</v>
      </c>
      <c r="I65" s="274"/>
      <c r="J65" s="274"/>
      <c r="K65" s="274"/>
      <c r="L65" s="274"/>
      <c r="M65" s="274"/>
      <c r="N65" s="274"/>
      <c r="O65" s="274"/>
      <c r="P65" s="274"/>
      <c r="Q65" s="274"/>
      <c r="R65" s="274"/>
      <c r="S65" s="274"/>
      <c r="T65" s="274"/>
      <c r="U65" s="274"/>
      <c r="V65" s="274"/>
      <c r="W65" s="274"/>
      <c r="X65" s="193">
        <f t="shared" si="2"/>
        <v>13195.72</v>
      </c>
    </row>
    <row r="66" spans="1:24" s="257" customFormat="1" x14ac:dyDescent="0.2">
      <c r="A66" s="581"/>
      <c r="B66" s="229" t="s">
        <v>680</v>
      </c>
      <c r="C66" s="577"/>
      <c r="D66" s="577"/>
      <c r="E66" s="575"/>
      <c r="F66" s="287">
        <v>45371</v>
      </c>
      <c r="G66" s="234">
        <v>2.5000000000000001E-3</v>
      </c>
      <c r="H66" s="266">
        <v>314.66000000000003</v>
      </c>
      <c r="I66" s="273"/>
      <c r="J66" s="273"/>
      <c r="K66" s="273"/>
      <c r="L66" s="273"/>
      <c r="M66" s="273"/>
      <c r="N66" s="273"/>
      <c r="O66" s="275"/>
      <c r="P66" s="275"/>
      <c r="Q66" s="275"/>
      <c r="R66" s="275"/>
      <c r="S66" s="275"/>
      <c r="T66" s="275"/>
      <c r="U66" s="275"/>
      <c r="V66" s="275"/>
      <c r="W66" s="275"/>
      <c r="X66" s="191">
        <f t="shared" si="2"/>
        <v>314.66000000000003</v>
      </c>
    </row>
    <row r="67" spans="1:24" s="257" customFormat="1" ht="12.75" customHeight="1" x14ac:dyDescent="0.2">
      <c r="A67" s="603">
        <v>31</v>
      </c>
      <c r="B67" s="238" t="s">
        <v>500</v>
      </c>
      <c r="C67" s="601" t="s">
        <v>679</v>
      </c>
      <c r="D67" s="601">
        <v>554</v>
      </c>
      <c r="E67" s="599">
        <v>369101.98</v>
      </c>
      <c r="F67" s="292" t="s">
        <v>677</v>
      </c>
      <c r="G67" s="291" t="s">
        <v>498</v>
      </c>
      <c r="H67" s="263">
        <v>16405.72</v>
      </c>
      <c r="I67" s="277"/>
      <c r="J67" s="277"/>
      <c r="K67" s="277"/>
      <c r="L67" s="277"/>
      <c r="M67" s="277"/>
      <c r="N67" s="277"/>
      <c r="O67" s="277"/>
      <c r="P67" s="277"/>
      <c r="Q67" s="277"/>
      <c r="R67" s="277"/>
      <c r="S67" s="277"/>
      <c r="T67" s="277"/>
      <c r="U67" s="277"/>
      <c r="V67" s="277"/>
      <c r="W67" s="277"/>
      <c r="X67" s="193">
        <f t="shared" si="2"/>
        <v>16405.72</v>
      </c>
    </row>
    <row r="68" spans="1:24" s="257" customFormat="1" x14ac:dyDescent="0.2">
      <c r="A68" s="604"/>
      <c r="B68" s="249" t="s">
        <v>678</v>
      </c>
      <c r="C68" s="602"/>
      <c r="D68" s="602"/>
      <c r="E68" s="600"/>
      <c r="F68" s="290">
        <v>45371</v>
      </c>
      <c r="G68" s="234">
        <v>2.5000000000000001E-3</v>
      </c>
      <c r="H68" s="265">
        <v>391.17</v>
      </c>
      <c r="I68" s="276"/>
      <c r="J68" s="276"/>
      <c r="K68" s="276"/>
      <c r="L68" s="276"/>
      <c r="M68" s="276"/>
      <c r="N68" s="276"/>
      <c r="O68" s="375"/>
      <c r="P68" s="375"/>
      <c r="Q68" s="375"/>
      <c r="R68" s="375"/>
      <c r="S68" s="375"/>
      <c r="T68" s="375"/>
      <c r="U68" s="375"/>
      <c r="V68" s="375"/>
      <c r="W68" s="375"/>
      <c r="X68" s="191">
        <f t="shared" si="2"/>
        <v>391.17</v>
      </c>
    </row>
    <row r="69" spans="1:24" s="257" customFormat="1" ht="12.75" customHeight="1" x14ac:dyDescent="0.2">
      <c r="A69" s="580">
        <v>32</v>
      </c>
      <c r="B69" s="225" t="s">
        <v>500</v>
      </c>
      <c r="C69" s="576" t="s">
        <v>668</v>
      </c>
      <c r="D69" s="576">
        <v>555</v>
      </c>
      <c r="E69" s="574">
        <v>560799.54</v>
      </c>
      <c r="F69" s="289" t="s">
        <v>677</v>
      </c>
      <c r="G69" s="288" t="s">
        <v>498</v>
      </c>
      <c r="H69" s="260">
        <v>24925.86</v>
      </c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  <c r="X69" s="193">
        <f t="shared" si="2"/>
        <v>24925.86</v>
      </c>
    </row>
    <row r="70" spans="1:24" s="257" customFormat="1" x14ac:dyDescent="0.2">
      <c r="A70" s="581"/>
      <c r="B70" s="229" t="s">
        <v>676</v>
      </c>
      <c r="C70" s="577"/>
      <c r="D70" s="577"/>
      <c r="E70" s="575"/>
      <c r="F70" s="287">
        <v>45371</v>
      </c>
      <c r="G70" s="234">
        <v>2.5000000000000001E-3</v>
      </c>
      <c r="H70" s="266">
        <v>594.35</v>
      </c>
      <c r="I70" s="273"/>
      <c r="J70" s="273"/>
      <c r="K70" s="273"/>
      <c r="L70" s="273"/>
      <c r="M70" s="273"/>
      <c r="N70" s="273"/>
      <c r="O70" s="275"/>
      <c r="P70" s="275"/>
      <c r="Q70" s="275"/>
      <c r="R70" s="275"/>
      <c r="S70" s="275"/>
      <c r="T70" s="275"/>
      <c r="U70" s="275"/>
      <c r="V70" s="275"/>
      <c r="W70" s="275"/>
      <c r="X70" s="191">
        <f t="shared" si="2"/>
        <v>594.35</v>
      </c>
    </row>
    <row r="71" spans="1:24" s="257" customFormat="1" ht="12.75" customHeight="1" x14ac:dyDescent="0.2">
      <c r="A71" s="611">
        <v>33</v>
      </c>
      <c r="B71" s="270" t="s">
        <v>500</v>
      </c>
      <c r="C71" s="613" t="s">
        <v>675</v>
      </c>
      <c r="D71" s="613">
        <v>568</v>
      </c>
      <c r="E71" s="615">
        <v>33093.08</v>
      </c>
      <c r="F71" s="286" t="s">
        <v>671</v>
      </c>
      <c r="G71" s="285" t="s">
        <v>498</v>
      </c>
      <c r="H71" s="451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20">
        <f t="shared" ref="X71:X102" si="3">SUM(H71:W71)</f>
        <v>0</v>
      </c>
    </row>
    <row r="72" spans="1:24" s="257" customFormat="1" x14ac:dyDescent="0.2">
      <c r="A72" s="612"/>
      <c r="B72" s="268" t="s">
        <v>674</v>
      </c>
      <c r="C72" s="614"/>
      <c r="D72" s="614"/>
      <c r="E72" s="616"/>
      <c r="F72" s="283" t="s">
        <v>673</v>
      </c>
      <c r="G72" s="267">
        <v>2.5000000000000001E-3</v>
      </c>
      <c r="H72" s="450">
        <v>12.98</v>
      </c>
      <c r="I72" s="379"/>
      <c r="J72" s="379"/>
      <c r="K72" s="379"/>
      <c r="L72" s="379"/>
      <c r="M72" s="379"/>
      <c r="N72" s="379"/>
      <c r="O72" s="282"/>
      <c r="P72" s="282"/>
      <c r="Q72" s="282"/>
      <c r="R72" s="282"/>
      <c r="S72" s="282"/>
      <c r="T72" s="282"/>
      <c r="U72" s="282"/>
      <c r="V72" s="282"/>
      <c r="W72" s="282"/>
      <c r="X72" s="218">
        <f t="shared" si="3"/>
        <v>12.98</v>
      </c>
    </row>
    <row r="73" spans="1:24" s="257" customFormat="1" ht="12.75" customHeight="1" x14ac:dyDescent="0.2">
      <c r="A73" s="580">
        <v>34</v>
      </c>
      <c r="B73" s="225" t="s">
        <v>500</v>
      </c>
      <c r="C73" s="576" t="s">
        <v>672</v>
      </c>
      <c r="D73" s="576">
        <v>567</v>
      </c>
      <c r="E73" s="574">
        <v>313031.8</v>
      </c>
      <c r="F73" s="281" t="s">
        <v>671</v>
      </c>
      <c r="G73" s="261" t="s">
        <v>498</v>
      </c>
      <c r="H73" s="260">
        <v>13912.84</v>
      </c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193">
        <f t="shared" si="3"/>
        <v>13912.84</v>
      </c>
    </row>
    <row r="74" spans="1:24" s="257" customFormat="1" x14ac:dyDescent="0.2">
      <c r="A74" s="581"/>
      <c r="B74" s="229" t="s">
        <v>670</v>
      </c>
      <c r="C74" s="577"/>
      <c r="D74" s="577"/>
      <c r="E74" s="575"/>
      <c r="F74" s="280" t="s">
        <v>669</v>
      </c>
      <c r="G74" s="234">
        <v>2.5000000000000001E-3</v>
      </c>
      <c r="H74" s="266">
        <v>358.64</v>
      </c>
      <c r="I74" s="273"/>
      <c r="J74" s="273"/>
      <c r="K74" s="273"/>
      <c r="L74" s="273"/>
      <c r="M74" s="273"/>
      <c r="N74" s="273"/>
      <c r="O74" s="275"/>
      <c r="P74" s="275"/>
      <c r="Q74" s="275"/>
      <c r="R74" s="275"/>
      <c r="S74" s="275"/>
      <c r="T74" s="275"/>
      <c r="U74" s="275"/>
      <c r="V74" s="275"/>
      <c r="W74" s="275"/>
      <c r="X74" s="191">
        <f t="shared" si="3"/>
        <v>358.64</v>
      </c>
    </row>
    <row r="75" spans="1:24" s="257" customFormat="1" ht="12.75" customHeight="1" x14ac:dyDescent="0.2">
      <c r="A75" s="603">
        <v>35</v>
      </c>
      <c r="B75" s="238" t="s">
        <v>500</v>
      </c>
      <c r="C75" s="601" t="s">
        <v>668</v>
      </c>
      <c r="D75" s="601" t="s">
        <v>667</v>
      </c>
      <c r="E75" s="599">
        <v>3304011.86</v>
      </c>
      <c r="F75" s="279" t="s">
        <v>666</v>
      </c>
      <c r="G75" s="258" t="s">
        <v>498</v>
      </c>
      <c r="H75" s="263">
        <v>104842.88</v>
      </c>
      <c r="I75" s="277"/>
      <c r="J75" s="277"/>
      <c r="K75" s="277"/>
      <c r="L75" s="277"/>
      <c r="M75" s="277"/>
      <c r="N75" s="277"/>
      <c r="O75" s="277"/>
      <c r="P75" s="277"/>
      <c r="Q75" s="277"/>
      <c r="R75" s="277"/>
      <c r="S75" s="277"/>
      <c r="T75" s="277"/>
      <c r="U75" s="277"/>
      <c r="V75" s="277"/>
      <c r="W75" s="277"/>
      <c r="X75" s="193">
        <f t="shared" si="3"/>
        <v>104842.88</v>
      </c>
    </row>
    <row r="76" spans="1:24" s="257" customFormat="1" x14ac:dyDescent="0.2">
      <c r="A76" s="604"/>
      <c r="B76" s="249" t="s">
        <v>665</v>
      </c>
      <c r="C76" s="602"/>
      <c r="D76" s="602"/>
      <c r="E76" s="600"/>
      <c r="F76" s="278" t="s">
        <v>664</v>
      </c>
      <c r="G76" s="234">
        <v>2.5000000000000001E-3</v>
      </c>
      <c r="H76" s="265">
        <v>4726.74</v>
      </c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76"/>
      <c r="W76" s="276"/>
      <c r="X76" s="191">
        <f t="shared" si="3"/>
        <v>4726.74</v>
      </c>
    </row>
    <row r="77" spans="1:24" s="257" customFormat="1" ht="12.75" customHeight="1" x14ac:dyDescent="0.2">
      <c r="A77" s="580">
        <v>36</v>
      </c>
      <c r="B77" s="225" t="s">
        <v>500</v>
      </c>
      <c r="C77" s="576" t="s">
        <v>627</v>
      </c>
      <c r="D77" s="576">
        <v>556</v>
      </c>
      <c r="E77" s="574">
        <v>115461.78</v>
      </c>
      <c r="F77" s="588" t="s">
        <v>663</v>
      </c>
      <c r="G77" s="261" t="s">
        <v>498</v>
      </c>
      <c r="H77" s="260">
        <v>5133.72</v>
      </c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193">
        <f t="shared" si="3"/>
        <v>5133.72</v>
      </c>
    </row>
    <row r="78" spans="1:24" s="257" customFormat="1" x14ac:dyDescent="0.2">
      <c r="A78" s="581"/>
      <c r="B78" s="229" t="s">
        <v>662</v>
      </c>
      <c r="C78" s="577"/>
      <c r="D78" s="577"/>
      <c r="E78" s="575"/>
      <c r="F78" s="589"/>
      <c r="G78" s="234">
        <v>2.5000000000000001E-3</v>
      </c>
      <c r="H78" s="266">
        <v>122.33</v>
      </c>
      <c r="I78" s="273"/>
      <c r="J78" s="273"/>
      <c r="K78" s="273"/>
      <c r="L78" s="273"/>
      <c r="M78" s="273"/>
      <c r="N78" s="273"/>
      <c r="O78" s="275"/>
      <c r="P78" s="275"/>
      <c r="Q78" s="275"/>
      <c r="R78" s="275"/>
      <c r="S78" s="275"/>
      <c r="T78" s="275"/>
      <c r="U78" s="275"/>
      <c r="V78" s="275"/>
      <c r="W78" s="275"/>
      <c r="X78" s="191">
        <f t="shared" si="3"/>
        <v>122.33</v>
      </c>
    </row>
    <row r="79" spans="1:24" s="257" customFormat="1" ht="12.75" customHeight="1" x14ac:dyDescent="0.2">
      <c r="A79" s="603">
        <v>37</v>
      </c>
      <c r="B79" s="238" t="s">
        <v>500</v>
      </c>
      <c r="C79" s="601" t="s">
        <v>661</v>
      </c>
      <c r="D79" s="601">
        <v>560</v>
      </c>
      <c r="E79" s="599">
        <v>779949.97</v>
      </c>
      <c r="F79" s="595" t="s">
        <v>660</v>
      </c>
      <c r="G79" s="258" t="s">
        <v>498</v>
      </c>
      <c r="H79" s="260">
        <v>25526.32</v>
      </c>
      <c r="I79" s="274"/>
      <c r="J79" s="277"/>
      <c r="K79" s="277"/>
      <c r="L79" s="277"/>
      <c r="M79" s="277"/>
      <c r="N79" s="277"/>
      <c r="O79" s="277"/>
      <c r="P79" s="277"/>
      <c r="Q79" s="277"/>
      <c r="R79" s="277"/>
      <c r="S79" s="277"/>
      <c r="T79" s="277"/>
      <c r="U79" s="277"/>
      <c r="V79" s="277"/>
      <c r="W79" s="277"/>
      <c r="X79" s="193">
        <f t="shared" si="3"/>
        <v>25526.32</v>
      </c>
    </row>
    <row r="80" spans="1:24" s="257" customFormat="1" x14ac:dyDescent="0.2">
      <c r="A80" s="604"/>
      <c r="B80" s="249" t="s">
        <v>659</v>
      </c>
      <c r="C80" s="602"/>
      <c r="D80" s="602"/>
      <c r="E80" s="600"/>
      <c r="F80" s="596"/>
      <c r="G80" s="234">
        <v>2.5000000000000001E-3</v>
      </c>
      <c r="H80" s="266">
        <v>1101.49</v>
      </c>
      <c r="I80" s="273"/>
      <c r="J80" s="276"/>
      <c r="K80" s="276"/>
      <c r="L80" s="276"/>
      <c r="M80" s="276"/>
      <c r="N80" s="276"/>
      <c r="O80" s="276"/>
      <c r="P80" s="276"/>
      <c r="Q80" s="276"/>
      <c r="R80" s="276"/>
      <c r="S80" s="276"/>
      <c r="T80" s="276"/>
      <c r="U80" s="276"/>
      <c r="V80" s="276"/>
      <c r="W80" s="276"/>
      <c r="X80" s="191">
        <f t="shared" si="3"/>
        <v>1101.49</v>
      </c>
    </row>
    <row r="81" spans="1:24" s="257" customFormat="1" ht="12.75" customHeight="1" x14ac:dyDescent="0.2">
      <c r="A81" s="580">
        <v>38</v>
      </c>
      <c r="B81" s="225" t="s">
        <v>500</v>
      </c>
      <c r="C81" s="576" t="s">
        <v>658</v>
      </c>
      <c r="D81" s="576">
        <v>561</v>
      </c>
      <c r="E81" s="574">
        <v>238645.9</v>
      </c>
      <c r="F81" s="588" t="s">
        <v>657</v>
      </c>
      <c r="G81" s="261" t="s">
        <v>498</v>
      </c>
      <c r="H81" s="260">
        <v>10606.08</v>
      </c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193">
        <f t="shared" si="3"/>
        <v>10606.08</v>
      </c>
    </row>
    <row r="82" spans="1:24" s="257" customFormat="1" x14ac:dyDescent="0.2">
      <c r="A82" s="581"/>
      <c r="B82" s="229" t="s">
        <v>656</v>
      </c>
      <c r="C82" s="577"/>
      <c r="D82" s="577"/>
      <c r="E82" s="575"/>
      <c r="F82" s="589"/>
      <c r="G82" s="234">
        <v>2.5000000000000001E-3</v>
      </c>
      <c r="H82" s="266">
        <v>252.94</v>
      </c>
      <c r="I82" s="273"/>
      <c r="J82" s="273"/>
      <c r="K82" s="273"/>
      <c r="L82" s="273"/>
      <c r="M82" s="273"/>
      <c r="N82" s="273"/>
      <c r="O82" s="275"/>
      <c r="P82" s="275"/>
      <c r="Q82" s="275"/>
      <c r="R82" s="275"/>
      <c r="S82" s="275"/>
      <c r="T82" s="275"/>
      <c r="U82" s="275"/>
      <c r="V82" s="275"/>
      <c r="W82" s="275"/>
      <c r="X82" s="191">
        <f t="shared" si="3"/>
        <v>252.94</v>
      </c>
    </row>
    <row r="83" spans="1:24" s="257" customFormat="1" ht="12.75" customHeight="1" x14ac:dyDescent="0.2">
      <c r="A83" s="603">
        <v>39</v>
      </c>
      <c r="B83" s="238" t="s">
        <v>500</v>
      </c>
      <c r="C83" s="601" t="s">
        <v>655</v>
      </c>
      <c r="D83" s="601">
        <v>559</v>
      </c>
      <c r="E83" s="599">
        <v>600458.34</v>
      </c>
      <c r="F83" s="595" t="s">
        <v>654</v>
      </c>
      <c r="G83" s="258" t="s">
        <v>498</v>
      </c>
      <c r="H83" s="263">
        <v>19641.32</v>
      </c>
      <c r="I83" s="277"/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277"/>
      <c r="X83" s="193">
        <f t="shared" si="3"/>
        <v>19641.32</v>
      </c>
    </row>
    <row r="84" spans="1:24" s="257" customFormat="1" x14ac:dyDescent="0.2">
      <c r="A84" s="604"/>
      <c r="B84" s="249" t="s">
        <v>653</v>
      </c>
      <c r="C84" s="602"/>
      <c r="D84" s="602"/>
      <c r="E84" s="600"/>
      <c r="F84" s="596"/>
      <c r="G84" s="234">
        <v>2.5000000000000001E-3</v>
      </c>
      <c r="H84" s="265">
        <v>847.52</v>
      </c>
      <c r="I84" s="276"/>
      <c r="J84" s="276"/>
      <c r="K84" s="276"/>
      <c r="L84" s="276"/>
      <c r="M84" s="276"/>
      <c r="N84" s="276"/>
      <c r="O84" s="276"/>
      <c r="P84" s="276"/>
      <c r="Q84" s="276"/>
      <c r="R84" s="276"/>
      <c r="S84" s="276"/>
      <c r="T84" s="276"/>
      <c r="U84" s="276"/>
      <c r="V84" s="276"/>
      <c r="W84" s="276"/>
      <c r="X84" s="191">
        <f t="shared" si="3"/>
        <v>847.52</v>
      </c>
    </row>
    <row r="85" spans="1:24" s="257" customFormat="1" ht="12.75" customHeight="1" x14ac:dyDescent="0.2">
      <c r="A85" s="580">
        <v>40</v>
      </c>
      <c r="B85" s="225" t="s">
        <v>500</v>
      </c>
      <c r="C85" s="576" t="s">
        <v>652</v>
      </c>
      <c r="D85" s="576">
        <v>562</v>
      </c>
      <c r="E85" s="574">
        <v>183148.91</v>
      </c>
      <c r="F85" s="588" t="s">
        <v>651</v>
      </c>
      <c r="G85" s="261" t="s">
        <v>498</v>
      </c>
      <c r="H85" s="260">
        <v>8141.68</v>
      </c>
      <c r="I85" s="274"/>
      <c r="J85" s="274"/>
      <c r="K85" s="274"/>
      <c r="L85" s="274"/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  <c r="X85" s="193">
        <f t="shared" si="3"/>
        <v>8141.68</v>
      </c>
    </row>
    <row r="86" spans="1:24" s="257" customFormat="1" x14ac:dyDescent="0.2">
      <c r="A86" s="581"/>
      <c r="B86" s="229" t="s">
        <v>650</v>
      </c>
      <c r="C86" s="577"/>
      <c r="D86" s="577"/>
      <c r="E86" s="575"/>
      <c r="F86" s="589"/>
      <c r="G86" s="234">
        <v>2.5000000000000001E-3</v>
      </c>
      <c r="H86" s="266">
        <v>194.09</v>
      </c>
      <c r="I86" s="273"/>
      <c r="J86" s="273"/>
      <c r="K86" s="273"/>
      <c r="L86" s="273"/>
      <c r="M86" s="273"/>
      <c r="N86" s="273"/>
      <c r="O86" s="275"/>
      <c r="P86" s="275"/>
      <c r="Q86" s="275"/>
      <c r="R86" s="275"/>
      <c r="S86" s="275"/>
      <c r="T86" s="275"/>
      <c r="U86" s="275"/>
      <c r="V86" s="275"/>
      <c r="W86" s="275"/>
      <c r="X86" s="191">
        <f t="shared" si="3"/>
        <v>194.09</v>
      </c>
    </row>
    <row r="87" spans="1:24" s="257" customFormat="1" ht="12.75" customHeight="1" x14ac:dyDescent="0.2">
      <c r="A87" s="580">
        <v>41</v>
      </c>
      <c r="B87" s="225" t="s">
        <v>500</v>
      </c>
      <c r="C87" s="576" t="s">
        <v>649</v>
      </c>
      <c r="D87" s="576">
        <v>565</v>
      </c>
      <c r="E87" s="574">
        <v>506634.23999999999</v>
      </c>
      <c r="F87" s="588" t="s">
        <v>643</v>
      </c>
      <c r="G87" s="261" t="s">
        <v>498</v>
      </c>
      <c r="H87" s="263">
        <v>22518.36</v>
      </c>
      <c r="I87" s="277"/>
      <c r="J87" s="274"/>
      <c r="K87" s="274"/>
      <c r="L87" s="274"/>
      <c r="M87" s="274"/>
      <c r="N87" s="274"/>
      <c r="O87" s="274"/>
      <c r="P87" s="274"/>
      <c r="Q87" s="274"/>
      <c r="R87" s="274"/>
      <c r="S87" s="274"/>
      <c r="T87" s="274"/>
      <c r="U87" s="274"/>
      <c r="V87" s="274"/>
      <c r="W87" s="274"/>
      <c r="X87" s="193">
        <f t="shared" si="3"/>
        <v>22518.36</v>
      </c>
    </row>
    <row r="88" spans="1:24" s="257" customFormat="1" x14ac:dyDescent="0.2">
      <c r="A88" s="581"/>
      <c r="B88" s="229" t="s">
        <v>648</v>
      </c>
      <c r="C88" s="577"/>
      <c r="D88" s="577"/>
      <c r="E88" s="575"/>
      <c r="F88" s="589"/>
      <c r="G88" s="234">
        <v>2.5000000000000001E-3</v>
      </c>
      <c r="H88" s="265">
        <v>536.94000000000005</v>
      </c>
      <c r="I88" s="276"/>
      <c r="J88" s="273"/>
      <c r="K88" s="273"/>
      <c r="L88" s="273"/>
      <c r="M88" s="273"/>
      <c r="N88" s="273"/>
      <c r="O88" s="275"/>
      <c r="P88" s="275"/>
      <c r="Q88" s="275"/>
      <c r="R88" s="275"/>
      <c r="S88" s="275"/>
      <c r="T88" s="275"/>
      <c r="U88" s="275"/>
      <c r="V88" s="275"/>
      <c r="W88" s="275"/>
      <c r="X88" s="191">
        <f t="shared" si="3"/>
        <v>536.94000000000005</v>
      </c>
    </row>
    <row r="89" spans="1:24" s="257" customFormat="1" ht="12.75" customHeight="1" x14ac:dyDescent="0.2">
      <c r="A89" s="580">
        <v>42</v>
      </c>
      <c r="B89" s="225" t="s">
        <v>500</v>
      </c>
      <c r="C89" s="576" t="s">
        <v>647</v>
      </c>
      <c r="D89" s="576">
        <v>564</v>
      </c>
      <c r="E89" s="574">
        <v>562230.54</v>
      </c>
      <c r="F89" s="588" t="s">
        <v>646</v>
      </c>
      <c r="G89" s="261" t="s">
        <v>498</v>
      </c>
      <c r="H89" s="260">
        <v>18224.14</v>
      </c>
      <c r="I89" s="274"/>
      <c r="J89" s="274"/>
      <c r="K89" s="274"/>
      <c r="L89" s="274"/>
      <c r="M89" s="274"/>
      <c r="N89" s="274"/>
      <c r="O89" s="274"/>
      <c r="P89" s="274"/>
      <c r="Q89" s="274"/>
      <c r="R89" s="274"/>
      <c r="S89" s="274"/>
      <c r="T89" s="274"/>
      <c r="U89" s="274"/>
      <c r="V89" s="274"/>
      <c r="W89" s="274"/>
      <c r="X89" s="193">
        <f t="shared" si="3"/>
        <v>18224.14</v>
      </c>
    </row>
    <row r="90" spans="1:24" s="257" customFormat="1" x14ac:dyDescent="0.2">
      <c r="A90" s="581"/>
      <c r="B90" s="229" t="s">
        <v>645</v>
      </c>
      <c r="C90" s="577"/>
      <c r="D90" s="577"/>
      <c r="E90" s="575"/>
      <c r="F90" s="589"/>
      <c r="G90" s="234">
        <v>2.5000000000000001E-3</v>
      </c>
      <c r="H90" s="266">
        <v>786.37</v>
      </c>
      <c r="I90" s="273"/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3"/>
      <c r="X90" s="191">
        <f t="shared" si="3"/>
        <v>786.37</v>
      </c>
    </row>
    <row r="91" spans="1:24" s="257" customFormat="1" ht="12.75" customHeight="1" x14ac:dyDescent="0.2">
      <c r="A91" s="603">
        <v>43</v>
      </c>
      <c r="B91" s="238" t="s">
        <v>500</v>
      </c>
      <c r="C91" s="601" t="s">
        <v>644</v>
      </c>
      <c r="D91" s="601">
        <v>563</v>
      </c>
      <c r="E91" s="599">
        <v>140213.39000000001</v>
      </c>
      <c r="F91" s="595" t="s">
        <v>643</v>
      </c>
      <c r="G91" s="258" t="s">
        <v>498</v>
      </c>
      <c r="H91" s="263">
        <v>6232.18</v>
      </c>
      <c r="I91" s="277"/>
      <c r="J91" s="277"/>
      <c r="K91" s="277"/>
      <c r="L91" s="277"/>
      <c r="M91" s="277"/>
      <c r="N91" s="277"/>
      <c r="O91" s="277"/>
      <c r="P91" s="277"/>
      <c r="Q91" s="277"/>
      <c r="R91" s="277"/>
      <c r="S91" s="277"/>
      <c r="T91" s="277"/>
      <c r="U91" s="277"/>
      <c r="V91" s="277"/>
      <c r="W91" s="277"/>
      <c r="X91" s="193">
        <f t="shared" si="3"/>
        <v>6232.18</v>
      </c>
    </row>
    <row r="92" spans="1:24" s="257" customFormat="1" x14ac:dyDescent="0.2">
      <c r="A92" s="604"/>
      <c r="B92" s="249" t="s">
        <v>642</v>
      </c>
      <c r="C92" s="602"/>
      <c r="D92" s="602"/>
      <c r="E92" s="600"/>
      <c r="F92" s="596"/>
      <c r="G92" s="234">
        <v>2.5000000000000001E-3</v>
      </c>
      <c r="H92" s="265">
        <v>148.6</v>
      </c>
      <c r="I92" s="276"/>
      <c r="J92" s="276"/>
      <c r="K92" s="276"/>
      <c r="L92" s="276"/>
      <c r="M92" s="276"/>
      <c r="N92" s="276"/>
      <c r="O92" s="375"/>
      <c r="P92" s="375"/>
      <c r="Q92" s="375"/>
      <c r="R92" s="375"/>
      <c r="S92" s="375"/>
      <c r="T92" s="375"/>
      <c r="U92" s="375"/>
      <c r="V92" s="375"/>
      <c r="W92" s="375"/>
      <c r="X92" s="191">
        <f t="shared" si="3"/>
        <v>148.6</v>
      </c>
    </row>
    <row r="93" spans="1:24" s="257" customFormat="1" ht="12.75" customHeight="1" x14ac:dyDescent="0.2">
      <c r="A93" s="580">
        <v>44</v>
      </c>
      <c r="B93" s="225" t="s">
        <v>500</v>
      </c>
      <c r="C93" s="576" t="s">
        <v>641</v>
      </c>
      <c r="D93" s="576">
        <v>593</v>
      </c>
      <c r="E93" s="574">
        <v>178581.82</v>
      </c>
      <c r="F93" s="588" t="s">
        <v>640</v>
      </c>
      <c r="G93" s="261" t="s">
        <v>498</v>
      </c>
      <c r="H93" s="260"/>
      <c r="I93" s="274"/>
      <c r="J93" s="274"/>
      <c r="K93" s="274"/>
      <c r="L93" s="274"/>
      <c r="M93" s="274"/>
      <c r="N93" s="274"/>
      <c r="O93" s="274"/>
      <c r="P93" s="274"/>
      <c r="Q93" s="274"/>
      <c r="R93" s="274"/>
      <c r="S93" s="274"/>
      <c r="T93" s="274"/>
      <c r="U93" s="274"/>
      <c r="V93" s="274"/>
      <c r="W93" s="274"/>
      <c r="X93" s="193">
        <f t="shared" si="3"/>
        <v>0</v>
      </c>
    </row>
    <row r="94" spans="1:24" s="257" customFormat="1" x14ac:dyDescent="0.2">
      <c r="A94" s="581"/>
      <c r="B94" s="229" t="s">
        <v>639</v>
      </c>
      <c r="C94" s="577"/>
      <c r="D94" s="577"/>
      <c r="E94" s="575"/>
      <c r="F94" s="589"/>
      <c r="G94" s="234">
        <v>2.5000000000000001E-3</v>
      </c>
      <c r="H94" s="266">
        <v>129.99</v>
      </c>
      <c r="I94" s="273"/>
      <c r="J94" s="273"/>
      <c r="K94" s="273"/>
      <c r="L94" s="273"/>
      <c r="M94" s="273"/>
      <c r="N94" s="273"/>
      <c r="O94" s="273"/>
      <c r="P94" s="275"/>
      <c r="Q94" s="275"/>
      <c r="R94" s="275"/>
      <c r="S94" s="275"/>
      <c r="T94" s="275"/>
      <c r="U94" s="275"/>
      <c r="V94" s="275"/>
      <c r="W94" s="275"/>
      <c r="X94" s="191">
        <f t="shared" si="3"/>
        <v>129.99</v>
      </c>
    </row>
    <row r="95" spans="1:24" s="257" customFormat="1" ht="12.75" customHeight="1" x14ac:dyDescent="0.2">
      <c r="A95" s="603">
        <v>45</v>
      </c>
      <c r="B95" s="238" t="s">
        <v>500</v>
      </c>
      <c r="C95" s="601" t="s">
        <v>638</v>
      </c>
      <c r="D95" s="601">
        <v>594</v>
      </c>
      <c r="E95" s="599">
        <v>75804.92</v>
      </c>
      <c r="F95" s="595" t="s">
        <v>637</v>
      </c>
      <c r="G95" s="258" t="s">
        <v>498</v>
      </c>
      <c r="H95" s="263">
        <v>3369.36</v>
      </c>
      <c r="I95" s="277"/>
      <c r="J95" s="277"/>
      <c r="K95" s="277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7"/>
      <c r="X95" s="193">
        <f t="shared" si="3"/>
        <v>3369.36</v>
      </c>
    </row>
    <row r="96" spans="1:24" s="257" customFormat="1" x14ac:dyDescent="0.2">
      <c r="A96" s="604"/>
      <c r="B96" s="249" t="s">
        <v>636</v>
      </c>
      <c r="C96" s="602"/>
      <c r="D96" s="602"/>
      <c r="E96" s="600"/>
      <c r="F96" s="596"/>
      <c r="G96" s="234">
        <v>2.5000000000000001E-3</v>
      </c>
      <c r="H96" s="265">
        <v>96.65</v>
      </c>
      <c r="I96" s="276"/>
      <c r="J96" s="276"/>
      <c r="K96" s="276"/>
      <c r="L96" s="276"/>
      <c r="M96" s="276"/>
      <c r="N96" s="276"/>
      <c r="O96" s="276"/>
      <c r="P96" s="375"/>
      <c r="Q96" s="375"/>
      <c r="R96" s="375"/>
      <c r="S96" s="375"/>
      <c r="T96" s="375"/>
      <c r="U96" s="375"/>
      <c r="V96" s="375"/>
      <c r="W96" s="375"/>
      <c r="X96" s="191">
        <f t="shared" si="3"/>
        <v>96.65</v>
      </c>
    </row>
    <row r="97" spans="1:24" s="257" customFormat="1" ht="12.75" customHeight="1" x14ac:dyDescent="0.2">
      <c r="A97" s="580">
        <v>46</v>
      </c>
      <c r="B97" s="225" t="s">
        <v>500</v>
      </c>
      <c r="C97" s="576" t="s">
        <v>635</v>
      </c>
      <c r="D97" s="576">
        <v>597</v>
      </c>
      <c r="E97" s="574">
        <v>912733.07</v>
      </c>
      <c r="F97" s="588" t="s">
        <v>634</v>
      </c>
      <c r="G97" s="261" t="s">
        <v>498</v>
      </c>
      <c r="H97" s="260">
        <v>40566.080000000002</v>
      </c>
      <c r="I97" s="274"/>
      <c r="J97" s="274"/>
      <c r="K97" s="274"/>
      <c r="L97" s="274"/>
      <c r="M97" s="274"/>
      <c r="N97" s="274"/>
      <c r="O97" s="274"/>
      <c r="P97" s="274"/>
      <c r="Q97" s="274"/>
      <c r="R97" s="274"/>
      <c r="S97" s="274"/>
      <c r="T97" s="274"/>
      <c r="U97" s="274"/>
      <c r="V97" s="274"/>
      <c r="W97" s="274"/>
      <c r="X97" s="193">
        <f t="shared" si="3"/>
        <v>40566.080000000002</v>
      </c>
    </row>
    <row r="98" spans="1:24" s="257" customFormat="1" x14ac:dyDescent="0.2">
      <c r="A98" s="581"/>
      <c r="B98" s="229" t="s">
        <v>633</v>
      </c>
      <c r="C98" s="577"/>
      <c r="D98" s="577"/>
      <c r="E98" s="575"/>
      <c r="F98" s="589"/>
      <c r="G98" s="234">
        <v>2.5000000000000001E-3</v>
      </c>
      <c r="H98" s="266">
        <v>1163.5899999999999</v>
      </c>
      <c r="I98" s="273"/>
      <c r="J98" s="273"/>
      <c r="K98" s="273"/>
      <c r="L98" s="273"/>
      <c r="M98" s="273"/>
      <c r="N98" s="273"/>
      <c r="O98" s="273"/>
      <c r="P98" s="275"/>
      <c r="Q98" s="275"/>
      <c r="R98" s="275"/>
      <c r="S98" s="275"/>
      <c r="T98" s="275"/>
      <c r="U98" s="275"/>
      <c r="V98" s="275"/>
      <c r="W98" s="275"/>
      <c r="X98" s="191">
        <f t="shared" si="3"/>
        <v>1163.5899999999999</v>
      </c>
    </row>
    <row r="99" spans="1:24" s="257" customFormat="1" ht="12.75" customHeight="1" x14ac:dyDescent="0.2">
      <c r="A99" s="603">
        <v>47</v>
      </c>
      <c r="B99" s="238" t="s">
        <v>500</v>
      </c>
      <c r="C99" s="601" t="s">
        <v>632</v>
      </c>
      <c r="D99" s="601">
        <v>598</v>
      </c>
      <c r="E99" s="599">
        <v>156218.53</v>
      </c>
      <c r="F99" s="595" t="s">
        <v>631</v>
      </c>
      <c r="G99" s="258" t="s">
        <v>498</v>
      </c>
      <c r="H99" s="263">
        <v>6943.62</v>
      </c>
      <c r="I99" s="277"/>
      <c r="J99" s="277"/>
      <c r="K99" s="277"/>
      <c r="L99" s="277"/>
      <c r="M99" s="277"/>
      <c r="N99" s="277"/>
      <c r="O99" s="277"/>
      <c r="P99" s="277"/>
      <c r="Q99" s="277"/>
      <c r="R99" s="277"/>
      <c r="S99" s="277"/>
      <c r="T99" s="277"/>
      <c r="U99" s="277"/>
      <c r="V99" s="277"/>
      <c r="W99" s="277"/>
      <c r="X99" s="193">
        <f t="shared" si="3"/>
        <v>6943.62</v>
      </c>
    </row>
    <row r="100" spans="1:24" s="257" customFormat="1" x14ac:dyDescent="0.2">
      <c r="A100" s="604"/>
      <c r="B100" s="249" t="s">
        <v>630</v>
      </c>
      <c r="C100" s="602"/>
      <c r="D100" s="602"/>
      <c r="E100" s="600"/>
      <c r="F100" s="596"/>
      <c r="G100" s="234">
        <v>2.5000000000000001E-3</v>
      </c>
      <c r="H100" s="265">
        <v>199.14</v>
      </c>
      <c r="I100" s="276"/>
      <c r="J100" s="276"/>
      <c r="K100" s="276"/>
      <c r="L100" s="276"/>
      <c r="M100" s="276"/>
      <c r="N100" s="276"/>
      <c r="O100" s="276"/>
      <c r="P100" s="375"/>
      <c r="Q100" s="375"/>
      <c r="R100" s="375"/>
      <c r="S100" s="375"/>
      <c r="T100" s="375"/>
      <c r="U100" s="375"/>
      <c r="V100" s="375"/>
      <c r="W100" s="375"/>
      <c r="X100" s="191">
        <f t="shared" si="3"/>
        <v>199.14</v>
      </c>
    </row>
    <row r="101" spans="1:24" s="257" customFormat="1" ht="12.75" customHeight="1" x14ac:dyDescent="0.2">
      <c r="A101" s="580">
        <v>48</v>
      </c>
      <c r="B101" s="225" t="s">
        <v>500</v>
      </c>
      <c r="C101" s="576" t="s">
        <v>629</v>
      </c>
      <c r="D101" s="576">
        <v>599</v>
      </c>
      <c r="E101" s="574">
        <v>142226.65</v>
      </c>
      <c r="F101" s="588" t="s">
        <v>626</v>
      </c>
      <c r="G101" s="261" t="s">
        <v>498</v>
      </c>
      <c r="H101" s="260">
        <v>6465.52</v>
      </c>
      <c r="I101" s="274"/>
      <c r="J101" s="274"/>
      <c r="K101" s="274"/>
      <c r="L101" s="274"/>
      <c r="M101" s="274"/>
      <c r="N101" s="274"/>
      <c r="O101" s="274"/>
      <c r="P101" s="274"/>
      <c r="Q101" s="274"/>
      <c r="R101" s="274"/>
      <c r="S101" s="274"/>
      <c r="T101" s="274"/>
      <c r="U101" s="274"/>
      <c r="V101" s="274"/>
      <c r="W101" s="274"/>
      <c r="X101" s="193">
        <f t="shared" si="3"/>
        <v>6465.52</v>
      </c>
    </row>
    <row r="102" spans="1:24" s="257" customFormat="1" x14ac:dyDescent="0.2">
      <c r="A102" s="581"/>
      <c r="B102" s="229" t="s">
        <v>628</v>
      </c>
      <c r="C102" s="577"/>
      <c r="D102" s="577"/>
      <c r="E102" s="575"/>
      <c r="F102" s="589"/>
      <c r="G102" s="234">
        <v>2.5000000000000001E-3</v>
      </c>
      <c r="H102" s="266">
        <v>185.45</v>
      </c>
      <c r="I102" s="273"/>
      <c r="J102" s="273"/>
      <c r="K102" s="273"/>
      <c r="L102" s="273"/>
      <c r="M102" s="273"/>
      <c r="N102" s="273"/>
      <c r="O102" s="273"/>
      <c r="P102" s="275"/>
      <c r="Q102" s="275"/>
      <c r="R102" s="275"/>
      <c r="S102" s="275"/>
      <c r="T102" s="275"/>
      <c r="U102" s="275"/>
      <c r="V102" s="275"/>
      <c r="W102" s="275"/>
      <c r="X102" s="191">
        <f t="shared" si="3"/>
        <v>185.45</v>
      </c>
    </row>
    <row r="103" spans="1:24" s="257" customFormat="1" ht="12.75" customHeight="1" x14ac:dyDescent="0.2">
      <c r="A103" s="526">
        <v>49</v>
      </c>
      <c r="B103" s="222" t="s">
        <v>500</v>
      </c>
      <c r="C103" s="532" t="s">
        <v>627</v>
      </c>
      <c r="D103" s="532">
        <v>600</v>
      </c>
      <c r="E103" s="530">
        <v>29053.99</v>
      </c>
      <c r="F103" s="609" t="s">
        <v>626</v>
      </c>
      <c r="G103" s="272" t="s">
        <v>498</v>
      </c>
      <c r="H103" s="187"/>
      <c r="I103" s="376"/>
      <c r="J103" s="376"/>
      <c r="K103" s="376"/>
      <c r="L103" s="376"/>
      <c r="M103" s="376"/>
      <c r="N103" s="376"/>
      <c r="O103" s="376"/>
      <c r="P103" s="376"/>
      <c r="Q103" s="376"/>
      <c r="R103" s="376"/>
      <c r="S103" s="376"/>
      <c r="T103" s="376"/>
      <c r="U103" s="376"/>
      <c r="V103" s="376"/>
      <c r="W103" s="376"/>
      <c r="X103" s="220">
        <f t="shared" ref="X103:X134" si="4">SUM(H103:W103)</f>
        <v>0</v>
      </c>
    </row>
    <row r="104" spans="1:24" s="257" customFormat="1" x14ac:dyDescent="0.2">
      <c r="A104" s="527"/>
      <c r="B104" s="271" t="s">
        <v>625</v>
      </c>
      <c r="C104" s="533"/>
      <c r="D104" s="533"/>
      <c r="E104" s="531"/>
      <c r="F104" s="610"/>
      <c r="G104" s="267">
        <v>2.5000000000000001E-3</v>
      </c>
      <c r="H104" s="181">
        <v>12.25</v>
      </c>
      <c r="I104" s="378"/>
      <c r="J104" s="378"/>
      <c r="K104" s="378"/>
      <c r="L104" s="378"/>
      <c r="M104" s="378"/>
      <c r="N104" s="378"/>
      <c r="O104" s="378"/>
      <c r="P104" s="377"/>
      <c r="Q104" s="377"/>
      <c r="R104" s="377"/>
      <c r="S104" s="377"/>
      <c r="T104" s="377"/>
      <c r="U104" s="377"/>
      <c r="V104" s="377"/>
      <c r="W104" s="377"/>
      <c r="X104" s="218">
        <f t="shared" si="4"/>
        <v>12.25</v>
      </c>
    </row>
    <row r="105" spans="1:24" s="257" customFormat="1" ht="12.75" customHeight="1" x14ac:dyDescent="0.2">
      <c r="A105" s="611">
        <v>50</v>
      </c>
      <c r="B105" s="270" t="s">
        <v>500</v>
      </c>
      <c r="C105" s="613" t="s">
        <v>624</v>
      </c>
      <c r="D105" s="613">
        <v>602</v>
      </c>
      <c r="E105" s="615">
        <v>28919.87</v>
      </c>
      <c r="F105" s="617" t="s">
        <v>623</v>
      </c>
      <c r="G105" s="269" t="s">
        <v>498</v>
      </c>
      <c r="H105" s="451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20">
        <f t="shared" si="4"/>
        <v>0</v>
      </c>
    </row>
    <row r="106" spans="1:24" s="257" customFormat="1" x14ac:dyDescent="0.2">
      <c r="A106" s="612"/>
      <c r="B106" s="268" t="s">
        <v>622</v>
      </c>
      <c r="C106" s="614"/>
      <c r="D106" s="614"/>
      <c r="E106" s="616"/>
      <c r="F106" s="618"/>
      <c r="G106" s="267">
        <v>2.5000000000000001E-3</v>
      </c>
      <c r="H106" s="450">
        <v>13.37</v>
      </c>
      <c r="I106" s="379"/>
      <c r="J106" s="379"/>
      <c r="K106" s="379"/>
      <c r="L106" s="379"/>
      <c r="M106" s="379"/>
      <c r="N106" s="379"/>
      <c r="O106" s="379"/>
      <c r="P106" s="379"/>
      <c r="Q106" s="282"/>
      <c r="R106" s="282"/>
      <c r="S106" s="282"/>
      <c r="T106" s="282"/>
      <c r="U106" s="282"/>
      <c r="V106" s="282"/>
      <c r="W106" s="282"/>
      <c r="X106" s="218">
        <f t="shared" si="4"/>
        <v>13.37</v>
      </c>
    </row>
    <row r="107" spans="1:24" s="257" customFormat="1" ht="12.75" customHeight="1" x14ac:dyDescent="0.2">
      <c r="A107" s="580">
        <v>51</v>
      </c>
      <c r="B107" s="225" t="s">
        <v>500</v>
      </c>
      <c r="C107" s="576" t="s">
        <v>621</v>
      </c>
      <c r="D107" s="576">
        <v>608</v>
      </c>
      <c r="E107" s="574">
        <v>8466400.9299999997</v>
      </c>
      <c r="F107" s="588" t="s">
        <v>620</v>
      </c>
      <c r="G107" s="261" t="s">
        <v>498</v>
      </c>
      <c r="H107" s="274"/>
      <c r="I107" s="274"/>
      <c r="J107" s="274"/>
      <c r="K107" s="274"/>
      <c r="L107" s="274"/>
      <c r="M107" s="274"/>
      <c r="N107" s="274"/>
      <c r="O107" s="274"/>
      <c r="P107" s="274"/>
      <c r="Q107" s="274"/>
      <c r="R107" s="274"/>
      <c r="S107" s="274"/>
      <c r="T107" s="274"/>
      <c r="U107" s="274"/>
      <c r="V107" s="274"/>
      <c r="W107" s="274"/>
      <c r="X107" s="193">
        <f t="shared" si="4"/>
        <v>0</v>
      </c>
    </row>
    <row r="108" spans="1:24" s="257" customFormat="1" x14ac:dyDescent="0.2">
      <c r="A108" s="581"/>
      <c r="B108" s="229" t="s">
        <v>619</v>
      </c>
      <c r="C108" s="577"/>
      <c r="D108" s="577"/>
      <c r="E108" s="575"/>
      <c r="F108" s="589"/>
      <c r="G108" s="234">
        <v>2.5000000000000001E-3</v>
      </c>
      <c r="H108" s="266">
        <v>11859.79</v>
      </c>
      <c r="I108" s="273"/>
      <c r="J108" s="273"/>
      <c r="K108" s="273"/>
      <c r="L108" s="273"/>
      <c r="M108" s="273"/>
      <c r="N108" s="273"/>
      <c r="O108" s="273"/>
      <c r="P108" s="273"/>
      <c r="Q108" s="275"/>
      <c r="R108" s="275"/>
      <c r="S108" s="275"/>
      <c r="T108" s="275"/>
      <c r="U108" s="275"/>
      <c r="V108" s="275"/>
      <c r="W108" s="275"/>
      <c r="X108" s="191">
        <f t="shared" si="4"/>
        <v>11859.79</v>
      </c>
    </row>
    <row r="109" spans="1:24" s="257" customFormat="1" ht="12.75" customHeight="1" x14ac:dyDescent="0.2">
      <c r="A109" s="603">
        <v>52</v>
      </c>
      <c r="B109" s="238" t="s">
        <v>500</v>
      </c>
      <c r="C109" s="601" t="s">
        <v>618</v>
      </c>
      <c r="D109" s="601">
        <v>609</v>
      </c>
      <c r="E109" s="599">
        <v>351453.61</v>
      </c>
      <c r="F109" s="595" t="s">
        <v>617</v>
      </c>
      <c r="G109" s="258" t="s">
        <v>498</v>
      </c>
      <c r="H109" s="277"/>
      <c r="I109" s="277"/>
      <c r="J109" s="277"/>
      <c r="K109" s="277"/>
      <c r="L109" s="277"/>
      <c r="M109" s="277"/>
      <c r="N109" s="277"/>
      <c r="O109" s="277"/>
      <c r="P109" s="277"/>
      <c r="Q109" s="277"/>
      <c r="R109" s="277"/>
      <c r="S109" s="277"/>
      <c r="T109" s="277"/>
      <c r="U109" s="277"/>
      <c r="V109" s="277"/>
      <c r="W109" s="277"/>
      <c r="X109" s="193">
        <f t="shared" si="4"/>
        <v>0</v>
      </c>
    </row>
    <row r="110" spans="1:24" s="257" customFormat="1" x14ac:dyDescent="0.2">
      <c r="A110" s="604"/>
      <c r="B110" s="249" t="s">
        <v>616</v>
      </c>
      <c r="C110" s="602"/>
      <c r="D110" s="602"/>
      <c r="E110" s="600"/>
      <c r="F110" s="596"/>
      <c r="G110" s="234">
        <v>2.5000000000000001E-3</v>
      </c>
      <c r="H110" s="265">
        <v>393.69</v>
      </c>
      <c r="I110" s="276"/>
      <c r="J110" s="276"/>
      <c r="K110" s="276"/>
      <c r="L110" s="276"/>
      <c r="M110" s="276"/>
      <c r="N110" s="276"/>
      <c r="O110" s="276"/>
      <c r="P110" s="276"/>
      <c r="Q110" s="276"/>
      <c r="R110" s="375"/>
      <c r="S110" s="375"/>
      <c r="T110" s="375"/>
      <c r="U110" s="375"/>
      <c r="V110" s="375"/>
      <c r="W110" s="375"/>
      <c r="X110" s="191">
        <f t="shared" si="4"/>
        <v>393.69</v>
      </c>
    </row>
    <row r="111" spans="1:24" s="257" customFormat="1" ht="12.75" customHeight="1" x14ac:dyDescent="0.2">
      <c r="A111" s="580">
        <v>53</v>
      </c>
      <c r="B111" s="225" t="s">
        <v>500</v>
      </c>
      <c r="C111" s="576" t="s">
        <v>615</v>
      </c>
      <c r="D111" s="576">
        <v>607</v>
      </c>
      <c r="E111" s="574">
        <v>278882.87</v>
      </c>
      <c r="F111" s="588" t="s">
        <v>614</v>
      </c>
      <c r="G111" s="261" t="s">
        <v>498</v>
      </c>
      <c r="H111" s="260">
        <v>12396.06</v>
      </c>
      <c r="I111" s="274"/>
      <c r="J111" s="274"/>
      <c r="K111" s="274"/>
      <c r="L111" s="274"/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4"/>
      <c r="X111" s="193">
        <f t="shared" si="4"/>
        <v>12396.06</v>
      </c>
    </row>
    <row r="112" spans="1:24" s="257" customFormat="1" x14ac:dyDescent="0.2">
      <c r="A112" s="581"/>
      <c r="B112" s="229" t="s">
        <v>613</v>
      </c>
      <c r="C112" s="577"/>
      <c r="D112" s="577"/>
      <c r="E112" s="575"/>
      <c r="F112" s="589"/>
      <c r="G112" s="234">
        <v>2.5000000000000001E-3</v>
      </c>
      <c r="H112" s="266">
        <v>414.85</v>
      </c>
      <c r="I112" s="273"/>
      <c r="J112" s="273"/>
      <c r="K112" s="273"/>
      <c r="L112" s="273"/>
      <c r="M112" s="273"/>
      <c r="N112" s="273"/>
      <c r="O112" s="273"/>
      <c r="P112" s="273"/>
      <c r="Q112" s="275"/>
      <c r="R112" s="275"/>
      <c r="S112" s="275"/>
      <c r="T112" s="275"/>
      <c r="U112" s="275"/>
      <c r="V112" s="275"/>
      <c r="W112" s="275"/>
      <c r="X112" s="191">
        <f t="shared" si="4"/>
        <v>414.85</v>
      </c>
    </row>
    <row r="113" spans="1:24" s="257" customFormat="1" ht="12.75" customHeight="1" x14ac:dyDescent="0.2">
      <c r="A113" s="603">
        <v>54</v>
      </c>
      <c r="B113" s="238" t="s">
        <v>500</v>
      </c>
      <c r="C113" s="570" t="s">
        <v>612</v>
      </c>
      <c r="D113" s="601">
        <v>606</v>
      </c>
      <c r="E113" s="599">
        <v>3464498.58</v>
      </c>
      <c r="F113" s="595" t="s">
        <v>611</v>
      </c>
      <c r="G113" s="258" t="s">
        <v>498</v>
      </c>
      <c r="H113" s="263"/>
      <c r="I113" s="277"/>
      <c r="J113" s="277"/>
      <c r="K113" s="277"/>
      <c r="L113" s="277"/>
      <c r="M113" s="277"/>
      <c r="N113" s="277"/>
      <c r="O113" s="277"/>
      <c r="P113" s="277"/>
      <c r="Q113" s="277"/>
      <c r="R113" s="277"/>
      <c r="S113" s="277"/>
      <c r="T113" s="277"/>
      <c r="U113" s="277"/>
      <c r="V113" s="277"/>
      <c r="W113" s="277"/>
      <c r="X113" s="193">
        <f t="shared" si="4"/>
        <v>0</v>
      </c>
    </row>
    <row r="114" spans="1:24" s="257" customFormat="1" x14ac:dyDescent="0.2">
      <c r="A114" s="604"/>
      <c r="B114" s="249" t="s">
        <v>610</v>
      </c>
      <c r="C114" s="571"/>
      <c r="D114" s="602"/>
      <c r="E114" s="600"/>
      <c r="F114" s="596"/>
      <c r="G114" s="234">
        <v>2.5000000000000001E-3</v>
      </c>
      <c r="H114" s="265">
        <v>3950.76</v>
      </c>
      <c r="I114" s="276"/>
      <c r="J114" s="276"/>
      <c r="K114" s="276"/>
      <c r="L114" s="276"/>
      <c r="M114" s="276"/>
      <c r="N114" s="276"/>
      <c r="O114" s="276"/>
      <c r="P114" s="276"/>
      <c r="Q114" s="375"/>
      <c r="R114" s="375"/>
      <c r="S114" s="375"/>
      <c r="T114" s="375"/>
      <c r="U114" s="375"/>
      <c r="V114" s="375"/>
      <c r="W114" s="375"/>
      <c r="X114" s="191">
        <f t="shared" si="4"/>
        <v>3950.76</v>
      </c>
    </row>
    <row r="115" spans="1:24" s="257" customFormat="1" ht="12.75" customHeight="1" x14ac:dyDescent="0.2">
      <c r="A115" s="580">
        <v>55</v>
      </c>
      <c r="B115" s="225" t="s">
        <v>500</v>
      </c>
      <c r="C115" s="570" t="s">
        <v>609</v>
      </c>
      <c r="D115" s="576">
        <v>610</v>
      </c>
      <c r="E115" s="574">
        <v>115821.77</v>
      </c>
      <c r="F115" s="588" t="s">
        <v>608</v>
      </c>
      <c r="G115" s="261" t="s">
        <v>498</v>
      </c>
      <c r="H115" s="260">
        <v>2970.96</v>
      </c>
      <c r="I115" s="274"/>
      <c r="J115" s="274"/>
      <c r="K115" s="274"/>
      <c r="L115" s="274"/>
      <c r="M115" s="274"/>
      <c r="N115" s="274"/>
      <c r="O115" s="274"/>
      <c r="P115" s="274"/>
      <c r="Q115" s="274"/>
      <c r="R115" s="274"/>
      <c r="S115" s="274"/>
      <c r="T115" s="274"/>
      <c r="U115" s="274"/>
      <c r="V115" s="274"/>
      <c r="W115" s="274"/>
      <c r="X115" s="193">
        <f t="shared" si="4"/>
        <v>2970.96</v>
      </c>
    </row>
    <row r="116" spans="1:24" s="257" customFormat="1" x14ac:dyDescent="0.2">
      <c r="A116" s="581"/>
      <c r="B116" s="229" t="s">
        <v>607</v>
      </c>
      <c r="C116" s="571"/>
      <c r="D116" s="577"/>
      <c r="E116" s="575"/>
      <c r="F116" s="589"/>
      <c r="G116" s="234">
        <v>2.5000000000000001E-3</v>
      </c>
      <c r="H116" s="266">
        <v>176.97</v>
      </c>
      <c r="I116" s="273"/>
      <c r="J116" s="273"/>
      <c r="K116" s="273"/>
      <c r="L116" s="273"/>
      <c r="M116" s="273"/>
      <c r="N116" s="273"/>
      <c r="O116" s="273"/>
      <c r="P116" s="273"/>
      <c r="Q116" s="273"/>
      <c r="R116" s="273"/>
      <c r="S116" s="273"/>
      <c r="T116" s="273"/>
      <c r="U116" s="273"/>
      <c r="V116" s="273"/>
      <c r="W116" s="273"/>
      <c r="X116" s="191">
        <f t="shared" si="4"/>
        <v>176.97</v>
      </c>
    </row>
    <row r="117" spans="1:24" s="257" customFormat="1" ht="12.75" customHeight="1" x14ac:dyDescent="0.2">
      <c r="A117" s="603">
        <v>56</v>
      </c>
      <c r="B117" s="238" t="s">
        <v>500</v>
      </c>
      <c r="C117" s="570" t="s">
        <v>606</v>
      </c>
      <c r="D117" s="601">
        <v>611</v>
      </c>
      <c r="E117" s="599">
        <v>202299.65</v>
      </c>
      <c r="F117" s="595" t="s">
        <v>605</v>
      </c>
      <c r="G117" s="258" t="s">
        <v>498</v>
      </c>
      <c r="H117" s="263"/>
      <c r="I117" s="277"/>
      <c r="J117" s="277"/>
      <c r="K117" s="277"/>
      <c r="L117" s="277"/>
      <c r="M117" s="277"/>
      <c r="N117" s="277"/>
      <c r="O117" s="277"/>
      <c r="P117" s="277"/>
      <c r="Q117" s="277"/>
      <c r="R117" s="277"/>
      <c r="S117" s="277"/>
      <c r="T117" s="277"/>
      <c r="U117" s="277"/>
      <c r="V117" s="277"/>
      <c r="W117" s="380"/>
      <c r="X117" s="193">
        <f t="shared" si="4"/>
        <v>0</v>
      </c>
    </row>
    <row r="118" spans="1:24" s="257" customFormat="1" x14ac:dyDescent="0.2">
      <c r="A118" s="604"/>
      <c r="B118" s="249" t="s">
        <v>604</v>
      </c>
      <c r="C118" s="571"/>
      <c r="D118" s="602"/>
      <c r="E118" s="600"/>
      <c r="F118" s="596"/>
      <c r="G118" s="234">
        <v>2.5000000000000001E-3</v>
      </c>
      <c r="H118" s="265">
        <v>197.62</v>
      </c>
      <c r="I118" s="276"/>
      <c r="J118" s="276"/>
      <c r="K118" s="276"/>
      <c r="L118" s="276"/>
      <c r="M118" s="276"/>
      <c r="N118" s="276"/>
      <c r="O118" s="276"/>
      <c r="P118" s="276"/>
      <c r="Q118" s="276"/>
      <c r="R118" s="276"/>
      <c r="S118" s="276"/>
      <c r="T118" s="276"/>
      <c r="U118" s="276"/>
      <c r="V118" s="276"/>
      <c r="W118" s="381"/>
      <c r="X118" s="191">
        <f t="shared" si="4"/>
        <v>197.62</v>
      </c>
    </row>
    <row r="119" spans="1:24" s="257" customFormat="1" ht="12.75" customHeight="1" x14ac:dyDescent="0.2">
      <c r="A119" s="580">
        <v>57</v>
      </c>
      <c r="B119" s="225" t="s">
        <v>500</v>
      </c>
      <c r="C119" s="576" t="s">
        <v>603</v>
      </c>
      <c r="D119" s="576">
        <v>612</v>
      </c>
      <c r="E119" s="574">
        <v>836018.63</v>
      </c>
      <c r="F119" s="588" t="s">
        <v>602</v>
      </c>
      <c r="G119" s="261" t="s">
        <v>498</v>
      </c>
      <c r="H119" s="260">
        <v>13004</v>
      </c>
      <c r="I119" s="274"/>
      <c r="J119" s="274"/>
      <c r="K119" s="274"/>
      <c r="L119" s="274"/>
      <c r="M119" s="274"/>
      <c r="N119" s="274"/>
      <c r="O119" s="274"/>
      <c r="P119" s="274"/>
      <c r="Q119" s="274"/>
      <c r="R119" s="274"/>
      <c r="S119" s="274"/>
      <c r="T119" s="274"/>
      <c r="U119" s="274"/>
      <c r="V119" s="274"/>
      <c r="W119" s="382"/>
      <c r="X119" s="193">
        <f t="shared" si="4"/>
        <v>13004</v>
      </c>
    </row>
    <row r="120" spans="1:24" s="257" customFormat="1" x14ac:dyDescent="0.2">
      <c r="A120" s="581"/>
      <c r="B120" s="229" t="s">
        <v>601</v>
      </c>
      <c r="C120" s="577"/>
      <c r="D120" s="577"/>
      <c r="E120" s="575"/>
      <c r="F120" s="589"/>
      <c r="G120" s="234">
        <v>2.5000000000000001E-3</v>
      </c>
      <c r="H120" s="266">
        <v>787.11</v>
      </c>
      <c r="I120" s="273"/>
      <c r="J120" s="273"/>
      <c r="K120" s="273"/>
      <c r="L120" s="273"/>
      <c r="M120" s="273"/>
      <c r="N120" s="273"/>
      <c r="O120" s="273"/>
      <c r="P120" s="273"/>
      <c r="Q120" s="273"/>
      <c r="R120" s="273"/>
      <c r="S120" s="273"/>
      <c r="T120" s="273"/>
      <c r="U120" s="273"/>
      <c r="V120" s="273"/>
      <c r="W120" s="383"/>
      <c r="X120" s="191">
        <f t="shared" si="4"/>
        <v>787.11</v>
      </c>
    </row>
    <row r="121" spans="1:24" s="257" customFormat="1" ht="12.75" customHeight="1" x14ac:dyDescent="0.2">
      <c r="A121" s="603">
        <v>58</v>
      </c>
      <c r="B121" s="238" t="s">
        <v>500</v>
      </c>
      <c r="C121" s="601" t="s">
        <v>600</v>
      </c>
      <c r="D121" s="601">
        <v>613</v>
      </c>
      <c r="E121" s="599">
        <v>375727.8</v>
      </c>
      <c r="F121" s="595" t="s">
        <v>599</v>
      </c>
      <c r="G121" s="258" t="s">
        <v>498</v>
      </c>
      <c r="H121" s="263"/>
      <c r="I121" s="277"/>
      <c r="J121" s="277"/>
      <c r="K121" s="277"/>
      <c r="L121" s="277"/>
      <c r="M121" s="277"/>
      <c r="N121" s="277"/>
      <c r="O121" s="277"/>
      <c r="P121" s="277"/>
      <c r="Q121" s="277"/>
      <c r="R121" s="277"/>
      <c r="S121" s="277"/>
      <c r="T121" s="277"/>
      <c r="U121" s="277"/>
      <c r="V121" s="277"/>
      <c r="W121" s="380"/>
      <c r="X121" s="193">
        <f t="shared" si="4"/>
        <v>0</v>
      </c>
    </row>
    <row r="122" spans="1:24" s="257" customFormat="1" x14ac:dyDescent="0.2">
      <c r="A122" s="604"/>
      <c r="B122" s="249" t="s">
        <v>598</v>
      </c>
      <c r="C122" s="602"/>
      <c r="D122" s="602"/>
      <c r="E122" s="600"/>
      <c r="F122" s="596"/>
      <c r="G122" s="234">
        <v>2.5000000000000001E-3</v>
      </c>
      <c r="H122" s="265">
        <v>509.83</v>
      </c>
      <c r="I122" s="276"/>
      <c r="J122" s="276"/>
      <c r="K122" s="276"/>
      <c r="L122" s="276"/>
      <c r="M122" s="276"/>
      <c r="N122" s="276"/>
      <c r="O122" s="276"/>
      <c r="P122" s="276"/>
      <c r="Q122" s="276"/>
      <c r="R122" s="276"/>
      <c r="S122" s="276"/>
      <c r="T122" s="276"/>
      <c r="U122" s="276"/>
      <c r="V122" s="276"/>
      <c r="W122" s="381"/>
      <c r="X122" s="191">
        <f t="shared" si="4"/>
        <v>509.83</v>
      </c>
    </row>
    <row r="123" spans="1:24" s="257" customFormat="1" ht="12.75" customHeight="1" x14ac:dyDescent="0.2">
      <c r="A123" s="580">
        <v>59</v>
      </c>
      <c r="B123" s="225" t="s">
        <v>500</v>
      </c>
      <c r="C123" s="576" t="s">
        <v>597</v>
      </c>
      <c r="D123" s="576">
        <v>614</v>
      </c>
      <c r="E123" s="574">
        <v>284574.36</v>
      </c>
      <c r="F123" s="588" t="s">
        <v>596</v>
      </c>
      <c r="G123" s="261" t="s">
        <v>498</v>
      </c>
      <c r="H123" s="260">
        <v>8249.82</v>
      </c>
      <c r="I123" s="274"/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382"/>
      <c r="X123" s="193">
        <f t="shared" si="4"/>
        <v>8249.82</v>
      </c>
    </row>
    <row r="124" spans="1:24" s="257" customFormat="1" x14ac:dyDescent="0.2">
      <c r="A124" s="581"/>
      <c r="B124" s="229" t="s">
        <v>595</v>
      </c>
      <c r="C124" s="577"/>
      <c r="D124" s="577"/>
      <c r="E124" s="575"/>
      <c r="F124" s="589"/>
      <c r="G124" s="234">
        <v>2.5000000000000001E-3</v>
      </c>
      <c r="H124" s="266">
        <v>499.43</v>
      </c>
      <c r="I124" s="273"/>
      <c r="J124" s="273"/>
      <c r="K124" s="273"/>
      <c r="L124" s="273"/>
      <c r="M124" s="273"/>
      <c r="N124" s="273"/>
      <c r="O124" s="273"/>
      <c r="P124" s="273"/>
      <c r="Q124" s="273"/>
      <c r="R124" s="273"/>
      <c r="S124" s="273"/>
      <c r="T124" s="273"/>
      <c r="U124" s="273"/>
      <c r="V124" s="273"/>
      <c r="W124" s="383"/>
      <c r="X124" s="191">
        <f t="shared" si="4"/>
        <v>499.43</v>
      </c>
    </row>
    <row r="125" spans="1:24" s="257" customFormat="1" ht="12.75" customHeight="1" x14ac:dyDescent="0.2">
      <c r="A125" s="603">
        <v>60</v>
      </c>
      <c r="B125" s="238" t="s">
        <v>500</v>
      </c>
      <c r="C125" s="601" t="s">
        <v>594</v>
      </c>
      <c r="D125" s="601">
        <v>615</v>
      </c>
      <c r="E125" s="599">
        <v>2902426.28</v>
      </c>
      <c r="F125" s="595" t="s">
        <v>593</v>
      </c>
      <c r="G125" s="258" t="s">
        <v>498</v>
      </c>
      <c r="H125" s="260">
        <v>10000</v>
      </c>
      <c r="I125" s="384"/>
      <c r="J125" s="384"/>
      <c r="K125" s="384"/>
      <c r="L125" s="384"/>
      <c r="M125" s="384"/>
      <c r="N125" s="384"/>
      <c r="O125" s="384"/>
      <c r="P125" s="384"/>
      <c r="Q125" s="384"/>
      <c r="R125" s="384"/>
      <c r="S125" s="384"/>
      <c r="T125" s="384"/>
      <c r="U125" s="384"/>
      <c r="V125" s="384"/>
      <c r="W125" s="382"/>
      <c r="X125" s="193">
        <f t="shared" si="4"/>
        <v>10000</v>
      </c>
    </row>
    <row r="126" spans="1:24" s="257" customFormat="1" x14ac:dyDescent="0.2">
      <c r="A126" s="604"/>
      <c r="B126" s="249" t="s">
        <v>592</v>
      </c>
      <c r="C126" s="602"/>
      <c r="D126" s="602"/>
      <c r="E126" s="600"/>
      <c r="F126" s="596"/>
      <c r="G126" s="234">
        <v>2.5000000000000001E-3</v>
      </c>
      <c r="H126" s="266">
        <v>3040.25</v>
      </c>
      <c r="I126" s="273"/>
      <c r="J126" s="273"/>
      <c r="K126" s="273"/>
      <c r="L126" s="273"/>
      <c r="M126" s="273"/>
      <c r="N126" s="273"/>
      <c r="O126" s="273"/>
      <c r="P126" s="273"/>
      <c r="Q126" s="273"/>
      <c r="R126" s="273"/>
      <c r="S126" s="273"/>
      <c r="T126" s="273"/>
      <c r="U126" s="273"/>
      <c r="V126" s="273"/>
      <c r="W126" s="383"/>
      <c r="X126" s="191">
        <f t="shared" si="4"/>
        <v>3040.25</v>
      </c>
    </row>
    <row r="127" spans="1:24" s="257" customFormat="1" ht="12.75" customHeight="1" x14ac:dyDescent="0.2">
      <c r="A127" s="580">
        <v>61</v>
      </c>
      <c r="B127" s="225" t="s">
        <v>500</v>
      </c>
      <c r="C127" s="576" t="s">
        <v>591</v>
      </c>
      <c r="D127" s="576">
        <v>616</v>
      </c>
      <c r="E127" s="574">
        <v>1166021.49</v>
      </c>
      <c r="F127" s="588" t="s">
        <v>590</v>
      </c>
      <c r="G127" s="261" t="s">
        <v>498</v>
      </c>
      <c r="H127" s="260">
        <v>32846</v>
      </c>
      <c r="I127" s="274"/>
      <c r="J127" s="274"/>
      <c r="K127" s="274"/>
      <c r="L127" s="274"/>
      <c r="M127" s="274"/>
      <c r="N127" s="274"/>
      <c r="O127" s="274"/>
      <c r="P127" s="274"/>
      <c r="Q127" s="274"/>
      <c r="R127" s="274"/>
      <c r="S127" s="274"/>
      <c r="T127" s="274"/>
      <c r="U127" s="274"/>
      <c r="V127" s="274"/>
      <c r="W127" s="382"/>
      <c r="X127" s="193">
        <f t="shared" si="4"/>
        <v>32846</v>
      </c>
    </row>
    <row r="128" spans="1:24" s="257" customFormat="1" x14ac:dyDescent="0.2">
      <c r="A128" s="581"/>
      <c r="B128" s="229" t="s">
        <v>589</v>
      </c>
      <c r="C128" s="577"/>
      <c r="D128" s="577"/>
      <c r="E128" s="575"/>
      <c r="F128" s="589"/>
      <c r="G128" s="234">
        <v>2.5000000000000001E-3</v>
      </c>
      <c r="H128" s="266">
        <v>2051.5100000000002</v>
      </c>
      <c r="I128" s="273"/>
      <c r="J128" s="273"/>
      <c r="K128" s="273"/>
      <c r="L128" s="273"/>
      <c r="M128" s="273"/>
      <c r="N128" s="273"/>
      <c r="O128" s="273"/>
      <c r="P128" s="273"/>
      <c r="Q128" s="273"/>
      <c r="R128" s="273"/>
      <c r="S128" s="273"/>
      <c r="T128" s="273"/>
      <c r="U128" s="273"/>
      <c r="V128" s="273"/>
      <c r="W128" s="383"/>
      <c r="X128" s="191">
        <f t="shared" si="4"/>
        <v>2051.5100000000002</v>
      </c>
    </row>
    <row r="129" spans="1:24" s="133" customFormat="1" ht="12.75" customHeight="1" x14ac:dyDescent="0.2">
      <c r="A129" s="580">
        <v>62</v>
      </c>
      <c r="B129" s="264" t="s">
        <v>500</v>
      </c>
      <c r="C129" s="590" t="s">
        <v>588</v>
      </c>
      <c r="D129" s="576">
        <v>617</v>
      </c>
      <c r="E129" s="574">
        <v>828989.55</v>
      </c>
      <c r="F129" s="605" t="s">
        <v>587</v>
      </c>
      <c r="G129" s="261" t="s">
        <v>498</v>
      </c>
      <c r="H129" s="263">
        <v>5102</v>
      </c>
      <c r="I129" s="277"/>
      <c r="J129" s="27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  <c r="U129" s="274"/>
      <c r="V129" s="274"/>
      <c r="W129" s="382"/>
      <c r="X129" s="193">
        <f t="shared" si="4"/>
        <v>5102</v>
      </c>
    </row>
    <row r="130" spans="1:24" s="133" customFormat="1" x14ac:dyDescent="0.2">
      <c r="A130" s="581"/>
      <c r="B130" s="262" t="s">
        <v>586</v>
      </c>
      <c r="C130" s="591"/>
      <c r="D130" s="577"/>
      <c r="E130" s="575"/>
      <c r="F130" s="606"/>
      <c r="G130" s="234">
        <v>2.5000000000000001E-3</v>
      </c>
      <c r="H130" s="265">
        <v>318.44</v>
      </c>
      <c r="I130" s="276"/>
      <c r="J130" s="273"/>
      <c r="K130" s="273"/>
      <c r="L130" s="273"/>
      <c r="M130" s="273"/>
      <c r="N130" s="273"/>
      <c r="O130" s="273"/>
      <c r="P130" s="273"/>
      <c r="Q130" s="273"/>
      <c r="R130" s="273"/>
      <c r="S130" s="273"/>
      <c r="T130" s="273"/>
      <c r="U130" s="273"/>
      <c r="V130" s="273"/>
      <c r="W130" s="383"/>
      <c r="X130" s="191">
        <f t="shared" si="4"/>
        <v>318.44</v>
      </c>
    </row>
    <row r="131" spans="1:24" s="133" customFormat="1" ht="12.75" customHeight="1" x14ac:dyDescent="0.2">
      <c r="A131" s="580">
        <v>63</v>
      </c>
      <c r="B131" s="225" t="s">
        <v>500</v>
      </c>
      <c r="C131" s="590" t="s">
        <v>585</v>
      </c>
      <c r="D131" s="576">
        <v>618</v>
      </c>
      <c r="E131" s="574">
        <v>1579220.53</v>
      </c>
      <c r="F131" s="605" t="s">
        <v>584</v>
      </c>
      <c r="G131" s="261" t="s">
        <v>498</v>
      </c>
      <c r="H131" s="255"/>
      <c r="I131" s="385"/>
      <c r="J131" s="386"/>
      <c r="K131" s="386"/>
      <c r="L131" s="386"/>
      <c r="M131" s="386"/>
      <c r="N131" s="386"/>
      <c r="O131" s="386"/>
      <c r="P131" s="386"/>
      <c r="Q131" s="386"/>
      <c r="R131" s="386"/>
      <c r="S131" s="386"/>
      <c r="T131" s="386"/>
      <c r="U131" s="386"/>
      <c r="V131" s="386"/>
      <c r="W131" s="387"/>
      <c r="X131" s="193">
        <f t="shared" si="4"/>
        <v>0</v>
      </c>
    </row>
    <row r="132" spans="1:24" s="133" customFormat="1" x14ac:dyDescent="0.2">
      <c r="A132" s="581"/>
      <c r="B132" s="229" t="s">
        <v>583</v>
      </c>
      <c r="C132" s="591"/>
      <c r="D132" s="577"/>
      <c r="E132" s="575"/>
      <c r="F132" s="606"/>
      <c r="G132" s="234">
        <v>2.5000000000000001E-3</v>
      </c>
      <c r="H132" s="452">
        <v>1182.52</v>
      </c>
      <c r="I132" s="388"/>
      <c r="J132" s="389"/>
      <c r="K132" s="389"/>
      <c r="L132" s="389"/>
      <c r="M132" s="389"/>
      <c r="N132" s="389"/>
      <c r="O132" s="389"/>
      <c r="P132" s="389"/>
      <c r="Q132" s="389"/>
      <c r="R132" s="389"/>
      <c r="S132" s="389"/>
      <c r="T132" s="389"/>
      <c r="U132" s="389"/>
      <c r="V132" s="389"/>
      <c r="W132" s="390"/>
      <c r="X132" s="191">
        <f t="shared" si="4"/>
        <v>1182.52</v>
      </c>
    </row>
    <row r="133" spans="1:24" s="133" customFormat="1" ht="12.75" customHeight="1" x14ac:dyDescent="0.2">
      <c r="A133" s="603">
        <v>64</v>
      </c>
      <c r="B133" s="238" t="s">
        <v>500</v>
      </c>
      <c r="C133" s="597" t="s">
        <v>582</v>
      </c>
      <c r="D133" s="601">
        <v>619</v>
      </c>
      <c r="E133" s="599">
        <v>459602.93</v>
      </c>
      <c r="F133" s="607" t="s">
        <v>581</v>
      </c>
      <c r="G133" s="258" t="s">
        <v>498</v>
      </c>
      <c r="H133" s="453"/>
      <c r="I133" s="391"/>
      <c r="J133" s="392"/>
      <c r="K133" s="392"/>
      <c r="L133" s="392"/>
      <c r="M133" s="392"/>
      <c r="N133" s="392"/>
      <c r="O133" s="392"/>
      <c r="P133" s="392"/>
      <c r="Q133" s="392"/>
      <c r="R133" s="392"/>
      <c r="S133" s="392"/>
      <c r="T133" s="392"/>
      <c r="U133" s="392"/>
      <c r="V133" s="392"/>
      <c r="W133" s="393"/>
      <c r="X133" s="193">
        <f t="shared" si="4"/>
        <v>0</v>
      </c>
    </row>
    <row r="134" spans="1:24" s="133" customFormat="1" x14ac:dyDescent="0.2">
      <c r="A134" s="604"/>
      <c r="B134" s="249" t="s">
        <v>580</v>
      </c>
      <c r="C134" s="598"/>
      <c r="D134" s="602"/>
      <c r="E134" s="600"/>
      <c r="F134" s="608"/>
      <c r="G134" s="234">
        <v>2.5000000000000001E-3</v>
      </c>
      <c r="H134" s="454">
        <v>474.1</v>
      </c>
      <c r="I134" s="394"/>
      <c r="J134" s="395"/>
      <c r="K134" s="395"/>
      <c r="L134" s="395"/>
      <c r="M134" s="395"/>
      <c r="N134" s="395"/>
      <c r="O134" s="395"/>
      <c r="P134" s="395"/>
      <c r="Q134" s="395"/>
      <c r="R134" s="395"/>
      <c r="S134" s="395"/>
      <c r="T134" s="395"/>
      <c r="U134" s="395"/>
      <c r="V134" s="395"/>
      <c r="W134" s="396"/>
      <c r="X134" s="191">
        <f t="shared" si="4"/>
        <v>474.1</v>
      </c>
    </row>
    <row r="135" spans="1:24" s="133" customFormat="1" ht="12.75" customHeight="1" x14ac:dyDescent="0.2">
      <c r="A135" s="580">
        <v>65</v>
      </c>
      <c r="B135" s="225" t="s">
        <v>500</v>
      </c>
      <c r="C135" s="590" t="s">
        <v>579</v>
      </c>
      <c r="D135" s="576">
        <v>621</v>
      </c>
      <c r="E135" s="574">
        <v>6577048</v>
      </c>
      <c r="F135" s="605" t="s">
        <v>578</v>
      </c>
      <c r="G135" s="261" t="s">
        <v>498</v>
      </c>
      <c r="H135" s="455">
        <v>50000</v>
      </c>
      <c r="I135" s="397"/>
      <c r="J135" s="397"/>
      <c r="K135" s="397"/>
      <c r="L135" s="397"/>
      <c r="M135" s="397"/>
      <c r="N135" s="397"/>
      <c r="O135" s="397"/>
      <c r="P135" s="397"/>
      <c r="Q135" s="397"/>
      <c r="R135" s="397"/>
      <c r="S135" s="397"/>
      <c r="T135" s="397"/>
      <c r="U135" s="397"/>
      <c r="V135" s="397"/>
      <c r="W135" s="398"/>
      <c r="X135" s="193">
        <f t="shared" ref="X135:X168" si="5">SUM(H135:W135)</f>
        <v>50000</v>
      </c>
    </row>
    <row r="136" spans="1:24" s="133" customFormat="1" x14ac:dyDescent="0.2">
      <c r="A136" s="581"/>
      <c r="B136" s="229" t="s">
        <v>577</v>
      </c>
      <c r="C136" s="591"/>
      <c r="D136" s="577"/>
      <c r="E136" s="575"/>
      <c r="F136" s="606"/>
      <c r="G136" s="234">
        <v>2.5000000000000001E-3</v>
      </c>
      <c r="H136" s="456">
        <v>7249.2</v>
      </c>
      <c r="I136" s="399"/>
      <c r="J136" s="399"/>
      <c r="K136" s="399"/>
      <c r="L136" s="399"/>
      <c r="M136" s="399"/>
      <c r="N136" s="399"/>
      <c r="O136" s="399"/>
      <c r="P136" s="399"/>
      <c r="Q136" s="399"/>
      <c r="R136" s="399"/>
      <c r="S136" s="399"/>
      <c r="T136" s="399"/>
      <c r="U136" s="399"/>
      <c r="V136" s="399"/>
      <c r="W136" s="400"/>
      <c r="X136" s="191">
        <f t="shared" si="5"/>
        <v>7249.2</v>
      </c>
    </row>
    <row r="137" spans="1:24" s="133" customFormat="1" ht="12.75" customHeight="1" x14ac:dyDescent="0.2">
      <c r="A137" s="603">
        <v>66</v>
      </c>
      <c r="B137" s="238" t="s">
        <v>500</v>
      </c>
      <c r="C137" s="597" t="s">
        <v>576</v>
      </c>
      <c r="D137" s="601">
        <v>622</v>
      </c>
      <c r="E137" s="599">
        <v>561890</v>
      </c>
      <c r="F137" s="607" t="s">
        <v>575</v>
      </c>
      <c r="G137" s="258" t="s">
        <v>498</v>
      </c>
      <c r="H137" s="453">
        <v>16054</v>
      </c>
      <c r="I137" s="401"/>
      <c r="J137" s="402"/>
      <c r="K137" s="402"/>
      <c r="L137" s="402"/>
      <c r="M137" s="402"/>
      <c r="N137" s="402"/>
      <c r="O137" s="402"/>
      <c r="P137" s="402"/>
      <c r="Q137" s="402"/>
      <c r="R137" s="402"/>
      <c r="S137" s="402"/>
      <c r="T137" s="402"/>
      <c r="U137" s="402"/>
      <c r="V137" s="402"/>
      <c r="W137" s="403"/>
      <c r="X137" s="193">
        <f t="shared" si="5"/>
        <v>16054</v>
      </c>
    </row>
    <row r="138" spans="1:24" s="133" customFormat="1" x14ac:dyDescent="0.2">
      <c r="A138" s="604"/>
      <c r="B138" s="249" t="s">
        <v>574</v>
      </c>
      <c r="C138" s="598"/>
      <c r="D138" s="602"/>
      <c r="E138" s="600"/>
      <c r="F138" s="608"/>
      <c r="G138" s="234">
        <v>2.5000000000000001E-3</v>
      </c>
      <c r="H138" s="454">
        <v>1018.22</v>
      </c>
      <c r="I138" s="404"/>
      <c r="J138" s="405"/>
      <c r="K138" s="405"/>
      <c r="L138" s="405"/>
      <c r="M138" s="405"/>
      <c r="N138" s="405"/>
      <c r="O138" s="405"/>
      <c r="P138" s="405"/>
      <c r="Q138" s="405"/>
      <c r="R138" s="405"/>
      <c r="S138" s="405"/>
      <c r="T138" s="405"/>
      <c r="U138" s="405"/>
      <c r="V138" s="405"/>
      <c r="W138" s="406"/>
      <c r="X138" s="191">
        <f t="shared" si="5"/>
        <v>1018.22</v>
      </c>
    </row>
    <row r="139" spans="1:24" s="257" customFormat="1" ht="12.75" customHeight="1" x14ac:dyDescent="0.2">
      <c r="A139" s="580">
        <v>67</v>
      </c>
      <c r="B139" s="225" t="s">
        <v>500</v>
      </c>
      <c r="C139" s="576" t="s">
        <v>573</v>
      </c>
      <c r="D139" s="576">
        <v>623</v>
      </c>
      <c r="E139" s="574">
        <v>483802.31</v>
      </c>
      <c r="F139" s="588" t="s">
        <v>572</v>
      </c>
      <c r="G139" s="261" t="s">
        <v>498</v>
      </c>
      <c r="H139" s="260">
        <v>13630</v>
      </c>
      <c r="I139" s="274"/>
      <c r="J139" s="274"/>
      <c r="K139" s="274"/>
      <c r="L139" s="274"/>
      <c r="M139" s="274"/>
      <c r="N139" s="274"/>
      <c r="O139" s="274"/>
      <c r="P139" s="274"/>
      <c r="Q139" s="274"/>
      <c r="R139" s="274"/>
      <c r="S139" s="274"/>
      <c r="T139" s="274"/>
      <c r="U139" s="274"/>
      <c r="V139" s="274"/>
      <c r="W139" s="382"/>
      <c r="X139" s="193">
        <f t="shared" si="5"/>
        <v>13630</v>
      </c>
    </row>
    <row r="140" spans="1:24" s="257" customFormat="1" x14ac:dyDescent="0.2">
      <c r="A140" s="581"/>
      <c r="B140" s="229" t="s">
        <v>571</v>
      </c>
      <c r="C140" s="577"/>
      <c r="D140" s="577"/>
      <c r="E140" s="575"/>
      <c r="F140" s="589"/>
      <c r="G140" s="234">
        <v>2.5000000000000001E-3</v>
      </c>
      <c r="H140" s="266">
        <v>877.63</v>
      </c>
      <c r="I140" s="273"/>
      <c r="J140" s="273"/>
      <c r="K140" s="273"/>
      <c r="L140" s="273"/>
      <c r="M140" s="273"/>
      <c r="N140" s="273"/>
      <c r="O140" s="273"/>
      <c r="P140" s="273"/>
      <c r="Q140" s="273"/>
      <c r="R140" s="273"/>
      <c r="S140" s="273"/>
      <c r="T140" s="273"/>
      <c r="U140" s="273"/>
      <c r="V140" s="273"/>
      <c r="W140" s="383"/>
      <c r="X140" s="191">
        <f t="shared" si="5"/>
        <v>877.63</v>
      </c>
    </row>
    <row r="141" spans="1:24" s="257" customFormat="1" ht="12.75" customHeight="1" x14ac:dyDescent="0.2">
      <c r="A141" s="580">
        <v>68</v>
      </c>
      <c r="B141" s="225" t="s">
        <v>500</v>
      </c>
      <c r="C141" s="576" t="s">
        <v>570</v>
      </c>
      <c r="D141" s="576" t="s">
        <v>569</v>
      </c>
      <c r="E141" s="574">
        <v>177632.15</v>
      </c>
      <c r="F141" s="588" t="s">
        <v>568</v>
      </c>
      <c r="G141" s="261" t="s">
        <v>498</v>
      </c>
      <c r="H141" s="260">
        <v>5004</v>
      </c>
      <c r="I141" s="274"/>
      <c r="J141" s="274"/>
      <c r="K141" s="274"/>
      <c r="L141" s="274"/>
      <c r="M141" s="274"/>
      <c r="N141" s="274"/>
      <c r="O141" s="274"/>
      <c r="P141" s="274"/>
      <c r="Q141" s="274"/>
      <c r="R141" s="274"/>
      <c r="S141" s="274"/>
      <c r="T141" s="274"/>
      <c r="U141" s="274"/>
      <c r="V141" s="274"/>
      <c r="W141" s="382"/>
      <c r="X141" s="193">
        <f t="shared" si="5"/>
        <v>5004</v>
      </c>
    </row>
    <row r="142" spans="1:24" s="257" customFormat="1" x14ac:dyDescent="0.2">
      <c r="A142" s="581"/>
      <c r="B142" s="229" t="s">
        <v>567</v>
      </c>
      <c r="C142" s="577"/>
      <c r="D142" s="577"/>
      <c r="E142" s="575"/>
      <c r="F142" s="589"/>
      <c r="G142" s="234">
        <v>2.5000000000000001E-3</v>
      </c>
      <c r="H142" s="266">
        <v>322.22000000000003</v>
      </c>
      <c r="I142" s="273"/>
      <c r="J142" s="273"/>
      <c r="K142" s="273"/>
      <c r="L142" s="273"/>
      <c r="M142" s="273"/>
      <c r="N142" s="273"/>
      <c r="O142" s="273"/>
      <c r="P142" s="273"/>
      <c r="Q142" s="273"/>
      <c r="R142" s="273"/>
      <c r="S142" s="273"/>
      <c r="T142" s="273"/>
      <c r="U142" s="273"/>
      <c r="V142" s="273"/>
      <c r="W142" s="383"/>
      <c r="X142" s="191">
        <f t="shared" si="5"/>
        <v>322.22000000000003</v>
      </c>
    </row>
    <row r="143" spans="1:24" s="257" customFormat="1" ht="15" customHeight="1" x14ac:dyDescent="0.2">
      <c r="A143" s="603">
        <v>69</v>
      </c>
      <c r="B143" s="238" t="s">
        <v>500</v>
      </c>
      <c r="C143" s="601" t="s">
        <v>561</v>
      </c>
      <c r="D143" s="601">
        <v>626</v>
      </c>
      <c r="E143" s="599">
        <v>658464</v>
      </c>
      <c r="F143" s="595" t="s">
        <v>566</v>
      </c>
      <c r="G143" s="258" t="s">
        <v>498</v>
      </c>
      <c r="H143" s="263">
        <v>19086</v>
      </c>
      <c r="I143" s="407"/>
      <c r="J143" s="407"/>
      <c r="K143" s="407"/>
      <c r="L143" s="407"/>
      <c r="M143" s="407"/>
      <c r="N143" s="407"/>
      <c r="O143" s="407"/>
      <c r="P143" s="407"/>
      <c r="Q143" s="407"/>
      <c r="R143" s="407"/>
      <c r="S143" s="407"/>
      <c r="T143" s="407"/>
      <c r="U143" s="407"/>
      <c r="V143" s="407"/>
      <c r="W143" s="408"/>
      <c r="X143" s="193">
        <f t="shared" si="5"/>
        <v>19086</v>
      </c>
    </row>
    <row r="144" spans="1:24" s="257" customFormat="1" x14ac:dyDescent="0.2">
      <c r="A144" s="604"/>
      <c r="B144" s="249" t="s">
        <v>565</v>
      </c>
      <c r="C144" s="602"/>
      <c r="D144" s="602"/>
      <c r="E144" s="600"/>
      <c r="F144" s="596"/>
      <c r="G144" s="234">
        <v>2.5000000000000001E-3</v>
      </c>
      <c r="H144" s="265">
        <v>1228.92</v>
      </c>
      <c r="I144" s="276"/>
      <c r="J144" s="276"/>
      <c r="K144" s="276"/>
      <c r="L144" s="276"/>
      <c r="M144" s="276"/>
      <c r="N144" s="276"/>
      <c r="O144" s="276"/>
      <c r="P144" s="276"/>
      <c r="Q144" s="276"/>
      <c r="R144" s="276"/>
      <c r="S144" s="276"/>
      <c r="T144" s="276"/>
      <c r="U144" s="276"/>
      <c r="V144" s="276"/>
      <c r="W144" s="381"/>
      <c r="X144" s="191">
        <f t="shared" si="5"/>
        <v>1228.92</v>
      </c>
    </row>
    <row r="145" spans="1:24" s="133" customFormat="1" ht="12.75" customHeight="1" x14ac:dyDescent="0.2">
      <c r="A145" s="580">
        <v>70</v>
      </c>
      <c r="B145" s="225" t="s">
        <v>500</v>
      </c>
      <c r="C145" s="590" t="s">
        <v>564</v>
      </c>
      <c r="D145" s="576">
        <v>627</v>
      </c>
      <c r="E145" s="574">
        <v>401001</v>
      </c>
      <c r="F145" s="588" t="s">
        <v>563</v>
      </c>
      <c r="G145" s="237" t="s">
        <v>498</v>
      </c>
      <c r="H145" s="255">
        <v>11458</v>
      </c>
      <c r="I145" s="385"/>
      <c r="J145" s="386"/>
      <c r="K145" s="386"/>
      <c r="L145" s="386"/>
      <c r="M145" s="386"/>
      <c r="N145" s="386"/>
      <c r="O145" s="386"/>
      <c r="P145" s="386"/>
      <c r="Q145" s="386"/>
      <c r="R145" s="386"/>
      <c r="S145" s="386"/>
      <c r="T145" s="386"/>
      <c r="U145" s="386"/>
      <c r="V145" s="386"/>
      <c r="W145" s="387"/>
      <c r="X145" s="193">
        <f t="shared" si="5"/>
        <v>11458</v>
      </c>
    </row>
    <row r="146" spans="1:24" s="133" customFormat="1" x14ac:dyDescent="0.2">
      <c r="A146" s="581"/>
      <c r="B146" s="229" t="s">
        <v>562</v>
      </c>
      <c r="C146" s="591"/>
      <c r="D146" s="577"/>
      <c r="E146" s="575"/>
      <c r="F146" s="589"/>
      <c r="G146" s="234">
        <v>2.5000000000000001E-3</v>
      </c>
      <c r="H146" s="452">
        <v>748.83</v>
      </c>
      <c r="I146" s="388"/>
      <c r="J146" s="389"/>
      <c r="K146" s="389"/>
      <c r="L146" s="389"/>
      <c r="M146" s="389"/>
      <c r="N146" s="389"/>
      <c r="O146" s="389"/>
      <c r="P146" s="389"/>
      <c r="Q146" s="389"/>
      <c r="R146" s="389"/>
      <c r="S146" s="389"/>
      <c r="T146" s="389"/>
      <c r="U146" s="389"/>
      <c r="V146" s="389"/>
      <c r="W146" s="390"/>
      <c r="X146" s="191">
        <f t="shared" si="5"/>
        <v>748.83</v>
      </c>
    </row>
    <row r="147" spans="1:24" s="133" customFormat="1" x14ac:dyDescent="0.2">
      <c r="A147" s="580">
        <v>71</v>
      </c>
      <c r="B147" s="441" t="s">
        <v>500</v>
      </c>
      <c r="C147" s="590" t="s">
        <v>967</v>
      </c>
      <c r="D147" s="576">
        <v>648</v>
      </c>
      <c r="E147" s="574">
        <v>45201391.5</v>
      </c>
      <c r="F147" s="588" t="s">
        <v>968</v>
      </c>
      <c r="G147" s="237" t="s">
        <v>498</v>
      </c>
      <c r="H147" s="255">
        <v>2436943.5</v>
      </c>
      <c r="I147" s="227">
        <f>1277226*4</f>
        <v>5108904</v>
      </c>
      <c r="J147" s="227">
        <v>5489516</v>
      </c>
      <c r="K147" s="227">
        <v>5307920</v>
      </c>
      <c r="L147" s="227">
        <v>4563372</v>
      </c>
      <c r="M147" s="227">
        <v>4178496</v>
      </c>
      <c r="N147" s="227">
        <v>3888532</v>
      </c>
      <c r="O147" s="227">
        <v>3795232</v>
      </c>
      <c r="P147" s="227">
        <v>3470364</v>
      </c>
      <c r="Q147" s="227">
        <v>1653540</v>
      </c>
      <c r="R147" s="227">
        <v>1134524</v>
      </c>
      <c r="S147" s="227">
        <v>936532</v>
      </c>
      <c r="T147" s="227">
        <v>747604</v>
      </c>
      <c r="U147" s="227">
        <v>747604</v>
      </c>
      <c r="V147" s="227">
        <v>747604</v>
      </c>
      <c r="W147" s="253">
        <v>994704</v>
      </c>
      <c r="X147" s="193">
        <f t="shared" ref="X147:X148" si="6">SUM(H147:W147)</f>
        <v>45201391.5</v>
      </c>
    </row>
    <row r="148" spans="1:24" s="133" customFormat="1" x14ac:dyDescent="0.2">
      <c r="A148" s="581"/>
      <c r="B148" s="442" t="s">
        <v>966</v>
      </c>
      <c r="C148" s="591"/>
      <c r="D148" s="577"/>
      <c r="E148" s="575"/>
      <c r="F148" s="589"/>
      <c r="G148" s="234">
        <v>2.5000000000000001E-3</v>
      </c>
      <c r="H148" s="452">
        <v>27178.22</v>
      </c>
      <c r="I148" s="226">
        <v>121730</v>
      </c>
      <c r="J148" s="226">
        <v>149620</v>
      </c>
      <c r="K148" s="226">
        <v>127175</v>
      </c>
      <c r="L148" s="226">
        <v>106240</v>
      </c>
      <c r="M148" s="226">
        <v>87895</v>
      </c>
      <c r="N148" s="226">
        <v>71310</v>
      </c>
      <c r="O148" s="226">
        <v>55355</v>
      </c>
      <c r="P148" s="226">
        <v>40215</v>
      </c>
      <c r="Q148" s="226">
        <v>27615</v>
      </c>
      <c r="R148" s="226">
        <v>21000</v>
      </c>
      <c r="S148" s="226">
        <v>16390</v>
      </c>
      <c r="T148" s="226">
        <v>12710</v>
      </c>
      <c r="U148" s="226">
        <v>9635</v>
      </c>
      <c r="V148" s="226">
        <v>6620</v>
      </c>
      <c r="W148" s="252">
        <v>4685</v>
      </c>
      <c r="X148" s="191">
        <f t="shared" si="6"/>
        <v>885373.22</v>
      </c>
    </row>
    <row r="149" spans="1:24" s="133" customFormat="1" ht="12.75" customHeight="1" x14ac:dyDescent="0.2">
      <c r="A149" s="580">
        <v>72</v>
      </c>
      <c r="B149" s="238" t="s">
        <v>500</v>
      </c>
      <c r="C149" s="597" t="s">
        <v>561</v>
      </c>
      <c r="D149" s="601">
        <v>628</v>
      </c>
      <c r="E149" s="599">
        <v>119421</v>
      </c>
      <c r="F149" s="631" t="s">
        <v>560</v>
      </c>
      <c r="G149" s="256" t="s">
        <v>498</v>
      </c>
      <c r="H149" s="453">
        <v>6728</v>
      </c>
      <c r="I149" s="470">
        <v>6728</v>
      </c>
      <c r="J149" s="420">
        <v>6728</v>
      </c>
      <c r="K149" s="420">
        <v>6728</v>
      </c>
      <c r="L149" s="420">
        <v>6728</v>
      </c>
      <c r="M149" s="420">
        <v>6728</v>
      </c>
      <c r="N149" s="420">
        <v>6728</v>
      </c>
      <c r="O149" s="420">
        <v>6728</v>
      </c>
      <c r="P149" s="420">
        <v>6728</v>
      </c>
      <c r="Q149" s="421">
        <v>6728</v>
      </c>
      <c r="R149" s="420">
        <v>6728</v>
      </c>
      <c r="S149" s="420">
        <v>6728</v>
      </c>
      <c r="T149" s="420">
        <v>6728</v>
      </c>
      <c r="U149" s="420">
        <v>6728</v>
      </c>
      <c r="V149" s="420">
        <v>6728</v>
      </c>
      <c r="W149" s="243">
        <v>15138</v>
      </c>
      <c r="X149" s="193">
        <f t="shared" si="5"/>
        <v>116058</v>
      </c>
    </row>
    <row r="150" spans="1:24" s="133" customFormat="1" x14ac:dyDescent="0.2">
      <c r="A150" s="581"/>
      <c r="B150" s="249" t="s">
        <v>559</v>
      </c>
      <c r="C150" s="598"/>
      <c r="D150" s="602"/>
      <c r="E150" s="600"/>
      <c r="F150" s="596"/>
      <c r="G150" s="234">
        <v>2.5000000000000001E-3</v>
      </c>
      <c r="H150" s="454">
        <v>290.98</v>
      </c>
      <c r="I150" s="471">
        <v>400</v>
      </c>
      <c r="J150" s="422">
        <v>415</v>
      </c>
      <c r="K150" s="422">
        <v>385</v>
      </c>
      <c r="L150" s="422">
        <v>360</v>
      </c>
      <c r="M150" s="422">
        <v>335</v>
      </c>
      <c r="N150" s="422">
        <v>305</v>
      </c>
      <c r="O150" s="422">
        <v>280</v>
      </c>
      <c r="P150" s="422">
        <v>250</v>
      </c>
      <c r="Q150" s="242">
        <v>225</v>
      </c>
      <c r="R150" s="422">
        <v>195</v>
      </c>
      <c r="S150" s="422">
        <v>170</v>
      </c>
      <c r="T150" s="422">
        <v>140</v>
      </c>
      <c r="U150" s="422">
        <v>115</v>
      </c>
      <c r="V150" s="422">
        <v>85</v>
      </c>
      <c r="W150" s="241">
        <v>95</v>
      </c>
      <c r="X150" s="191">
        <f t="shared" si="5"/>
        <v>4045.98</v>
      </c>
    </row>
    <row r="151" spans="1:24" s="133" customFormat="1" ht="12.75" customHeight="1" x14ac:dyDescent="0.2">
      <c r="A151" s="580">
        <v>73</v>
      </c>
      <c r="B151" s="225" t="s">
        <v>500</v>
      </c>
      <c r="C151" s="590" t="s">
        <v>558</v>
      </c>
      <c r="D151" s="576">
        <v>629</v>
      </c>
      <c r="E151" s="574">
        <v>463710</v>
      </c>
      <c r="F151" s="588" t="s">
        <v>557</v>
      </c>
      <c r="G151" s="237" t="s">
        <v>498</v>
      </c>
      <c r="H151" s="255">
        <v>11835.18</v>
      </c>
      <c r="I151" s="255">
        <v>25412</v>
      </c>
      <c r="J151" s="423">
        <v>25412</v>
      </c>
      <c r="K151" s="423">
        <v>25412</v>
      </c>
      <c r="L151" s="423">
        <v>25412</v>
      </c>
      <c r="M151" s="423">
        <v>25412</v>
      </c>
      <c r="N151" s="423">
        <v>25412</v>
      </c>
      <c r="O151" s="423">
        <v>25412</v>
      </c>
      <c r="P151" s="423">
        <v>25412</v>
      </c>
      <c r="Q151" s="254">
        <v>25412</v>
      </c>
      <c r="R151" s="423">
        <v>25412</v>
      </c>
      <c r="S151" s="423">
        <v>25412</v>
      </c>
      <c r="T151" s="423">
        <v>25412</v>
      </c>
      <c r="U151" s="423">
        <v>25412</v>
      </c>
      <c r="V151" s="423">
        <v>25412</v>
      </c>
      <c r="W151" s="253">
        <v>57177</v>
      </c>
      <c r="X151" s="193">
        <f t="shared" si="5"/>
        <v>424780.18</v>
      </c>
    </row>
    <row r="152" spans="1:24" s="133" customFormat="1" x14ac:dyDescent="0.2">
      <c r="A152" s="581"/>
      <c r="B152" s="229" t="s">
        <v>556</v>
      </c>
      <c r="C152" s="591"/>
      <c r="D152" s="577"/>
      <c r="E152" s="575"/>
      <c r="F152" s="589"/>
      <c r="G152" s="234">
        <v>2.5000000000000001E-3</v>
      </c>
      <c r="H152" s="452">
        <v>1076.06</v>
      </c>
      <c r="I152" s="226">
        <v>1500</v>
      </c>
      <c r="J152" s="424">
        <v>1565</v>
      </c>
      <c r="K152" s="424">
        <v>1455</v>
      </c>
      <c r="L152" s="424">
        <v>1350</v>
      </c>
      <c r="M152" s="424">
        <v>1250</v>
      </c>
      <c r="N152" s="424">
        <v>1150</v>
      </c>
      <c r="O152" s="424">
        <v>1045</v>
      </c>
      <c r="P152" s="424">
        <v>940</v>
      </c>
      <c r="Q152" s="228">
        <v>835</v>
      </c>
      <c r="R152" s="424">
        <v>735</v>
      </c>
      <c r="S152" s="424">
        <v>630</v>
      </c>
      <c r="T152" s="424">
        <v>530</v>
      </c>
      <c r="U152" s="424">
        <v>425</v>
      </c>
      <c r="V152" s="424">
        <v>320</v>
      </c>
      <c r="W152" s="252">
        <v>350</v>
      </c>
      <c r="X152" s="191">
        <f t="shared" si="5"/>
        <v>15156.06</v>
      </c>
    </row>
    <row r="153" spans="1:24" s="133" customFormat="1" ht="12.75" customHeight="1" x14ac:dyDescent="0.2">
      <c r="A153" s="580">
        <v>74</v>
      </c>
      <c r="B153" s="251" t="s">
        <v>500</v>
      </c>
      <c r="C153" s="597" t="s">
        <v>555</v>
      </c>
      <c r="D153" s="597">
        <v>630</v>
      </c>
      <c r="E153" s="599">
        <v>162998</v>
      </c>
      <c r="F153" s="595" t="s">
        <v>554</v>
      </c>
      <c r="G153" s="250" t="s">
        <v>498</v>
      </c>
      <c r="H153" s="457"/>
      <c r="I153" s="425"/>
      <c r="J153" s="425"/>
      <c r="K153" s="425"/>
      <c r="L153" s="425"/>
      <c r="M153" s="426">
        <v>968.39</v>
      </c>
      <c r="N153" s="426">
        <v>9316</v>
      </c>
      <c r="O153" s="426">
        <v>9316</v>
      </c>
      <c r="P153" s="426">
        <v>9316</v>
      </c>
      <c r="Q153" s="426">
        <v>9316</v>
      </c>
      <c r="R153" s="426">
        <v>9316</v>
      </c>
      <c r="S153" s="426">
        <v>9316</v>
      </c>
      <c r="T153" s="426">
        <v>9316</v>
      </c>
      <c r="U153" s="426">
        <v>9316</v>
      </c>
      <c r="V153" s="426">
        <v>9316</v>
      </c>
      <c r="W153" s="411">
        <v>23290</v>
      </c>
      <c r="X153" s="193">
        <f t="shared" si="5"/>
        <v>108102.39</v>
      </c>
    </row>
    <row r="154" spans="1:24" s="133" customFormat="1" x14ac:dyDescent="0.2">
      <c r="A154" s="581"/>
      <c r="B154" s="249" t="s">
        <v>553</v>
      </c>
      <c r="C154" s="598"/>
      <c r="D154" s="598"/>
      <c r="E154" s="600"/>
      <c r="F154" s="596"/>
      <c r="G154" s="234">
        <v>2.5000000000000001E-3</v>
      </c>
      <c r="H154" s="458">
        <v>274.01</v>
      </c>
      <c r="I154" s="248">
        <v>360</v>
      </c>
      <c r="J154" s="422">
        <v>440</v>
      </c>
      <c r="K154" s="248">
        <v>440</v>
      </c>
      <c r="L154" s="248">
        <v>440</v>
      </c>
      <c r="M154" s="248">
        <v>440</v>
      </c>
      <c r="N154" s="248">
        <v>430</v>
      </c>
      <c r="O154" s="248">
        <v>395</v>
      </c>
      <c r="P154" s="248">
        <v>355</v>
      </c>
      <c r="Q154" s="248">
        <v>320</v>
      </c>
      <c r="R154" s="248">
        <v>280</v>
      </c>
      <c r="S154" s="248">
        <v>240</v>
      </c>
      <c r="T154" s="248">
        <v>205</v>
      </c>
      <c r="U154" s="248">
        <v>165</v>
      </c>
      <c r="V154" s="248">
        <v>130</v>
      </c>
      <c r="W154" s="247">
        <v>150</v>
      </c>
      <c r="X154" s="191">
        <f t="shared" si="5"/>
        <v>5064.01</v>
      </c>
    </row>
    <row r="155" spans="1:24" s="133" customFormat="1" ht="12.75" customHeight="1" x14ac:dyDescent="0.2">
      <c r="A155" s="580">
        <v>75</v>
      </c>
      <c r="B155" s="225" t="s">
        <v>552</v>
      </c>
      <c r="C155" s="590" t="s">
        <v>551</v>
      </c>
      <c r="D155" s="590">
        <v>631</v>
      </c>
      <c r="E155" s="574">
        <v>89504</v>
      </c>
      <c r="F155" s="588" t="s">
        <v>550</v>
      </c>
      <c r="G155" s="237" t="s">
        <v>498</v>
      </c>
      <c r="H155" s="246">
        <v>5090</v>
      </c>
      <c r="I155" s="246">
        <v>5116</v>
      </c>
      <c r="J155" s="246">
        <v>5116</v>
      </c>
      <c r="K155" s="246">
        <v>5116</v>
      </c>
      <c r="L155" s="246">
        <v>5116</v>
      </c>
      <c r="M155" s="246">
        <v>5116</v>
      </c>
      <c r="N155" s="246">
        <v>5116</v>
      </c>
      <c r="O155" s="246">
        <v>5116</v>
      </c>
      <c r="P155" s="246">
        <v>5116</v>
      </c>
      <c r="Q155" s="246">
        <v>5116</v>
      </c>
      <c r="R155" s="246">
        <v>5116</v>
      </c>
      <c r="S155" s="246">
        <v>5116</v>
      </c>
      <c r="T155" s="246">
        <v>5116</v>
      </c>
      <c r="U155" s="246">
        <v>5116</v>
      </c>
      <c r="V155" s="246">
        <v>5116</v>
      </c>
      <c r="W155" s="245">
        <v>12789.76</v>
      </c>
      <c r="X155" s="193">
        <f t="shared" si="5"/>
        <v>89503.76</v>
      </c>
    </row>
    <row r="156" spans="1:24" s="133" customFormat="1" x14ac:dyDescent="0.2">
      <c r="A156" s="581"/>
      <c r="B156" s="229" t="s">
        <v>549</v>
      </c>
      <c r="C156" s="591"/>
      <c r="D156" s="591"/>
      <c r="E156" s="575"/>
      <c r="F156" s="589"/>
      <c r="G156" s="234">
        <v>2.5000000000000001E-3</v>
      </c>
      <c r="H156" s="459">
        <v>223.96</v>
      </c>
      <c r="I156" s="244">
        <v>275</v>
      </c>
      <c r="J156" s="424">
        <v>320</v>
      </c>
      <c r="K156" s="244">
        <v>300</v>
      </c>
      <c r="L156" s="244">
        <v>280</v>
      </c>
      <c r="M156" s="244">
        <v>260</v>
      </c>
      <c r="N156" s="244">
        <v>240</v>
      </c>
      <c r="O156" s="244">
        <v>215</v>
      </c>
      <c r="P156" s="244">
        <v>195</v>
      </c>
      <c r="Q156" s="244">
        <v>175</v>
      </c>
      <c r="R156" s="244">
        <v>155</v>
      </c>
      <c r="S156" s="244">
        <v>135</v>
      </c>
      <c r="T156" s="244">
        <v>115</v>
      </c>
      <c r="U156" s="244">
        <v>95</v>
      </c>
      <c r="V156" s="244">
        <v>70</v>
      </c>
      <c r="W156" s="244">
        <v>75</v>
      </c>
      <c r="X156" s="191">
        <f t="shared" si="5"/>
        <v>3128.96</v>
      </c>
    </row>
    <row r="157" spans="1:24" s="133" customFormat="1" ht="12.75" customHeight="1" x14ac:dyDescent="0.2">
      <c r="A157" s="580">
        <v>76</v>
      </c>
      <c r="B157" s="225" t="s">
        <v>500</v>
      </c>
      <c r="C157" s="597" t="s">
        <v>548</v>
      </c>
      <c r="D157" s="597">
        <v>632</v>
      </c>
      <c r="E157" s="599">
        <v>1331708.19</v>
      </c>
      <c r="F157" s="601" t="s">
        <v>547</v>
      </c>
      <c r="G157" s="237" t="s">
        <v>498</v>
      </c>
      <c r="H157" s="453">
        <v>2665.48</v>
      </c>
      <c r="I157" s="470">
        <v>4000</v>
      </c>
      <c r="J157" s="420">
        <v>4000</v>
      </c>
      <c r="K157" s="420">
        <v>4000</v>
      </c>
      <c r="L157" s="420">
        <v>20000</v>
      </c>
      <c r="M157" s="420">
        <v>20000</v>
      </c>
      <c r="N157" s="420">
        <v>20000</v>
      </c>
      <c r="O157" s="420">
        <v>20000</v>
      </c>
      <c r="P157" s="420">
        <v>50000</v>
      </c>
      <c r="Q157" s="421">
        <v>79000</v>
      </c>
      <c r="R157" s="420">
        <v>79000</v>
      </c>
      <c r="S157" s="420">
        <v>79000</v>
      </c>
      <c r="T157" s="420">
        <v>79000</v>
      </c>
      <c r="U157" s="420">
        <v>79000</v>
      </c>
      <c r="V157" s="427">
        <v>79000</v>
      </c>
      <c r="W157" s="243">
        <v>217250</v>
      </c>
      <c r="X157" s="193">
        <f t="shared" si="5"/>
        <v>835915.48</v>
      </c>
    </row>
    <row r="158" spans="1:24" s="133" customFormat="1" x14ac:dyDescent="0.2">
      <c r="A158" s="581"/>
      <c r="B158" s="229" t="s">
        <v>546</v>
      </c>
      <c r="C158" s="598"/>
      <c r="D158" s="598"/>
      <c r="E158" s="600"/>
      <c r="F158" s="602"/>
      <c r="G158" s="234">
        <v>2.5000000000000001E-3</v>
      </c>
      <c r="H158" s="454">
        <v>2118.21</v>
      </c>
      <c r="I158" s="471">
        <v>2430</v>
      </c>
      <c r="J158" s="422">
        <v>3370</v>
      </c>
      <c r="K158" s="422">
        <v>3345</v>
      </c>
      <c r="L158" s="422">
        <v>3315</v>
      </c>
      <c r="M158" s="422">
        <v>3240</v>
      </c>
      <c r="N158" s="422">
        <v>3165</v>
      </c>
      <c r="O158" s="422">
        <v>3075</v>
      </c>
      <c r="P158" s="422">
        <v>2970</v>
      </c>
      <c r="Q158" s="242">
        <v>2750</v>
      </c>
      <c r="R158" s="422">
        <v>2445</v>
      </c>
      <c r="S158" s="422">
        <v>2115</v>
      </c>
      <c r="T158" s="422">
        <v>1795</v>
      </c>
      <c r="U158" s="422">
        <v>1475</v>
      </c>
      <c r="V158" s="422">
        <v>1160</v>
      </c>
      <c r="W158" s="241">
        <v>1530</v>
      </c>
      <c r="X158" s="191">
        <f t="shared" si="5"/>
        <v>40298.21</v>
      </c>
    </row>
    <row r="159" spans="1:24" s="133" customFormat="1" ht="12.75" customHeight="1" x14ac:dyDescent="0.2">
      <c r="A159" s="580">
        <v>77</v>
      </c>
      <c r="B159" s="238" t="s">
        <v>500</v>
      </c>
      <c r="C159" s="594" t="s">
        <v>783</v>
      </c>
      <c r="D159" s="590">
        <v>633</v>
      </c>
      <c r="E159" s="574">
        <v>8339124</v>
      </c>
      <c r="F159" s="588" t="s">
        <v>545</v>
      </c>
      <c r="G159" s="237" t="s">
        <v>498</v>
      </c>
      <c r="H159" s="233"/>
      <c r="I159" s="428"/>
      <c r="J159" s="429">
        <v>750</v>
      </c>
      <c r="K159" s="429">
        <v>1000</v>
      </c>
      <c r="L159" s="429">
        <v>5000</v>
      </c>
      <c r="M159" s="429">
        <v>5000</v>
      </c>
      <c r="N159" s="429">
        <v>16000</v>
      </c>
      <c r="O159" s="429">
        <v>40000</v>
      </c>
      <c r="P159" s="429">
        <v>100000</v>
      </c>
      <c r="Q159" s="429">
        <v>403524</v>
      </c>
      <c r="R159" s="429">
        <v>403524</v>
      </c>
      <c r="S159" s="429">
        <v>403524</v>
      </c>
      <c r="T159" s="429">
        <v>403524</v>
      </c>
      <c r="U159" s="429">
        <v>403524</v>
      </c>
      <c r="V159" s="429">
        <v>403524</v>
      </c>
      <c r="W159" s="412">
        <v>5750230</v>
      </c>
      <c r="X159" s="193">
        <f t="shared" si="5"/>
        <v>8339124</v>
      </c>
    </row>
    <row r="160" spans="1:24" s="133" customFormat="1" x14ac:dyDescent="0.2">
      <c r="A160" s="581"/>
      <c r="B160" s="229" t="s">
        <v>544</v>
      </c>
      <c r="C160" s="550"/>
      <c r="D160" s="591"/>
      <c r="E160" s="575"/>
      <c r="F160" s="589"/>
      <c r="G160" s="234">
        <v>2.5000000000000001E-3</v>
      </c>
      <c r="H160" s="460">
        <v>4291.55</v>
      </c>
      <c r="I160" s="231">
        <v>27490</v>
      </c>
      <c r="J160" s="240">
        <v>33915</v>
      </c>
      <c r="K160" s="240">
        <v>33820</v>
      </c>
      <c r="L160" s="240">
        <v>33810</v>
      </c>
      <c r="M160" s="240">
        <v>33790</v>
      </c>
      <c r="N160" s="240">
        <v>33855</v>
      </c>
      <c r="O160" s="240">
        <v>33680</v>
      </c>
      <c r="P160" s="240">
        <v>33470</v>
      </c>
      <c r="Q160" s="240">
        <v>32820</v>
      </c>
      <c r="R160" s="240">
        <v>31340</v>
      </c>
      <c r="S160" s="240">
        <v>29615</v>
      </c>
      <c r="T160" s="240">
        <v>27980</v>
      </c>
      <c r="U160" s="240">
        <v>26345</v>
      </c>
      <c r="V160" s="240">
        <v>24775</v>
      </c>
      <c r="W160" s="240">
        <v>174410</v>
      </c>
      <c r="X160" s="191">
        <f t="shared" si="5"/>
        <v>615406.55000000005</v>
      </c>
    </row>
    <row r="161" spans="1:24" s="133" customFormat="1" ht="12.75" customHeight="1" x14ac:dyDescent="0.2">
      <c r="A161" s="580">
        <v>78</v>
      </c>
      <c r="B161" s="238" t="s">
        <v>500</v>
      </c>
      <c r="C161" s="594" t="s">
        <v>543</v>
      </c>
      <c r="D161" s="590">
        <v>634</v>
      </c>
      <c r="E161" s="574">
        <v>206622</v>
      </c>
      <c r="F161" s="588" t="s">
        <v>542</v>
      </c>
      <c r="G161" s="237" t="s">
        <v>498</v>
      </c>
      <c r="H161" s="233"/>
      <c r="I161" s="428">
        <v>0</v>
      </c>
      <c r="J161" s="428">
        <v>1000</v>
      </c>
      <c r="K161" s="428">
        <v>1000</v>
      </c>
      <c r="L161" s="428">
        <v>13640</v>
      </c>
      <c r="M161" s="428">
        <v>13640</v>
      </c>
      <c r="N161" s="428">
        <v>13640</v>
      </c>
      <c r="O161" s="428">
        <v>13640</v>
      </c>
      <c r="P161" s="428">
        <v>13640</v>
      </c>
      <c r="Q161" s="428">
        <v>13640</v>
      </c>
      <c r="R161" s="428">
        <v>13640</v>
      </c>
      <c r="S161" s="428">
        <v>13640</v>
      </c>
      <c r="T161" s="428">
        <v>13640</v>
      </c>
      <c r="U161" s="428">
        <v>13640</v>
      </c>
      <c r="V161" s="428">
        <v>13640</v>
      </c>
      <c r="W161" s="232">
        <v>54582</v>
      </c>
      <c r="X161" s="193">
        <f t="shared" si="5"/>
        <v>206622</v>
      </c>
    </row>
    <row r="162" spans="1:24" s="133" customFormat="1" x14ac:dyDescent="0.2">
      <c r="A162" s="581"/>
      <c r="B162" s="229" t="s">
        <v>541</v>
      </c>
      <c r="C162" s="550"/>
      <c r="D162" s="591"/>
      <c r="E162" s="575"/>
      <c r="F162" s="589"/>
      <c r="G162" s="234">
        <v>2.5000000000000001E-3</v>
      </c>
      <c r="H162" s="460">
        <v>514.34</v>
      </c>
      <c r="I162" s="231">
        <v>685</v>
      </c>
      <c r="J162" s="231">
        <v>840</v>
      </c>
      <c r="K162" s="231">
        <v>835</v>
      </c>
      <c r="L162" s="231">
        <v>820</v>
      </c>
      <c r="M162" s="231">
        <v>770</v>
      </c>
      <c r="N162" s="231">
        <v>715</v>
      </c>
      <c r="O162" s="231">
        <v>660</v>
      </c>
      <c r="P162" s="231">
        <v>605</v>
      </c>
      <c r="Q162" s="231">
        <v>645</v>
      </c>
      <c r="R162" s="231">
        <v>495</v>
      </c>
      <c r="S162" s="231">
        <v>435</v>
      </c>
      <c r="T162" s="231">
        <v>380</v>
      </c>
      <c r="U162" s="231">
        <v>325</v>
      </c>
      <c r="V162" s="231">
        <v>270</v>
      </c>
      <c r="W162" s="231">
        <v>525</v>
      </c>
      <c r="X162" s="191">
        <f t="shared" si="5"/>
        <v>9519.34</v>
      </c>
    </row>
    <row r="163" spans="1:24" s="133" customFormat="1" ht="12.75" customHeight="1" x14ac:dyDescent="0.2">
      <c r="A163" s="580">
        <v>79</v>
      </c>
      <c r="B163" s="238" t="s">
        <v>500</v>
      </c>
      <c r="C163" s="549" t="s">
        <v>540</v>
      </c>
      <c r="D163" s="590">
        <v>635</v>
      </c>
      <c r="E163" s="592">
        <v>307624.96000000002</v>
      </c>
      <c r="F163" s="588" t="s">
        <v>537</v>
      </c>
      <c r="G163" s="237" t="s">
        <v>498</v>
      </c>
      <c r="H163" s="233"/>
      <c r="I163" s="428">
        <v>0</v>
      </c>
      <c r="J163" s="430">
        <v>750</v>
      </c>
      <c r="K163" s="430">
        <v>1000</v>
      </c>
      <c r="L163" s="430">
        <v>5000</v>
      </c>
      <c r="M163" s="430">
        <v>5000</v>
      </c>
      <c r="N163" s="430">
        <v>10000</v>
      </c>
      <c r="O163" s="430">
        <v>23824</v>
      </c>
      <c r="P163" s="430">
        <v>23824</v>
      </c>
      <c r="Q163" s="431">
        <v>23824</v>
      </c>
      <c r="R163" s="430">
        <v>23824</v>
      </c>
      <c r="S163" s="430">
        <v>23824</v>
      </c>
      <c r="T163" s="430">
        <v>23824</v>
      </c>
      <c r="U163" s="430">
        <v>23824</v>
      </c>
      <c r="V163" s="432">
        <v>23824</v>
      </c>
      <c r="W163" s="239">
        <v>95282.96</v>
      </c>
      <c r="X163" s="193">
        <f t="shared" si="5"/>
        <v>307624.96000000002</v>
      </c>
    </row>
    <row r="164" spans="1:24" s="133" customFormat="1" x14ac:dyDescent="0.2">
      <c r="A164" s="581"/>
      <c r="B164" s="229" t="s">
        <v>539</v>
      </c>
      <c r="C164" s="550"/>
      <c r="D164" s="591"/>
      <c r="E164" s="593"/>
      <c r="F164" s="589"/>
      <c r="G164" s="234">
        <v>2.5000000000000001E-3</v>
      </c>
      <c r="H164" s="460">
        <v>779.27</v>
      </c>
      <c r="I164" s="231">
        <v>1015</v>
      </c>
      <c r="J164" s="433">
        <v>1255</v>
      </c>
      <c r="K164" s="433">
        <v>1245</v>
      </c>
      <c r="L164" s="433">
        <v>1240</v>
      </c>
      <c r="M164" s="433">
        <v>1220</v>
      </c>
      <c r="N164" s="433">
        <v>1200</v>
      </c>
      <c r="O164" s="433">
        <v>1145</v>
      </c>
      <c r="P164" s="433">
        <v>1050</v>
      </c>
      <c r="Q164" s="236">
        <v>955</v>
      </c>
      <c r="R164" s="433">
        <v>860</v>
      </c>
      <c r="S164" s="433">
        <v>760</v>
      </c>
      <c r="T164" s="433">
        <v>665</v>
      </c>
      <c r="U164" s="433">
        <v>565</v>
      </c>
      <c r="V164" s="433">
        <v>470</v>
      </c>
      <c r="W164" s="235">
        <v>915</v>
      </c>
      <c r="X164" s="191">
        <f t="shared" si="5"/>
        <v>15339.27</v>
      </c>
    </row>
    <row r="165" spans="1:24" s="133" customFormat="1" ht="12.75" customHeight="1" x14ac:dyDescent="0.2">
      <c r="A165" s="580">
        <v>80</v>
      </c>
      <c r="B165" s="238" t="s">
        <v>500</v>
      </c>
      <c r="C165" s="549" t="s">
        <v>538</v>
      </c>
      <c r="D165" s="590">
        <v>636</v>
      </c>
      <c r="E165" s="592">
        <v>69989</v>
      </c>
      <c r="F165" s="588" t="s">
        <v>537</v>
      </c>
      <c r="G165" s="237" t="s">
        <v>498</v>
      </c>
      <c r="H165" s="233"/>
      <c r="I165" s="428">
        <v>0</v>
      </c>
      <c r="J165" s="430">
        <v>1000</v>
      </c>
      <c r="K165" s="430">
        <v>1000</v>
      </c>
      <c r="L165" s="430">
        <v>1000</v>
      </c>
      <c r="M165" s="430">
        <v>2000</v>
      </c>
      <c r="N165" s="430">
        <v>2000</v>
      </c>
      <c r="O165" s="430">
        <v>5000</v>
      </c>
      <c r="P165" s="430">
        <v>5272</v>
      </c>
      <c r="Q165" s="431">
        <v>5272</v>
      </c>
      <c r="R165" s="430">
        <v>5272</v>
      </c>
      <c r="S165" s="430">
        <v>5272</v>
      </c>
      <c r="T165" s="430">
        <v>5272</v>
      </c>
      <c r="U165" s="430">
        <v>5272</v>
      </c>
      <c r="V165" s="430">
        <v>5272</v>
      </c>
      <c r="W165" s="239">
        <v>21085</v>
      </c>
      <c r="X165" s="193">
        <f t="shared" si="5"/>
        <v>69989</v>
      </c>
    </row>
    <row r="166" spans="1:24" s="133" customFormat="1" x14ac:dyDescent="0.2">
      <c r="A166" s="581"/>
      <c r="B166" s="229" t="s">
        <v>536</v>
      </c>
      <c r="C166" s="550"/>
      <c r="D166" s="591"/>
      <c r="E166" s="593"/>
      <c r="F166" s="589"/>
      <c r="G166" s="234">
        <v>2.5000000000000001E-3</v>
      </c>
      <c r="H166" s="460">
        <v>177.41</v>
      </c>
      <c r="I166" s="231">
        <v>235</v>
      </c>
      <c r="J166" s="433">
        <v>285</v>
      </c>
      <c r="K166" s="433">
        <v>280</v>
      </c>
      <c r="L166" s="433">
        <v>280</v>
      </c>
      <c r="M166" s="433">
        <v>275</v>
      </c>
      <c r="N166" s="433">
        <v>265</v>
      </c>
      <c r="O166" s="433">
        <v>255</v>
      </c>
      <c r="P166" s="433">
        <v>235</v>
      </c>
      <c r="Q166" s="236">
        <v>215</v>
      </c>
      <c r="R166" s="433">
        <v>190</v>
      </c>
      <c r="S166" s="433">
        <v>170</v>
      </c>
      <c r="T166" s="433">
        <v>150</v>
      </c>
      <c r="U166" s="433">
        <v>125</v>
      </c>
      <c r="V166" s="433">
        <v>105</v>
      </c>
      <c r="W166" s="235">
        <v>205</v>
      </c>
      <c r="X166" s="191">
        <f t="shared" si="5"/>
        <v>3447.41</v>
      </c>
    </row>
    <row r="167" spans="1:24" s="133" customFormat="1" ht="12.75" customHeight="1" x14ac:dyDescent="0.2">
      <c r="A167" s="580">
        <v>81</v>
      </c>
      <c r="B167" s="225" t="s">
        <v>500</v>
      </c>
      <c r="C167" s="549" t="s">
        <v>535</v>
      </c>
      <c r="D167" s="549">
        <v>637</v>
      </c>
      <c r="E167" s="574">
        <v>212555.77</v>
      </c>
      <c r="F167" s="588" t="s">
        <v>534</v>
      </c>
      <c r="G167" s="194" t="s">
        <v>498</v>
      </c>
      <c r="H167" s="233"/>
      <c r="I167" s="428">
        <v>0</v>
      </c>
      <c r="J167" s="428">
        <v>750</v>
      </c>
      <c r="K167" s="428">
        <v>1000</v>
      </c>
      <c r="L167" s="428">
        <v>1000</v>
      </c>
      <c r="M167" s="428">
        <v>2000</v>
      </c>
      <c r="N167" s="428">
        <v>2000</v>
      </c>
      <c r="O167" s="428">
        <v>2000</v>
      </c>
      <c r="P167" s="428">
        <v>5000</v>
      </c>
      <c r="Q167" s="428">
        <v>19920</v>
      </c>
      <c r="R167" s="428">
        <v>19920</v>
      </c>
      <c r="S167" s="428">
        <v>19920</v>
      </c>
      <c r="T167" s="428">
        <v>19920</v>
      </c>
      <c r="U167" s="428">
        <v>19920</v>
      </c>
      <c r="V167" s="233">
        <v>19920</v>
      </c>
      <c r="W167" s="232">
        <v>79285.77</v>
      </c>
      <c r="X167" s="193">
        <f t="shared" si="5"/>
        <v>212555.77000000002</v>
      </c>
    </row>
    <row r="168" spans="1:24" s="133" customFormat="1" x14ac:dyDescent="0.2">
      <c r="A168" s="581"/>
      <c r="B168" s="229" t="s">
        <v>533</v>
      </c>
      <c r="C168" s="550"/>
      <c r="D168" s="550"/>
      <c r="E168" s="575"/>
      <c r="F168" s="589"/>
      <c r="G168" s="234">
        <v>2.5000000000000001E-3</v>
      </c>
      <c r="H168" s="460">
        <v>538.77</v>
      </c>
      <c r="I168" s="231">
        <v>625</v>
      </c>
      <c r="J168" s="231">
        <v>865</v>
      </c>
      <c r="K168" s="231">
        <v>860</v>
      </c>
      <c r="L168" s="231">
        <v>855</v>
      </c>
      <c r="M168" s="231">
        <v>850</v>
      </c>
      <c r="N168" s="231">
        <v>845</v>
      </c>
      <c r="O168" s="231">
        <v>835</v>
      </c>
      <c r="P168" s="231">
        <v>825</v>
      </c>
      <c r="Q168" s="231">
        <v>795</v>
      </c>
      <c r="R168" s="231">
        <v>720</v>
      </c>
      <c r="S168" s="231">
        <v>635</v>
      </c>
      <c r="T168" s="231">
        <v>555</v>
      </c>
      <c r="U168" s="231">
        <v>475</v>
      </c>
      <c r="V168" s="231">
        <v>395</v>
      </c>
      <c r="W168" s="230">
        <v>755</v>
      </c>
      <c r="X168" s="191">
        <f t="shared" si="5"/>
        <v>11428.77</v>
      </c>
    </row>
    <row r="169" spans="1:24" s="133" customFormat="1" ht="18.75" customHeight="1" x14ac:dyDescent="0.2">
      <c r="A169" s="580">
        <v>82</v>
      </c>
      <c r="B169" s="225" t="s">
        <v>500</v>
      </c>
      <c r="C169" s="549" t="s">
        <v>532</v>
      </c>
      <c r="D169" s="549">
        <v>638</v>
      </c>
      <c r="E169" s="574">
        <v>1496459</v>
      </c>
      <c r="F169" s="576" t="s">
        <v>531</v>
      </c>
      <c r="G169" s="224" t="s">
        <v>498</v>
      </c>
      <c r="H169" s="233"/>
      <c r="I169" s="428">
        <v>0</v>
      </c>
      <c r="J169" s="428">
        <v>750</v>
      </c>
      <c r="K169" s="428">
        <v>1000</v>
      </c>
      <c r="L169" s="428">
        <v>3000</v>
      </c>
      <c r="M169" s="428">
        <v>5000</v>
      </c>
      <c r="N169" s="428">
        <v>5000</v>
      </c>
      <c r="O169" s="428">
        <v>10000</v>
      </c>
      <c r="P169" s="428">
        <v>20000</v>
      </c>
      <c r="Q169" s="428">
        <v>50000</v>
      </c>
      <c r="R169" s="428">
        <v>50000</v>
      </c>
      <c r="S169" s="428">
        <v>50000</v>
      </c>
      <c r="T169" s="428">
        <v>69458</v>
      </c>
      <c r="U169" s="428">
        <v>75944</v>
      </c>
      <c r="V169" s="233">
        <v>75944</v>
      </c>
      <c r="W169" s="232">
        <v>1080363</v>
      </c>
      <c r="X169" s="193">
        <f t="shared" ref="X169:X200" si="7">SUM(H169:W169)</f>
        <v>1496459</v>
      </c>
    </row>
    <row r="170" spans="1:24" s="133" customFormat="1" ht="16.5" customHeight="1" x14ac:dyDescent="0.2">
      <c r="A170" s="581"/>
      <c r="B170" s="229" t="s">
        <v>530</v>
      </c>
      <c r="C170" s="550"/>
      <c r="D170" s="550"/>
      <c r="E170" s="575"/>
      <c r="F170" s="577"/>
      <c r="G170" s="223">
        <v>2.5000000000000001E-3</v>
      </c>
      <c r="H170" s="460">
        <v>3793.11</v>
      </c>
      <c r="I170" s="231">
        <v>4370</v>
      </c>
      <c r="J170" s="231">
        <v>6090</v>
      </c>
      <c r="K170" s="231">
        <v>6070</v>
      </c>
      <c r="L170" s="231">
        <v>6060</v>
      </c>
      <c r="M170" s="231">
        <v>6050</v>
      </c>
      <c r="N170" s="231">
        <v>6045</v>
      </c>
      <c r="O170" s="231">
        <v>6005</v>
      </c>
      <c r="P170" s="231">
        <v>5955</v>
      </c>
      <c r="Q170" s="231">
        <v>5850</v>
      </c>
      <c r="R170" s="231">
        <v>5670</v>
      </c>
      <c r="S170" s="231">
        <v>5455</v>
      </c>
      <c r="T170" s="231">
        <v>5240</v>
      </c>
      <c r="U170" s="231">
        <v>4950</v>
      </c>
      <c r="V170" s="231">
        <v>4655</v>
      </c>
      <c r="W170" s="230">
        <v>32725</v>
      </c>
      <c r="X170" s="191">
        <f t="shared" si="7"/>
        <v>114983.11</v>
      </c>
    </row>
    <row r="171" spans="1:24" s="133" customFormat="1" ht="12.75" customHeight="1" x14ac:dyDescent="0.2">
      <c r="A171" s="580">
        <v>83</v>
      </c>
      <c r="B171" s="225" t="s">
        <v>500</v>
      </c>
      <c r="C171" s="549" t="s">
        <v>529</v>
      </c>
      <c r="D171" s="549">
        <v>639</v>
      </c>
      <c r="E171" s="574">
        <v>520249</v>
      </c>
      <c r="F171" s="576" t="s">
        <v>528</v>
      </c>
      <c r="G171" s="224" t="s">
        <v>498</v>
      </c>
      <c r="H171" s="233"/>
      <c r="I171" s="428">
        <v>0</v>
      </c>
      <c r="J171" s="428">
        <v>300</v>
      </c>
      <c r="K171" s="428">
        <v>1000</v>
      </c>
      <c r="L171" s="428">
        <v>2000</v>
      </c>
      <c r="M171" s="428">
        <v>2000</v>
      </c>
      <c r="N171" s="428">
        <v>5000</v>
      </c>
      <c r="O171" s="428">
        <v>5000</v>
      </c>
      <c r="P171" s="428">
        <v>10000</v>
      </c>
      <c r="Q171" s="428">
        <v>45000</v>
      </c>
      <c r="R171" s="428">
        <v>45000</v>
      </c>
      <c r="S171" s="428">
        <v>45000</v>
      </c>
      <c r="T171" s="428">
        <v>45000</v>
      </c>
      <c r="U171" s="428">
        <v>45000</v>
      </c>
      <c r="V171" s="233">
        <v>45000</v>
      </c>
      <c r="W171" s="232">
        <v>224949</v>
      </c>
      <c r="X171" s="193">
        <f t="shared" si="7"/>
        <v>520249</v>
      </c>
    </row>
    <row r="172" spans="1:24" s="133" customFormat="1" x14ac:dyDescent="0.2">
      <c r="A172" s="581"/>
      <c r="B172" s="229" t="s">
        <v>527</v>
      </c>
      <c r="C172" s="550"/>
      <c r="D172" s="550"/>
      <c r="E172" s="575"/>
      <c r="F172" s="577"/>
      <c r="G172" s="223">
        <v>2.5000000000000001E-3</v>
      </c>
      <c r="H172" s="460">
        <v>1242.3599999999999</v>
      </c>
      <c r="I172" s="231">
        <v>1520</v>
      </c>
      <c r="J172" s="231">
        <v>2120</v>
      </c>
      <c r="K172" s="231">
        <v>2110</v>
      </c>
      <c r="L172" s="231">
        <v>2105</v>
      </c>
      <c r="M172" s="231">
        <v>2100</v>
      </c>
      <c r="N172" s="231">
        <v>2095</v>
      </c>
      <c r="O172" s="231">
        <v>2065</v>
      </c>
      <c r="P172" s="231">
        <v>2045</v>
      </c>
      <c r="Q172" s="231">
        <v>1975</v>
      </c>
      <c r="R172" s="231">
        <v>1805</v>
      </c>
      <c r="S172" s="231">
        <v>1615</v>
      </c>
      <c r="T172" s="231">
        <v>1435</v>
      </c>
      <c r="U172" s="231">
        <v>1250</v>
      </c>
      <c r="V172" s="231">
        <v>1070</v>
      </c>
      <c r="W172" s="230">
        <v>2585</v>
      </c>
      <c r="X172" s="191">
        <f t="shared" si="7"/>
        <v>29137.360000000001</v>
      </c>
    </row>
    <row r="173" spans="1:24" s="133" customFormat="1" ht="12.75" customHeight="1" x14ac:dyDescent="0.2">
      <c r="A173" s="580">
        <v>84</v>
      </c>
      <c r="B173" s="225" t="s">
        <v>500</v>
      </c>
      <c r="C173" s="549" t="s">
        <v>526</v>
      </c>
      <c r="D173" s="549">
        <v>640</v>
      </c>
      <c r="E173" s="574">
        <v>409900</v>
      </c>
      <c r="F173" s="576" t="s">
        <v>525</v>
      </c>
      <c r="G173" s="224" t="s">
        <v>498</v>
      </c>
      <c r="H173" s="233"/>
      <c r="I173" s="428">
        <v>0</v>
      </c>
      <c r="J173" s="428">
        <v>300</v>
      </c>
      <c r="K173" s="428">
        <v>1000</v>
      </c>
      <c r="L173" s="428">
        <v>2000</v>
      </c>
      <c r="M173" s="428">
        <v>2000</v>
      </c>
      <c r="N173" s="428">
        <v>5000</v>
      </c>
      <c r="O173" s="428">
        <v>5000</v>
      </c>
      <c r="P173" s="428">
        <v>10000</v>
      </c>
      <c r="Q173" s="428">
        <v>34964</v>
      </c>
      <c r="R173" s="428">
        <v>34964</v>
      </c>
      <c r="S173" s="428">
        <v>34964</v>
      </c>
      <c r="T173" s="428">
        <v>34964</v>
      </c>
      <c r="U173" s="428">
        <v>34964</v>
      </c>
      <c r="V173" s="233">
        <v>34964</v>
      </c>
      <c r="W173" s="232">
        <v>174816</v>
      </c>
      <c r="X173" s="193">
        <f t="shared" si="7"/>
        <v>409900</v>
      </c>
    </row>
    <row r="174" spans="1:24" s="133" customFormat="1" x14ac:dyDescent="0.2">
      <c r="A174" s="581"/>
      <c r="B174" s="229" t="s">
        <v>524</v>
      </c>
      <c r="C174" s="550"/>
      <c r="D174" s="550"/>
      <c r="E174" s="575"/>
      <c r="F174" s="577"/>
      <c r="G174" s="223">
        <v>2.5000000000000001E-3</v>
      </c>
      <c r="H174" s="460">
        <v>906.53</v>
      </c>
      <c r="I174" s="231">
        <v>1040</v>
      </c>
      <c r="J174" s="231">
        <v>1670</v>
      </c>
      <c r="K174" s="231">
        <v>1665</v>
      </c>
      <c r="L174" s="231">
        <v>1660</v>
      </c>
      <c r="M174" s="231">
        <v>1650</v>
      </c>
      <c r="N174" s="231">
        <v>1645</v>
      </c>
      <c r="O174" s="231">
        <v>1620</v>
      </c>
      <c r="P174" s="231">
        <v>1595</v>
      </c>
      <c r="Q174" s="231">
        <v>1535</v>
      </c>
      <c r="R174" s="231">
        <v>1400</v>
      </c>
      <c r="S174" s="231">
        <v>1255</v>
      </c>
      <c r="T174" s="231">
        <v>1115</v>
      </c>
      <c r="U174" s="231">
        <v>975</v>
      </c>
      <c r="V174" s="231">
        <v>835</v>
      </c>
      <c r="W174" s="230">
        <v>2025</v>
      </c>
      <c r="X174" s="191">
        <f t="shared" si="7"/>
        <v>22591.53</v>
      </c>
    </row>
    <row r="175" spans="1:24" s="133" customFormat="1" ht="15.75" customHeight="1" x14ac:dyDescent="0.2">
      <c r="A175" s="580">
        <v>85</v>
      </c>
      <c r="B175" s="364" t="s">
        <v>500</v>
      </c>
      <c r="C175" s="586" t="s">
        <v>523</v>
      </c>
      <c r="D175" s="549">
        <v>641</v>
      </c>
      <c r="E175" s="574">
        <v>157928</v>
      </c>
      <c r="F175" s="576" t="s">
        <v>522</v>
      </c>
      <c r="G175" s="224" t="s">
        <v>498</v>
      </c>
      <c r="H175" s="254"/>
      <c r="I175" s="434">
        <v>12150</v>
      </c>
      <c r="J175" s="435">
        <v>48600</v>
      </c>
      <c r="K175" s="435">
        <v>48600</v>
      </c>
      <c r="L175" s="435">
        <v>48578</v>
      </c>
      <c r="M175" s="435"/>
      <c r="N175" s="435"/>
      <c r="O175" s="435"/>
      <c r="P175" s="435"/>
      <c r="Q175" s="434"/>
      <c r="R175" s="435"/>
      <c r="S175" s="435"/>
      <c r="T175" s="435"/>
      <c r="U175" s="435"/>
      <c r="V175" s="435"/>
      <c r="W175" s="409"/>
      <c r="X175" s="193">
        <f t="shared" si="7"/>
        <v>157928</v>
      </c>
    </row>
    <row r="176" spans="1:24" s="133" customFormat="1" ht="17.25" customHeight="1" x14ac:dyDescent="0.2">
      <c r="A176" s="581"/>
      <c r="B176" s="365" t="s">
        <v>521</v>
      </c>
      <c r="C176" s="587"/>
      <c r="D176" s="550"/>
      <c r="E176" s="575"/>
      <c r="F176" s="577"/>
      <c r="G176" s="223">
        <v>2.5000000000000001E-3</v>
      </c>
      <c r="H176" s="461">
        <v>239.16</v>
      </c>
      <c r="I176" s="228">
        <v>405</v>
      </c>
      <c r="J176" s="424">
        <v>565</v>
      </c>
      <c r="K176" s="424">
        <v>365</v>
      </c>
      <c r="L176" s="424">
        <f>180</f>
        <v>180</v>
      </c>
      <c r="M176" s="424"/>
      <c r="N176" s="424"/>
      <c r="O176" s="424"/>
      <c r="P176" s="424"/>
      <c r="Q176" s="228"/>
      <c r="R176" s="424"/>
      <c r="S176" s="424"/>
      <c r="T176" s="424"/>
      <c r="U176" s="424"/>
      <c r="V176" s="424"/>
      <c r="W176" s="388"/>
      <c r="X176" s="191">
        <f t="shared" si="7"/>
        <v>1754.1599999999999</v>
      </c>
    </row>
    <row r="177" spans="1:24" s="133" customFormat="1" x14ac:dyDescent="0.2">
      <c r="A177" s="580">
        <v>86</v>
      </c>
      <c r="B177" s="225" t="s">
        <v>500</v>
      </c>
      <c r="C177" s="549" t="s">
        <v>520</v>
      </c>
      <c r="D177" s="549">
        <v>642</v>
      </c>
      <c r="E177" s="574">
        <v>231313</v>
      </c>
      <c r="F177" s="576" t="s">
        <v>519</v>
      </c>
      <c r="G177" s="224" t="s">
        <v>498</v>
      </c>
      <c r="H177" s="233"/>
      <c r="I177" s="227">
        <v>0</v>
      </c>
      <c r="J177" s="436">
        <v>0</v>
      </c>
      <c r="K177" s="436">
        <v>6000</v>
      </c>
      <c r="L177" s="436">
        <v>6000</v>
      </c>
      <c r="M177" s="436">
        <v>14620</v>
      </c>
      <c r="N177" s="436">
        <v>14620</v>
      </c>
      <c r="O177" s="436">
        <v>14620</v>
      </c>
      <c r="P177" s="436">
        <v>14620</v>
      </c>
      <c r="Q177" s="227">
        <v>14620</v>
      </c>
      <c r="R177" s="436">
        <v>14620</v>
      </c>
      <c r="S177" s="436">
        <v>14620</v>
      </c>
      <c r="T177" s="436">
        <v>14620</v>
      </c>
      <c r="U177" s="436">
        <v>14620</v>
      </c>
      <c r="V177" s="436">
        <v>14620</v>
      </c>
      <c r="W177" s="255">
        <v>73113</v>
      </c>
      <c r="X177" s="193">
        <f t="shared" si="7"/>
        <v>231313</v>
      </c>
    </row>
    <row r="178" spans="1:24" s="133" customFormat="1" x14ac:dyDescent="0.2">
      <c r="A178" s="581"/>
      <c r="B178" s="195" t="s">
        <v>518</v>
      </c>
      <c r="C178" s="550"/>
      <c r="D178" s="550"/>
      <c r="E178" s="575"/>
      <c r="F178" s="577"/>
      <c r="G178" s="223">
        <v>2.5000000000000001E-3</v>
      </c>
      <c r="H178" s="460">
        <v>232.1</v>
      </c>
      <c r="I178" s="226">
        <v>850</v>
      </c>
      <c r="J178" s="436">
        <v>945</v>
      </c>
      <c r="K178" s="436">
        <v>935</v>
      </c>
      <c r="L178" s="436">
        <v>915</v>
      </c>
      <c r="M178" s="436">
        <v>880</v>
      </c>
      <c r="N178" s="436">
        <v>825</v>
      </c>
      <c r="O178" s="436">
        <v>765</v>
      </c>
      <c r="P178" s="436">
        <v>705</v>
      </c>
      <c r="Q178" s="226">
        <v>645</v>
      </c>
      <c r="R178" s="436">
        <v>590</v>
      </c>
      <c r="S178" s="436">
        <v>525</v>
      </c>
      <c r="T178" s="436">
        <v>470</v>
      </c>
      <c r="U178" s="436">
        <v>410</v>
      </c>
      <c r="V178" s="436">
        <v>350</v>
      </c>
      <c r="W178" s="226">
        <v>855</v>
      </c>
      <c r="X178" s="191">
        <f>SUM(H178:W178)</f>
        <v>10897.1</v>
      </c>
    </row>
    <row r="179" spans="1:24" s="133" customFormat="1" ht="27" customHeight="1" x14ac:dyDescent="0.2">
      <c r="A179" s="526">
        <v>87</v>
      </c>
      <c r="B179" s="443" t="s">
        <v>500</v>
      </c>
      <c r="C179" s="528" t="s">
        <v>1007</v>
      </c>
      <c r="D179" s="528">
        <v>643</v>
      </c>
      <c r="E179" s="530">
        <v>136835</v>
      </c>
      <c r="F179" s="532" t="s">
        <v>517</v>
      </c>
      <c r="G179" s="462" t="s">
        <v>498</v>
      </c>
      <c r="H179" s="463"/>
      <c r="I179" s="221"/>
      <c r="J179" s="221"/>
      <c r="K179" s="221">
        <v>500</v>
      </c>
      <c r="L179" s="221">
        <v>1000</v>
      </c>
      <c r="M179" s="221">
        <v>2000</v>
      </c>
      <c r="N179" s="221">
        <v>33332</v>
      </c>
      <c r="O179" s="221">
        <v>33332</v>
      </c>
      <c r="P179" s="221">
        <v>33332</v>
      </c>
      <c r="Q179" s="221">
        <v>33339</v>
      </c>
      <c r="R179" s="472"/>
      <c r="S179" s="472"/>
      <c r="T179" s="472"/>
      <c r="U179" s="472"/>
      <c r="V179" s="472"/>
      <c r="W179" s="221"/>
      <c r="X179" s="193">
        <f t="shared" si="7"/>
        <v>136835</v>
      </c>
    </row>
    <row r="180" spans="1:24" s="133" customFormat="1" ht="24" customHeight="1" x14ac:dyDescent="0.2">
      <c r="A180" s="527"/>
      <c r="B180" s="473" t="s">
        <v>516</v>
      </c>
      <c r="C180" s="529"/>
      <c r="D180" s="529"/>
      <c r="E180" s="531"/>
      <c r="F180" s="533"/>
      <c r="G180" s="466">
        <v>2.5000000000000001E-3</v>
      </c>
      <c r="H180" s="467">
        <v>66.48</v>
      </c>
      <c r="I180" s="219">
        <v>505</v>
      </c>
      <c r="J180" s="219">
        <v>560</v>
      </c>
      <c r="K180" s="219">
        <v>555</v>
      </c>
      <c r="L180" s="219">
        <v>555</v>
      </c>
      <c r="M180" s="219">
        <v>550</v>
      </c>
      <c r="N180" s="219">
        <v>520</v>
      </c>
      <c r="O180" s="219">
        <v>385</v>
      </c>
      <c r="P180" s="219">
        <v>250</v>
      </c>
      <c r="Q180" s="219">
        <v>125</v>
      </c>
      <c r="R180" s="474"/>
      <c r="S180" s="474"/>
      <c r="T180" s="474"/>
      <c r="U180" s="474"/>
      <c r="V180" s="474"/>
      <c r="W180" s="219"/>
      <c r="X180" s="191">
        <f t="shared" si="7"/>
        <v>4071.48</v>
      </c>
    </row>
    <row r="181" spans="1:24" s="133" customFormat="1" x14ac:dyDescent="0.2">
      <c r="A181" s="580">
        <v>88</v>
      </c>
      <c r="B181" s="441" t="s">
        <v>500</v>
      </c>
      <c r="C181" s="549" t="s">
        <v>998</v>
      </c>
      <c r="D181" s="549">
        <v>644</v>
      </c>
      <c r="E181" s="574">
        <v>1188567</v>
      </c>
      <c r="F181" s="576" t="s">
        <v>970</v>
      </c>
      <c r="G181" s="224" t="s">
        <v>498</v>
      </c>
      <c r="H181" s="233"/>
      <c r="I181" s="227"/>
      <c r="J181" s="227"/>
      <c r="K181" s="227">
        <v>375</v>
      </c>
      <c r="L181" s="227">
        <v>1000</v>
      </c>
      <c r="M181" s="227">
        <v>2000</v>
      </c>
      <c r="N181" s="227">
        <v>6000</v>
      </c>
      <c r="O181" s="227">
        <v>10000</v>
      </c>
      <c r="P181" s="227">
        <v>20000</v>
      </c>
      <c r="Q181" s="227">
        <v>54200</v>
      </c>
      <c r="R181" s="227">
        <v>54200</v>
      </c>
      <c r="S181" s="227">
        <v>54200</v>
      </c>
      <c r="T181" s="227">
        <v>54200</v>
      </c>
      <c r="U181" s="227">
        <v>54200</v>
      </c>
      <c r="V181" s="227">
        <v>54200</v>
      </c>
      <c r="W181" s="255">
        <v>823992</v>
      </c>
      <c r="X181" s="193">
        <f t="shared" si="7"/>
        <v>1188567</v>
      </c>
    </row>
    <row r="182" spans="1:24" s="133" customFormat="1" x14ac:dyDescent="0.2">
      <c r="A182" s="581"/>
      <c r="B182" s="195" t="s">
        <v>969</v>
      </c>
      <c r="C182" s="550"/>
      <c r="D182" s="550"/>
      <c r="E182" s="575"/>
      <c r="F182" s="577"/>
      <c r="G182" s="223">
        <v>2.5000000000000001E-3</v>
      </c>
      <c r="H182" s="460">
        <v>158.44999999999999</v>
      </c>
      <c r="I182" s="226">
        <v>3920</v>
      </c>
      <c r="J182" s="226">
        <v>4835</v>
      </c>
      <c r="K182" s="226">
        <v>4825</v>
      </c>
      <c r="L182" s="226">
        <v>4820</v>
      </c>
      <c r="M182" s="226">
        <v>4815</v>
      </c>
      <c r="N182" s="226">
        <v>4820</v>
      </c>
      <c r="O182" s="226">
        <v>4780</v>
      </c>
      <c r="P182" s="226">
        <v>4730</v>
      </c>
      <c r="Q182" s="226">
        <v>4620</v>
      </c>
      <c r="R182" s="226">
        <v>4420</v>
      </c>
      <c r="S182" s="226">
        <v>4190</v>
      </c>
      <c r="T182" s="226">
        <v>3970</v>
      </c>
      <c r="U182" s="226">
        <v>3750</v>
      </c>
      <c r="V182" s="226">
        <v>3540</v>
      </c>
      <c r="W182" s="226">
        <v>26590</v>
      </c>
      <c r="X182" s="191">
        <f t="shared" si="7"/>
        <v>88783.45</v>
      </c>
    </row>
    <row r="183" spans="1:24" s="410" customFormat="1" x14ac:dyDescent="0.2">
      <c r="A183" s="580">
        <v>89</v>
      </c>
      <c r="B183" s="441" t="s">
        <v>500</v>
      </c>
      <c r="C183" s="549" t="s">
        <v>471</v>
      </c>
      <c r="D183" s="549">
        <v>645</v>
      </c>
      <c r="E183" s="574">
        <v>785535</v>
      </c>
      <c r="F183" s="576" t="s">
        <v>972</v>
      </c>
      <c r="G183" s="224" t="s">
        <v>498</v>
      </c>
      <c r="H183" s="233"/>
      <c r="I183" s="227"/>
      <c r="J183" s="227"/>
      <c r="K183" s="227">
        <v>375</v>
      </c>
      <c r="L183" s="227">
        <v>2000</v>
      </c>
      <c r="M183" s="227">
        <v>4000</v>
      </c>
      <c r="N183" s="227">
        <v>6000</v>
      </c>
      <c r="O183" s="227">
        <v>10000</v>
      </c>
      <c r="P183" s="227">
        <v>20000</v>
      </c>
      <c r="Q183" s="227">
        <v>66200</v>
      </c>
      <c r="R183" s="227">
        <v>66200</v>
      </c>
      <c r="S183" s="227">
        <v>66200</v>
      </c>
      <c r="T183" s="227">
        <v>66200</v>
      </c>
      <c r="U183" s="227">
        <v>66200</v>
      </c>
      <c r="V183" s="227">
        <v>66200</v>
      </c>
      <c r="W183" s="255">
        <v>345960</v>
      </c>
      <c r="X183" s="193">
        <f t="shared" si="7"/>
        <v>785535</v>
      </c>
    </row>
    <row r="184" spans="1:24" s="410" customFormat="1" x14ac:dyDescent="0.2">
      <c r="A184" s="581"/>
      <c r="B184" s="195" t="s">
        <v>971</v>
      </c>
      <c r="C184" s="550"/>
      <c r="D184" s="550"/>
      <c r="E184" s="575"/>
      <c r="F184" s="577"/>
      <c r="G184" s="223">
        <v>2.5000000000000001E-3</v>
      </c>
      <c r="H184" s="460">
        <v>127.15</v>
      </c>
      <c r="I184" s="226">
        <v>2295</v>
      </c>
      <c r="J184" s="226">
        <v>3195</v>
      </c>
      <c r="K184" s="226">
        <v>3190</v>
      </c>
      <c r="L184" s="226">
        <v>3185</v>
      </c>
      <c r="M184" s="226">
        <v>3175</v>
      </c>
      <c r="N184" s="226">
        <v>3165</v>
      </c>
      <c r="O184" s="226">
        <v>3130</v>
      </c>
      <c r="P184" s="226">
        <v>3085</v>
      </c>
      <c r="Q184" s="226">
        <v>2965</v>
      </c>
      <c r="R184" s="226">
        <v>2715</v>
      </c>
      <c r="S184" s="226">
        <v>2440</v>
      </c>
      <c r="T184" s="226">
        <v>2170</v>
      </c>
      <c r="U184" s="226">
        <v>1900</v>
      </c>
      <c r="V184" s="226">
        <v>1635</v>
      </c>
      <c r="W184" s="226">
        <v>4170</v>
      </c>
      <c r="X184" s="191">
        <f t="shared" si="7"/>
        <v>42542.15</v>
      </c>
    </row>
    <row r="185" spans="1:24" s="133" customFormat="1" ht="31.5" customHeight="1" x14ac:dyDescent="0.2">
      <c r="A185" s="526">
        <v>90</v>
      </c>
      <c r="B185" s="443" t="s">
        <v>500</v>
      </c>
      <c r="C185" s="559" t="s">
        <v>1008</v>
      </c>
      <c r="D185" s="559">
        <v>646</v>
      </c>
      <c r="E185" s="582">
        <v>2254246</v>
      </c>
      <c r="F185" s="584" t="s">
        <v>973</v>
      </c>
      <c r="G185" s="462" t="s">
        <v>498</v>
      </c>
      <c r="H185" s="463"/>
      <c r="I185" s="221"/>
      <c r="J185" s="221"/>
      <c r="K185" s="221">
        <v>1500</v>
      </c>
      <c r="L185" s="221">
        <v>4000</v>
      </c>
      <c r="M185" s="221">
        <v>6000</v>
      </c>
      <c r="N185" s="221">
        <v>10000</v>
      </c>
      <c r="O185" s="221">
        <v>20000</v>
      </c>
      <c r="P185" s="221">
        <v>40000</v>
      </c>
      <c r="Q185" s="221">
        <v>102248</v>
      </c>
      <c r="R185" s="221">
        <v>102248</v>
      </c>
      <c r="S185" s="221">
        <v>102248</v>
      </c>
      <c r="T185" s="221">
        <v>102248</v>
      </c>
      <c r="U185" s="221">
        <v>102248</v>
      </c>
      <c r="V185" s="221">
        <v>102248</v>
      </c>
      <c r="W185" s="475">
        <v>1559258</v>
      </c>
      <c r="X185" s="193">
        <f t="shared" si="7"/>
        <v>2254246</v>
      </c>
    </row>
    <row r="186" spans="1:24" s="133" customFormat="1" ht="30" customHeight="1" x14ac:dyDescent="0.2">
      <c r="A186" s="527"/>
      <c r="B186" s="473" t="s">
        <v>974</v>
      </c>
      <c r="C186" s="560"/>
      <c r="D186" s="560"/>
      <c r="E186" s="583"/>
      <c r="F186" s="585"/>
      <c r="G186" s="466">
        <v>2.5000000000000001E-3</v>
      </c>
      <c r="H186" s="467">
        <v>44.27</v>
      </c>
      <c r="I186" s="219">
        <v>3710</v>
      </c>
      <c r="J186" s="219">
        <v>8470</v>
      </c>
      <c r="K186" s="219">
        <v>9145</v>
      </c>
      <c r="L186" s="219">
        <v>9135</v>
      </c>
      <c r="M186" s="219">
        <v>9120</v>
      </c>
      <c r="N186" s="219">
        <v>9115</v>
      </c>
      <c r="O186" s="219">
        <v>9045</v>
      </c>
      <c r="P186" s="219">
        <v>8945</v>
      </c>
      <c r="Q186" s="219">
        <v>8735</v>
      </c>
      <c r="R186" s="219">
        <v>8360</v>
      </c>
      <c r="S186" s="219">
        <v>7920</v>
      </c>
      <c r="T186" s="219">
        <v>7505</v>
      </c>
      <c r="U186" s="219">
        <v>7090</v>
      </c>
      <c r="V186" s="219">
        <v>6695</v>
      </c>
      <c r="W186" s="219">
        <v>50460</v>
      </c>
      <c r="X186" s="191">
        <f t="shared" si="7"/>
        <v>163494.27000000002</v>
      </c>
    </row>
    <row r="187" spans="1:24" s="410" customFormat="1" ht="17.25" customHeight="1" x14ac:dyDescent="0.2">
      <c r="A187" s="580">
        <v>91</v>
      </c>
      <c r="B187" s="441" t="s">
        <v>500</v>
      </c>
      <c r="C187" s="566" t="s">
        <v>469</v>
      </c>
      <c r="D187" s="566">
        <v>647</v>
      </c>
      <c r="E187" s="568">
        <v>1632032</v>
      </c>
      <c r="F187" s="570" t="s">
        <v>973</v>
      </c>
      <c r="G187" s="224" t="s">
        <v>498</v>
      </c>
      <c r="H187" s="233"/>
      <c r="I187" s="227"/>
      <c r="J187" s="227"/>
      <c r="K187" s="227">
        <v>375</v>
      </c>
      <c r="L187" s="227">
        <v>2000</v>
      </c>
      <c r="M187" s="227">
        <v>6000</v>
      </c>
      <c r="N187" s="227">
        <v>20000</v>
      </c>
      <c r="O187" s="227">
        <v>40000</v>
      </c>
      <c r="P187" s="227">
        <v>60000</v>
      </c>
      <c r="Q187" s="227">
        <v>70760</v>
      </c>
      <c r="R187" s="227">
        <v>70760</v>
      </c>
      <c r="S187" s="227">
        <v>70760</v>
      </c>
      <c r="T187" s="227">
        <v>70760</v>
      </c>
      <c r="U187" s="227">
        <v>70760</v>
      </c>
      <c r="V187" s="227">
        <v>70760</v>
      </c>
      <c r="W187" s="255">
        <v>1079097</v>
      </c>
      <c r="X187" s="193">
        <f t="shared" si="7"/>
        <v>1632032</v>
      </c>
    </row>
    <row r="188" spans="1:24" s="410" customFormat="1" ht="15" customHeight="1" x14ac:dyDescent="0.2">
      <c r="A188" s="581"/>
      <c r="B188" s="195" t="s">
        <v>975</v>
      </c>
      <c r="C188" s="567"/>
      <c r="D188" s="567"/>
      <c r="E188" s="569"/>
      <c r="F188" s="571"/>
      <c r="G188" s="223">
        <v>2.5000000000000001E-3</v>
      </c>
      <c r="H188" s="460">
        <v>11.39</v>
      </c>
      <c r="I188" s="226">
        <v>3990</v>
      </c>
      <c r="J188" s="226">
        <v>6640</v>
      </c>
      <c r="K188" s="226">
        <v>6620</v>
      </c>
      <c r="L188" s="226">
        <v>6620</v>
      </c>
      <c r="M188" s="226">
        <v>6605</v>
      </c>
      <c r="N188" s="226">
        <v>6590</v>
      </c>
      <c r="O188" s="226">
        <v>6475</v>
      </c>
      <c r="P188" s="226">
        <v>6300</v>
      </c>
      <c r="Q188" s="226">
        <v>6055</v>
      </c>
      <c r="R188" s="226">
        <v>5785</v>
      </c>
      <c r="S188" s="226">
        <v>5485</v>
      </c>
      <c r="T188" s="226">
        <v>5195</v>
      </c>
      <c r="U188" s="226">
        <v>4910</v>
      </c>
      <c r="V188" s="226">
        <v>4635</v>
      </c>
      <c r="W188" s="226">
        <v>34920</v>
      </c>
      <c r="X188" s="191">
        <f t="shared" si="7"/>
        <v>116836.39</v>
      </c>
    </row>
    <row r="189" spans="1:24" s="133" customFormat="1" ht="33.75" customHeight="1" x14ac:dyDescent="0.2">
      <c r="A189" s="526">
        <v>92</v>
      </c>
      <c r="B189" s="477" t="s">
        <v>500</v>
      </c>
      <c r="C189" s="528" t="s">
        <v>1020</v>
      </c>
      <c r="D189" s="528">
        <v>649</v>
      </c>
      <c r="E189" s="530">
        <v>1953972</v>
      </c>
      <c r="F189" s="532" t="s">
        <v>977</v>
      </c>
      <c r="G189" s="462" t="s">
        <v>498</v>
      </c>
      <c r="H189" s="463"/>
      <c r="I189" s="221"/>
      <c r="J189" s="221"/>
      <c r="K189" s="221">
        <v>500</v>
      </c>
      <c r="L189" s="221">
        <v>2000</v>
      </c>
      <c r="M189" s="221">
        <v>6000</v>
      </c>
      <c r="N189" s="221">
        <v>10000</v>
      </c>
      <c r="O189" s="221">
        <v>20000</v>
      </c>
      <c r="P189" s="221">
        <v>40000</v>
      </c>
      <c r="Q189" s="221">
        <v>51324</v>
      </c>
      <c r="R189" s="221">
        <v>89128</v>
      </c>
      <c r="S189" s="221">
        <v>89128</v>
      </c>
      <c r="T189" s="221">
        <v>89128</v>
      </c>
      <c r="U189" s="221">
        <v>89128</v>
      </c>
      <c r="V189" s="221">
        <v>89128</v>
      </c>
      <c r="W189" s="475">
        <v>1381508</v>
      </c>
      <c r="X189" s="193">
        <f t="shared" si="7"/>
        <v>1956972</v>
      </c>
    </row>
    <row r="190" spans="1:24" s="133" customFormat="1" ht="27" customHeight="1" x14ac:dyDescent="0.2">
      <c r="A190" s="527"/>
      <c r="B190" s="473" t="s">
        <v>976</v>
      </c>
      <c r="C190" s="529"/>
      <c r="D190" s="529"/>
      <c r="E190" s="531"/>
      <c r="F190" s="533"/>
      <c r="G190" s="466">
        <v>2.5000000000000001E-3</v>
      </c>
      <c r="H190" s="467">
        <v>85.94</v>
      </c>
      <c r="I190" s="219">
        <v>5715</v>
      </c>
      <c r="J190" s="219">
        <v>7960</v>
      </c>
      <c r="K190" s="219">
        <v>7940</v>
      </c>
      <c r="L190" s="219">
        <v>7935</v>
      </c>
      <c r="M190" s="219">
        <v>7925</v>
      </c>
      <c r="N190" s="219">
        <v>7920</v>
      </c>
      <c r="O190" s="219">
        <v>7850</v>
      </c>
      <c r="P190" s="219">
        <v>7755</v>
      </c>
      <c r="Q190" s="219">
        <v>7585</v>
      </c>
      <c r="R190" s="219">
        <v>7370</v>
      </c>
      <c r="S190" s="219">
        <v>6995</v>
      </c>
      <c r="T190" s="219">
        <v>6635</v>
      </c>
      <c r="U190" s="219">
        <v>6275</v>
      </c>
      <c r="V190" s="219">
        <v>5925</v>
      </c>
      <c r="W190" s="219">
        <v>45410</v>
      </c>
      <c r="X190" s="191">
        <f t="shared" si="7"/>
        <v>147280.94</v>
      </c>
    </row>
    <row r="191" spans="1:24" s="133" customFormat="1" ht="19.5" customHeight="1" x14ac:dyDescent="0.2">
      <c r="A191" s="580">
        <v>93</v>
      </c>
      <c r="B191" s="364" t="s">
        <v>500</v>
      </c>
      <c r="C191" s="549" t="s">
        <v>997</v>
      </c>
      <c r="D191" s="549">
        <v>650</v>
      </c>
      <c r="E191" s="574">
        <v>1108154</v>
      </c>
      <c r="F191" s="576" t="s">
        <v>979</v>
      </c>
      <c r="G191" s="224" t="s">
        <v>498</v>
      </c>
      <c r="H191" s="233"/>
      <c r="I191" s="227"/>
      <c r="J191" s="227"/>
      <c r="K191" s="227">
        <v>750</v>
      </c>
      <c r="L191" s="227">
        <v>2000</v>
      </c>
      <c r="M191" s="227">
        <v>4000</v>
      </c>
      <c r="N191" s="227">
        <v>10000</v>
      </c>
      <c r="O191" s="227">
        <v>20000</v>
      </c>
      <c r="P191" s="227">
        <v>40000</v>
      </c>
      <c r="Q191" s="227">
        <v>48600</v>
      </c>
      <c r="R191" s="227">
        <v>48600</v>
      </c>
      <c r="S191" s="227">
        <v>48600</v>
      </c>
      <c r="T191" s="227">
        <v>48600</v>
      </c>
      <c r="U191" s="227">
        <v>48600</v>
      </c>
      <c r="V191" s="227">
        <v>48600</v>
      </c>
      <c r="W191" s="255">
        <v>739804</v>
      </c>
      <c r="X191" s="193">
        <f t="shared" si="7"/>
        <v>1108154</v>
      </c>
    </row>
    <row r="192" spans="1:24" s="133" customFormat="1" ht="15" customHeight="1" x14ac:dyDescent="0.2">
      <c r="A192" s="581"/>
      <c r="B192" s="195" t="s">
        <v>978</v>
      </c>
      <c r="C192" s="550"/>
      <c r="D192" s="550"/>
      <c r="E192" s="575"/>
      <c r="F192" s="577"/>
      <c r="G192" s="223">
        <v>2.5000000000000001E-3</v>
      </c>
      <c r="H192" s="460">
        <v>11.69</v>
      </c>
      <c r="I192" s="226">
        <v>2030</v>
      </c>
      <c r="J192" s="226">
        <v>4260</v>
      </c>
      <c r="K192" s="226">
        <v>4495</v>
      </c>
      <c r="L192" s="226">
        <v>4490</v>
      </c>
      <c r="M192" s="226">
        <v>4485</v>
      </c>
      <c r="N192" s="226">
        <v>4475</v>
      </c>
      <c r="O192" s="226">
        <v>4415</v>
      </c>
      <c r="P192" s="226">
        <v>4320</v>
      </c>
      <c r="Q192" s="226">
        <v>4155</v>
      </c>
      <c r="R192" s="226">
        <v>3970</v>
      </c>
      <c r="S192" s="226">
        <v>3760</v>
      </c>
      <c r="T192" s="226">
        <v>3565</v>
      </c>
      <c r="U192" s="226">
        <v>3365</v>
      </c>
      <c r="V192" s="226">
        <v>3180</v>
      </c>
      <c r="W192" s="226">
        <v>23900</v>
      </c>
      <c r="X192" s="191">
        <f t="shared" si="7"/>
        <v>78876.69</v>
      </c>
    </row>
    <row r="193" spans="1:24" s="133" customFormat="1" x14ac:dyDescent="0.2">
      <c r="A193" s="564">
        <v>94</v>
      </c>
      <c r="B193" s="364" t="s">
        <v>500</v>
      </c>
      <c r="C193" s="566" t="s">
        <v>515</v>
      </c>
      <c r="D193" s="566">
        <v>651</v>
      </c>
      <c r="E193" s="568">
        <v>225000</v>
      </c>
      <c r="F193" s="570" t="s">
        <v>981</v>
      </c>
      <c r="G193" s="224" t="s">
        <v>498</v>
      </c>
      <c r="H193" s="233"/>
      <c r="I193" s="227"/>
      <c r="J193" s="227"/>
      <c r="K193" s="227">
        <v>375</v>
      </c>
      <c r="L193" s="227">
        <v>2000</v>
      </c>
      <c r="M193" s="227">
        <v>4000</v>
      </c>
      <c r="N193" s="227">
        <v>6000</v>
      </c>
      <c r="O193" s="227">
        <v>8000</v>
      </c>
      <c r="P193" s="227">
        <v>16800</v>
      </c>
      <c r="Q193" s="227">
        <v>16800</v>
      </c>
      <c r="R193" s="227">
        <v>16800</v>
      </c>
      <c r="S193" s="227">
        <v>16800</v>
      </c>
      <c r="T193" s="227">
        <v>16800</v>
      </c>
      <c r="U193" s="227">
        <v>16800</v>
      </c>
      <c r="V193" s="227">
        <v>16800</v>
      </c>
      <c r="W193" s="255">
        <v>87025</v>
      </c>
      <c r="X193" s="193">
        <f t="shared" si="7"/>
        <v>225000</v>
      </c>
    </row>
    <row r="194" spans="1:24" s="133" customFormat="1" x14ac:dyDescent="0.2">
      <c r="A194" s="565"/>
      <c r="B194" s="195" t="s">
        <v>980</v>
      </c>
      <c r="C194" s="567"/>
      <c r="D194" s="567"/>
      <c r="E194" s="569"/>
      <c r="F194" s="571"/>
      <c r="G194" s="223">
        <v>2.5000000000000001E-3</v>
      </c>
      <c r="H194" s="460">
        <v>49.4</v>
      </c>
      <c r="I194" s="226">
        <v>660</v>
      </c>
      <c r="J194" s="226">
        <v>920</v>
      </c>
      <c r="K194" s="226">
        <v>915</v>
      </c>
      <c r="L194" s="226">
        <v>910</v>
      </c>
      <c r="M194" s="226">
        <v>900</v>
      </c>
      <c r="N194" s="226">
        <v>885</v>
      </c>
      <c r="O194" s="226">
        <v>860</v>
      </c>
      <c r="P194" s="226">
        <v>820</v>
      </c>
      <c r="Q194" s="226">
        <v>755</v>
      </c>
      <c r="R194" s="226">
        <v>690</v>
      </c>
      <c r="S194" s="226">
        <v>615</v>
      </c>
      <c r="T194" s="226">
        <v>550</v>
      </c>
      <c r="U194" s="226">
        <v>480</v>
      </c>
      <c r="V194" s="226">
        <v>415</v>
      </c>
      <c r="W194" s="226">
        <v>1045</v>
      </c>
      <c r="X194" s="191">
        <f t="shared" si="7"/>
        <v>11469.4</v>
      </c>
    </row>
    <row r="195" spans="1:24" s="133" customFormat="1" x14ac:dyDescent="0.2">
      <c r="A195" s="564">
        <v>95</v>
      </c>
      <c r="B195" s="418" t="s">
        <v>500</v>
      </c>
      <c r="C195" s="566" t="s">
        <v>982</v>
      </c>
      <c r="D195" s="566">
        <v>652</v>
      </c>
      <c r="E195" s="568">
        <v>888438</v>
      </c>
      <c r="F195" s="570" t="s">
        <v>990</v>
      </c>
      <c r="G195" s="224" t="s">
        <v>498</v>
      </c>
      <c r="H195" s="233"/>
      <c r="I195" s="227"/>
      <c r="J195" s="227"/>
      <c r="K195" s="227">
        <v>500</v>
      </c>
      <c r="L195" s="227">
        <v>2500</v>
      </c>
      <c r="M195" s="227">
        <v>6000</v>
      </c>
      <c r="N195" s="227">
        <v>10000</v>
      </c>
      <c r="O195" s="227">
        <v>20000</v>
      </c>
      <c r="P195" s="227">
        <v>40000</v>
      </c>
      <c r="Q195" s="227">
        <v>70384</v>
      </c>
      <c r="R195" s="227">
        <v>70384</v>
      </c>
      <c r="S195" s="227">
        <v>70384</v>
      </c>
      <c r="T195" s="227">
        <v>70384</v>
      </c>
      <c r="U195" s="227">
        <v>70384</v>
      </c>
      <c r="V195" s="227">
        <v>70384</v>
      </c>
      <c r="W195" s="227">
        <v>387134</v>
      </c>
      <c r="X195" s="193">
        <f t="shared" si="7"/>
        <v>888438</v>
      </c>
    </row>
    <row r="196" spans="1:24" s="133" customFormat="1" x14ac:dyDescent="0.2">
      <c r="A196" s="565"/>
      <c r="B196" s="195" t="s">
        <v>989</v>
      </c>
      <c r="C196" s="567"/>
      <c r="D196" s="567"/>
      <c r="E196" s="569"/>
      <c r="F196" s="571"/>
      <c r="G196" s="223">
        <v>2.5000000000000001E-3</v>
      </c>
      <c r="H196" s="460">
        <v>63.83</v>
      </c>
      <c r="I196" s="226">
        <v>2345</v>
      </c>
      <c r="J196" s="226">
        <v>3615</v>
      </c>
      <c r="K196" s="226">
        <v>3605</v>
      </c>
      <c r="L196" s="226">
        <v>3600</v>
      </c>
      <c r="M196" s="226">
        <v>3590</v>
      </c>
      <c r="N196" s="226">
        <v>3570</v>
      </c>
      <c r="O196" s="226">
        <v>3515</v>
      </c>
      <c r="P196" s="226">
        <v>3420</v>
      </c>
      <c r="Q196" s="226">
        <v>3235</v>
      </c>
      <c r="R196" s="226">
        <v>2965</v>
      </c>
      <c r="S196" s="226">
        <v>2670</v>
      </c>
      <c r="T196" s="226">
        <v>2385</v>
      </c>
      <c r="U196" s="226">
        <v>2100</v>
      </c>
      <c r="V196" s="226">
        <v>1820</v>
      </c>
      <c r="W196" s="226">
        <v>4880</v>
      </c>
      <c r="X196" s="191">
        <f t="shared" si="7"/>
        <v>47378.83</v>
      </c>
    </row>
    <row r="197" spans="1:24" s="133" customFormat="1" ht="15" customHeight="1" x14ac:dyDescent="0.2">
      <c r="A197" s="564">
        <v>96</v>
      </c>
      <c r="B197" s="418" t="s">
        <v>500</v>
      </c>
      <c r="C197" s="566" t="s">
        <v>992</v>
      </c>
      <c r="D197" s="566">
        <v>653</v>
      </c>
      <c r="E197" s="568">
        <v>78835</v>
      </c>
      <c r="F197" s="570" t="s">
        <v>993</v>
      </c>
      <c r="G197" s="224" t="s">
        <v>498</v>
      </c>
      <c r="H197" s="233"/>
      <c r="I197" s="227"/>
      <c r="J197" s="227"/>
      <c r="K197" s="227">
        <v>500</v>
      </c>
      <c r="L197" s="227">
        <v>2500</v>
      </c>
      <c r="M197" s="227">
        <v>9884</v>
      </c>
      <c r="N197" s="227">
        <v>13768</v>
      </c>
      <c r="O197" s="227">
        <v>13768</v>
      </c>
      <c r="P197" s="227">
        <v>13768</v>
      </c>
      <c r="Q197" s="227">
        <v>13768</v>
      </c>
      <c r="R197" s="227">
        <v>6879</v>
      </c>
      <c r="S197" s="227"/>
      <c r="T197" s="227"/>
      <c r="U197" s="227"/>
      <c r="V197" s="227"/>
      <c r="W197" s="227"/>
      <c r="X197" s="193">
        <f t="shared" si="7"/>
        <v>74835</v>
      </c>
    </row>
    <row r="198" spans="1:24" s="133" customFormat="1" ht="18" customHeight="1" x14ac:dyDescent="0.2">
      <c r="A198" s="565"/>
      <c r="B198" s="195" t="s">
        <v>991</v>
      </c>
      <c r="C198" s="567"/>
      <c r="D198" s="567"/>
      <c r="E198" s="569"/>
      <c r="F198" s="571"/>
      <c r="G198" s="223">
        <v>2.5000000000000001E-3</v>
      </c>
      <c r="H198" s="460">
        <v>4.08</v>
      </c>
      <c r="I198" s="226">
        <v>220</v>
      </c>
      <c r="J198" s="226">
        <v>305</v>
      </c>
      <c r="K198" s="226">
        <v>305</v>
      </c>
      <c r="L198" s="226">
        <v>300</v>
      </c>
      <c r="M198" s="226">
        <v>290</v>
      </c>
      <c r="N198" s="226">
        <v>245</v>
      </c>
      <c r="O198" s="226">
        <v>190</v>
      </c>
      <c r="P198" s="226">
        <v>135</v>
      </c>
      <c r="Q198" s="226">
        <v>80</v>
      </c>
      <c r="R198" s="226">
        <v>20</v>
      </c>
      <c r="S198" s="226"/>
      <c r="T198" s="226"/>
      <c r="U198" s="226"/>
      <c r="V198" s="226"/>
      <c r="W198" s="226"/>
      <c r="X198" s="191">
        <f t="shared" si="7"/>
        <v>2094.08</v>
      </c>
    </row>
    <row r="199" spans="1:24" s="133" customFormat="1" ht="15.75" customHeight="1" x14ac:dyDescent="0.2">
      <c r="A199" s="564">
        <v>97</v>
      </c>
      <c r="B199" s="418" t="s">
        <v>500</v>
      </c>
      <c r="C199" s="566" t="s">
        <v>995</v>
      </c>
      <c r="D199" s="566">
        <v>654</v>
      </c>
      <c r="E199" s="568">
        <v>74150</v>
      </c>
      <c r="F199" s="570" t="s">
        <v>996</v>
      </c>
      <c r="G199" s="224" t="s">
        <v>498</v>
      </c>
      <c r="H199" s="233"/>
      <c r="I199" s="227"/>
      <c r="J199" s="227"/>
      <c r="K199" s="227">
        <v>500</v>
      </c>
      <c r="L199" s="227">
        <v>2000</v>
      </c>
      <c r="M199" s="227">
        <v>3000</v>
      </c>
      <c r="N199" s="227">
        <v>4380</v>
      </c>
      <c r="O199" s="227">
        <v>4760</v>
      </c>
      <c r="P199" s="227">
        <v>4760</v>
      </c>
      <c r="Q199" s="227">
        <v>4760</v>
      </c>
      <c r="R199" s="227">
        <v>4760</v>
      </c>
      <c r="S199" s="227">
        <v>4760</v>
      </c>
      <c r="T199" s="227">
        <v>4760</v>
      </c>
      <c r="U199" s="227">
        <v>4760</v>
      </c>
      <c r="V199" s="227">
        <v>4760</v>
      </c>
      <c r="W199" s="227">
        <v>26190</v>
      </c>
      <c r="X199" s="193">
        <f t="shared" si="7"/>
        <v>74150</v>
      </c>
    </row>
    <row r="200" spans="1:24" s="133" customFormat="1" ht="15.75" customHeight="1" x14ac:dyDescent="0.2">
      <c r="A200" s="565"/>
      <c r="B200" s="195" t="s">
        <v>994</v>
      </c>
      <c r="C200" s="567"/>
      <c r="D200" s="567"/>
      <c r="E200" s="569"/>
      <c r="F200" s="571"/>
      <c r="G200" s="223">
        <v>2.5000000000000001E-3</v>
      </c>
      <c r="H200" s="460">
        <v>3.6</v>
      </c>
      <c r="I200" s="226">
        <v>220</v>
      </c>
      <c r="J200" s="226">
        <v>305</v>
      </c>
      <c r="K200" s="226">
        <v>305</v>
      </c>
      <c r="L200" s="226">
        <v>300</v>
      </c>
      <c r="M200" s="226">
        <v>290</v>
      </c>
      <c r="N200" s="226">
        <v>280</v>
      </c>
      <c r="O200" s="226">
        <v>260</v>
      </c>
      <c r="P200" s="226">
        <v>240</v>
      </c>
      <c r="Q200" s="226">
        <v>220</v>
      </c>
      <c r="R200" s="226">
        <v>205</v>
      </c>
      <c r="S200" s="226">
        <v>185</v>
      </c>
      <c r="T200" s="226">
        <v>165</v>
      </c>
      <c r="U200" s="226">
        <v>145</v>
      </c>
      <c r="V200" s="226">
        <v>125</v>
      </c>
      <c r="W200" s="226">
        <v>335</v>
      </c>
      <c r="X200" s="191">
        <f t="shared" si="7"/>
        <v>3583.6</v>
      </c>
    </row>
    <row r="201" spans="1:24" s="410" customFormat="1" ht="17.25" customHeight="1" x14ac:dyDescent="0.2">
      <c r="A201" s="572">
        <v>98</v>
      </c>
      <c r="B201" s="490" t="s">
        <v>500</v>
      </c>
      <c r="C201" s="549" t="s">
        <v>1009</v>
      </c>
      <c r="D201" s="549">
        <v>655</v>
      </c>
      <c r="E201" s="574">
        <v>250000</v>
      </c>
      <c r="F201" s="576" t="s">
        <v>1023</v>
      </c>
      <c r="G201" s="224" t="s">
        <v>498</v>
      </c>
      <c r="H201" s="491"/>
      <c r="I201" s="227"/>
      <c r="J201" s="227"/>
      <c r="K201" s="227">
        <v>300</v>
      </c>
      <c r="L201" s="227">
        <v>1000</v>
      </c>
      <c r="M201" s="227">
        <v>2000</v>
      </c>
      <c r="N201" s="227">
        <v>3000</v>
      </c>
      <c r="O201" s="227">
        <v>6000</v>
      </c>
      <c r="P201" s="227">
        <v>18644</v>
      </c>
      <c r="Q201" s="227">
        <v>18644</v>
      </c>
      <c r="R201" s="227">
        <v>18644</v>
      </c>
      <c r="S201" s="227">
        <v>18644</v>
      </c>
      <c r="T201" s="227">
        <v>18644</v>
      </c>
      <c r="U201" s="227">
        <v>18644</v>
      </c>
      <c r="V201" s="227">
        <v>18644</v>
      </c>
      <c r="W201" s="227">
        <v>107192</v>
      </c>
      <c r="X201" s="193">
        <f t="shared" ref="X201:X202" si="8">SUM(H201:W201)</f>
        <v>250000</v>
      </c>
    </row>
    <row r="202" spans="1:24" s="410" customFormat="1" ht="17.25" customHeight="1" x14ac:dyDescent="0.2">
      <c r="A202" s="573"/>
      <c r="B202" s="195" t="s">
        <v>1022</v>
      </c>
      <c r="C202" s="550"/>
      <c r="D202" s="550"/>
      <c r="E202" s="575"/>
      <c r="F202" s="577"/>
      <c r="G202" s="223">
        <v>2.5000000000000001E-3</v>
      </c>
      <c r="H202" s="492"/>
      <c r="I202" s="226">
        <v>635</v>
      </c>
      <c r="J202" s="226">
        <v>915</v>
      </c>
      <c r="K202" s="226">
        <v>910</v>
      </c>
      <c r="L202" s="226">
        <v>910</v>
      </c>
      <c r="M202" s="226">
        <v>902</v>
      </c>
      <c r="N202" s="226">
        <v>900</v>
      </c>
      <c r="O202" s="226">
        <v>885</v>
      </c>
      <c r="P202" s="226">
        <v>855</v>
      </c>
      <c r="Q202" s="226">
        <v>790</v>
      </c>
      <c r="R202" s="226">
        <v>725</v>
      </c>
      <c r="S202" s="226">
        <v>655</v>
      </c>
      <c r="T202" s="226">
        <v>585</v>
      </c>
      <c r="U202" s="226">
        <v>520</v>
      </c>
      <c r="V202" s="226">
        <v>450</v>
      </c>
      <c r="W202" s="226">
        <v>1270</v>
      </c>
      <c r="X202" s="191">
        <f t="shared" si="8"/>
        <v>11907</v>
      </c>
    </row>
    <row r="203" spans="1:24" s="133" customFormat="1" ht="26.25" customHeight="1" x14ac:dyDescent="0.2">
      <c r="A203" s="578">
        <v>99</v>
      </c>
      <c r="B203" s="477" t="s">
        <v>500</v>
      </c>
      <c r="C203" s="528" t="s">
        <v>1010</v>
      </c>
      <c r="D203" s="528"/>
      <c r="E203" s="530">
        <v>149917</v>
      </c>
      <c r="F203" s="532" t="s">
        <v>514</v>
      </c>
      <c r="G203" s="462" t="s">
        <v>498</v>
      </c>
      <c r="H203" s="439"/>
      <c r="I203" s="221"/>
      <c r="J203" s="221"/>
      <c r="K203" s="221">
        <v>200</v>
      </c>
      <c r="L203" s="221">
        <v>1000</v>
      </c>
      <c r="M203" s="221">
        <v>1000</v>
      </c>
      <c r="N203" s="221">
        <v>2000</v>
      </c>
      <c r="O203" s="221">
        <v>2000</v>
      </c>
      <c r="P203" s="221">
        <v>11272</v>
      </c>
      <c r="Q203" s="221">
        <v>11272</v>
      </c>
      <c r="R203" s="221">
        <v>11272</v>
      </c>
      <c r="S203" s="221">
        <v>11272</v>
      </c>
      <c r="T203" s="221">
        <v>11272</v>
      </c>
      <c r="U203" s="221">
        <v>11272</v>
      </c>
      <c r="V203" s="221">
        <v>11272</v>
      </c>
      <c r="W203" s="221">
        <v>64813</v>
      </c>
      <c r="X203" s="193">
        <f t="shared" ref="X203:X204" si="9">SUM(H203:W203)</f>
        <v>149917</v>
      </c>
    </row>
    <row r="204" spans="1:24" s="133" customFormat="1" ht="23.25" customHeight="1" x14ac:dyDescent="0.2">
      <c r="A204" s="579"/>
      <c r="B204" s="417"/>
      <c r="C204" s="529"/>
      <c r="D204" s="529"/>
      <c r="E204" s="531"/>
      <c r="F204" s="533"/>
      <c r="G204" s="466">
        <v>2.5000000000000001E-3</v>
      </c>
      <c r="H204" s="440"/>
      <c r="I204" s="219">
        <v>380</v>
      </c>
      <c r="J204" s="219">
        <v>550</v>
      </c>
      <c r="K204" s="219">
        <v>545</v>
      </c>
      <c r="L204" s="219">
        <v>545</v>
      </c>
      <c r="M204" s="219">
        <v>540</v>
      </c>
      <c r="N204" s="219">
        <v>540</v>
      </c>
      <c r="O204" s="219">
        <v>530</v>
      </c>
      <c r="P204" s="219">
        <v>515</v>
      </c>
      <c r="Q204" s="219">
        <v>480</v>
      </c>
      <c r="R204" s="219">
        <v>440</v>
      </c>
      <c r="S204" s="219">
        <v>395</v>
      </c>
      <c r="T204" s="219">
        <v>355</v>
      </c>
      <c r="U204" s="219">
        <v>315</v>
      </c>
      <c r="V204" s="219">
        <v>275</v>
      </c>
      <c r="W204" s="219">
        <v>770</v>
      </c>
      <c r="X204" s="191">
        <f t="shared" si="9"/>
        <v>7175</v>
      </c>
    </row>
    <row r="205" spans="1:24" s="133" customFormat="1" ht="21" customHeight="1" x14ac:dyDescent="0.2">
      <c r="A205" s="526">
        <v>100</v>
      </c>
      <c r="B205" s="443" t="s">
        <v>500</v>
      </c>
      <c r="C205" s="528" t="s">
        <v>532</v>
      </c>
      <c r="D205" s="528"/>
      <c r="E205" s="530">
        <v>4203541</v>
      </c>
      <c r="F205" s="532" t="s">
        <v>514</v>
      </c>
      <c r="G205" s="462" t="s">
        <v>498</v>
      </c>
      <c r="H205" s="463"/>
      <c r="I205" s="464">
        <v>0</v>
      </c>
      <c r="J205" s="464">
        <v>750</v>
      </c>
      <c r="K205" s="464">
        <v>1000</v>
      </c>
      <c r="L205" s="464">
        <v>3000</v>
      </c>
      <c r="M205" s="464">
        <v>4000</v>
      </c>
      <c r="N205" s="464">
        <v>5000</v>
      </c>
      <c r="O205" s="464">
        <v>10000</v>
      </c>
      <c r="P205" s="464">
        <v>20000</v>
      </c>
      <c r="Q205" s="464">
        <v>50000</v>
      </c>
      <c r="R205" s="464">
        <v>62000</v>
      </c>
      <c r="S205" s="464">
        <v>80000</v>
      </c>
      <c r="T205" s="464">
        <v>223540</v>
      </c>
      <c r="U205" s="464">
        <v>223540</v>
      </c>
      <c r="V205" s="464">
        <v>223540</v>
      </c>
      <c r="W205" s="465">
        <v>3297171</v>
      </c>
      <c r="X205" s="220">
        <f t="shared" ref="X205:X206" si="10">SUM(H205:W205)</f>
        <v>4203541</v>
      </c>
    </row>
    <row r="206" spans="1:24" s="133" customFormat="1" ht="19.5" customHeight="1" x14ac:dyDescent="0.2">
      <c r="A206" s="527"/>
      <c r="B206" s="444"/>
      <c r="C206" s="529"/>
      <c r="D206" s="529"/>
      <c r="E206" s="531"/>
      <c r="F206" s="533"/>
      <c r="G206" s="466">
        <v>2.5000000000000001E-3</v>
      </c>
      <c r="H206" s="467"/>
      <c r="I206" s="468">
        <v>10250</v>
      </c>
      <c r="J206" s="468">
        <v>17095</v>
      </c>
      <c r="K206" s="468">
        <v>17045</v>
      </c>
      <c r="L206" s="468">
        <v>17040</v>
      </c>
      <c r="M206" s="468">
        <v>17030</v>
      </c>
      <c r="N206" s="468">
        <v>17060</v>
      </c>
      <c r="O206" s="468">
        <v>16985</v>
      </c>
      <c r="P206" s="468">
        <v>16940</v>
      </c>
      <c r="Q206" s="468">
        <v>16835</v>
      </c>
      <c r="R206" s="468">
        <v>16675</v>
      </c>
      <c r="S206" s="468">
        <v>16365</v>
      </c>
      <c r="T206" s="468">
        <v>15920</v>
      </c>
      <c r="U206" s="468">
        <v>15050</v>
      </c>
      <c r="V206" s="468">
        <v>14180</v>
      </c>
      <c r="W206" s="469">
        <v>103350</v>
      </c>
      <c r="X206" s="218">
        <f t="shared" si="10"/>
        <v>327820</v>
      </c>
    </row>
    <row r="207" spans="1:24" s="133" customFormat="1" ht="14.25" customHeight="1" x14ac:dyDescent="0.2">
      <c r="A207" s="526">
        <v>101</v>
      </c>
      <c r="B207" s="443" t="s">
        <v>500</v>
      </c>
      <c r="C207" s="528" t="s">
        <v>1021</v>
      </c>
      <c r="D207" s="528"/>
      <c r="E207" s="530">
        <v>151390</v>
      </c>
      <c r="F207" s="532" t="s">
        <v>514</v>
      </c>
      <c r="G207" s="462" t="s">
        <v>498</v>
      </c>
      <c r="H207" s="463"/>
      <c r="I207" s="464"/>
      <c r="J207" s="464"/>
      <c r="K207" s="464">
        <v>250</v>
      </c>
      <c r="L207" s="464">
        <v>1500</v>
      </c>
      <c r="M207" s="464">
        <v>3000</v>
      </c>
      <c r="N207" s="464">
        <v>7000</v>
      </c>
      <c r="O207" s="464">
        <v>10156</v>
      </c>
      <c r="P207" s="464">
        <v>10156</v>
      </c>
      <c r="Q207" s="464">
        <v>10156</v>
      </c>
      <c r="R207" s="464">
        <v>10156</v>
      </c>
      <c r="S207" s="464">
        <v>10156</v>
      </c>
      <c r="T207" s="464">
        <v>10156</v>
      </c>
      <c r="U207" s="464">
        <v>10156</v>
      </c>
      <c r="V207" s="464">
        <v>10156</v>
      </c>
      <c r="W207" s="465">
        <v>58392</v>
      </c>
      <c r="X207" s="220">
        <f t="shared" ref="X207:X210" si="11">SUM(H207:W207)</f>
        <v>151390</v>
      </c>
    </row>
    <row r="208" spans="1:24" s="133" customFormat="1" ht="14.25" customHeight="1" x14ac:dyDescent="0.2">
      <c r="A208" s="527"/>
      <c r="B208" s="444"/>
      <c r="C208" s="529"/>
      <c r="D208" s="529"/>
      <c r="E208" s="531"/>
      <c r="F208" s="533"/>
      <c r="G208" s="466">
        <v>2.5000000000000001E-3</v>
      </c>
      <c r="H208" s="467"/>
      <c r="I208" s="468">
        <v>310</v>
      </c>
      <c r="J208" s="468">
        <v>620</v>
      </c>
      <c r="K208" s="468">
        <v>615</v>
      </c>
      <c r="L208" s="468">
        <v>615</v>
      </c>
      <c r="M208" s="468">
        <v>610</v>
      </c>
      <c r="N208" s="468">
        <v>595</v>
      </c>
      <c r="O208" s="468">
        <v>560</v>
      </c>
      <c r="P208" s="468">
        <v>520</v>
      </c>
      <c r="Q208" s="468">
        <v>480</v>
      </c>
      <c r="R208" s="468">
        <v>440</v>
      </c>
      <c r="S208" s="468">
        <v>400</v>
      </c>
      <c r="T208" s="468">
        <v>355</v>
      </c>
      <c r="U208" s="468">
        <v>315</v>
      </c>
      <c r="V208" s="468">
        <v>275</v>
      </c>
      <c r="W208" s="469">
        <v>765</v>
      </c>
      <c r="X208" s="218">
        <f t="shared" si="11"/>
        <v>7475</v>
      </c>
    </row>
    <row r="209" spans="1:24" s="133" customFormat="1" ht="12.75" hidden="1" customHeight="1" x14ac:dyDescent="0.2">
      <c r="A209" s="526"/>
      <c r="B209" s="443"/>
      <c r="C209" s="528"/>
      <c r="D209" s="528"/>
      <c r="E209" s="530"/>
      <c r="F209" s="532"/>
      <c r="G209" s="462"/>
      <c r="H209" s="463"/>
      <c r="I209" s="464"/>
      <c r="J209" s="464"/>
      <c r="K209" s="464"/>
      <c r="L209" s="464"/>
      <c r="M209" s="464"/>
      <c r="N209" s="464"/>
      <c r="O209" s="464"/>
      <c r="P209" s="464"/>
      <c r="Q209" s="464"/>
      <c r="R209" s="464"/>
      <c r="S209" s="464"/>
      <c r="T209" s="464"/>
      <c r="U209" s="464"/>
      <c r="V209" s="464"/>
      <c r="W209" s="465"/>
      <c r="X209" s="220">
        <f t="shared" si="11"/>
        <v>0</v>
      </c>
    </row>
    <row r="210" spans="1:24" s="133" customFormat="1" ht="14.25" hidden="1" customHeight="1" x14ac:dyDescent="0.2">
      <c r="A210" s="527"/>
      <c r="B210" s="444"/>
      <c r="C210" s="529"/>
      <c r="D210" s="529"/>
      <c r="E210" s="531"/>
      <c r="F210" s="533"/>
      <c r="G210" s="466"/>
      <c r="H210" s="467"/>
      <c r="I210" s="468"/>
      <c r="J210" s="468"/>
      <c r="K210" s="468"/>
      <c r="L210" s="468"/>
      <c r="M210" s="468"/>
      <c r="N210" s="468"/>
      <c r="O210" s="468"/>
      <c r="P210" s="468"/>
      <c r="Q210" s="468"/>
      <c r="R210" s="468"/>
      <c r="S210" s="468"/>
      <c r="T210" s="468"/>
      <c r="U210" s="468"/>
      <c r="V210" s="468"/>
      <c r="W210" s="469"/>
      <c r="X210" s="218">
        <f t="shared" si="11"/>
        <v>0</v>
      </c>
    </row>
    <row r="211" spans="1:24" x14ac:dyDescent="0.2">
      <c r="A211" s="217"/>
      <c r="B211" s="562" t="s">
        <v>496</v>
      </c>
      <c r="C211" s="534"/>
      <c r="D211" s="534"/>
      <c r="E211" s="534"/>
      <c r="F211" s="534"/>
      <c r="G211" s="167"/>
      <c r="H211" s="178">
        <f>SUM(H7+H9+H11+H13+H15+H17+H19+H21+H23+H25+H27+H29+H31+H33+H35+H37+H39+H41+H43+H45+H47+H49+H51+H53+H55+H57+H59+H61+H63+H65+H67+H69+H71+H73+H75+H77+H79+H81+H83+H85+H87+H89+H91+H93+H95+H97+H99+H101+H103+H105+H107+H109+H111+H113+H115+H117+H119+H121+H123+H125+H127+H129+H131+H133+H135+H137+H139+H141+H143+H145+H147+H149+H151+H153+H155+H157+H159+H161+H163+H165+H167+H169+H171+H173+H175+H177+H179+H181+H193+H183+H185+H187+H189+H191+H195+H197+H199+H201+H203+H205+H207+H209)+265520.62-161191</f>
        <v>4693770.0000000009</v>
      </c>
      <c r="I211" s="178">
        <f>SUM(I7+I9+I11+I13+I15+I17+I19+I21+I23+I25+I27+I29+I31+I33+I35+I37+I39+I41+I43+I45+I47+I49+I51+I53+I55+I57+I59+I61+I63+I65+I67+I69+I71+I73+I75+I77+I79+I81+I83+I85+I87+I89+I91+I93+I95+I97+I99+I101+I103+I105+I107+I109+I111+I113+I115+I117+I119+I121+I123+I125+I127+I129+I131+I133+I135+I137+I139+I141+I143+I145+I147+I149+I151+I153+I155+I157+I159+I161+I163+I165+I167+I169+I171+I173+I175+I177+I179+I181+I193+I183+I185+I187+I189+I191+I195+I197+I199+I201+I203+I205+I207+I209)</f>
        <v>5162310</v>
      </c>
      <c r="J211" s="178">
        <f t="shared" ref="J211:W211" si="12">SUM(J7+J9+J11+J13+J15+J17+J19+J21+J23+J25+J27+J29+J31+J33+J35+J37+J39+J41+J43+J45+J47+J49+J51+J53+J55+J57+J59+J61+J63+J65+J67+J69+J71+J73+J75+J77+J79+J81+J83+J85+J87+J89+J91+J93+J95+J97+J99+J101+J103+J105+J107+J109+J111+J113+J115+J117+J119+J121+J123+J125+J127+J129+J131+J133+J135+J137+J139+J141+J143+J145+J147+J149+J151+J153+J155+J157+J159+J161+J163+J165+J167+J169+J171+J173+J175+J177+J179+J181+J193+J183+J185+J187+J189+J191+J195+J197+J199+J201+J203+J205+J207+J209)</f>
        <v>5585722</v>
      </c>
      <c r="K211" s="178">
        <f t="shared" si="12"/>
        <v>5419776</v>
      </c>
      <c r="L211" s="178">
        <f t="shared" si="12"/>
        <v>4737346</v>
      </c>
      <c r="M211" s="178">
        <f t="shared" si="12"/>
        <v>4350864.3899999997</v>
      </c>
      <c r="N211" s="178">
        <f t="shared" si="12"/>
        <v>4174844</v>
      </c>
      <c r="O211" s="178">
        <f t="shared" si="12"/>
        <v>4208904</v>
      </c>
      <c r="P211" s="178">
        <f t="shared" si="12"/>
        <v>4158024</v>
      </c>
      <c r="Q211" s="178">
        <f t="shared" si="12"/>
        <v>3012331</v>
      </c>
      <c r="R211" s="178">
        <f t="shared" si="12"/>
        <v>2502891</v>
      </c>
      <c r="S211" s="178">
        <f t="shared" si="12"/>
        <v>2316020</v>
      </c>
      <c r="T211" s="178">
        <f t="shared" si="12"/>
        <v>2290090</v>
      </c>
      <c r="U211" s="178">
        <f>SUM(U7+U9+U11+U13+U15+U17+U19+U21+U23+U25+U27+U29+U31+U33+U35+U37+U39+U41+U43+U45+U47+U49+U51+U53+U55+U57+U59+U61+U63+U65+U67+U69+U71+U73+U75+U77+U79+U81+U83+U85+U87+U89+U91+U93+U95+U97+U99+U101+U103+U105+U107+U109+U111+U113+U115+U117+U119+U121+U123+U125+U127+U129+U131+U133+U135+U137+U139+U141+U143+U145+U147+U149+U151+U153+U155+U157+U159+U161+U163+U165+U167+U169+U171+U173+U175+U177+U179+U181+U193+U183+U185+U187+U189+U191+U195+U197+U199+U201+U203+U205+U207+U209)</f>
        <v>2296576</v>
      </c>
      <c r="V211" s="178">
        <f t="shared" si="12"/>
        <v>2296576</v>
      </c>
      <c r="W211" s="178">
        <f t="shared" si="12"/>
        <v>18831591.489999998</v>
      </c>
      <c r="X211" s="177">
        <f>SUM(X7+X9+X11+X13+X15+X17+X19+X21+X23+X25+X27+X29+X31+X33+X35+X37+X39+X41+X43+X45+X47+X49+X51+X53+X55+X57+X59+X61+X63+X65+X67+X69+X71+X73+X75+X77+X79+X81+X83+X85+X87+X89+X91+X93+X95+X97+X99+X101+X103+X105+X107+X109+X111+X113+X115+X117+X119+X121+X123+X125+X127+X129+X131+X133+X135+X137+X139+X141+X143+X145+X147+X149+X151+X153+X155+X157+X159+X161+X163+X165+X167+X169+X171+X173+X175+X177+X179+X181+X193+X183+X185+X187+X189+X191+X195+X197+X199+X201+X203+X205+X207+X209)</f>
        <v>75933306.25999999</v>
      </c>
    </row>
    <row r="212" spans="1:24" ht="13.5" thickBot="1" x14ac:dyDescent="0.25">
      <c r="A212" s="216"/>
      <c r="B212" s="563" t="s">
        <v>492</v>
      </c>
      <c r="C212" s="537"/>
      <c r="D212" s="537"/>
      <c r="E212" s="537"/>
      <c r="F212" s="537"/>
      <c r="G212" s="215"/>
      <c r="H212" s="176">
        <f>SUM(H8+H10+H12+H14+H16+H18+H20+H22+H24+H26+H28+H30+H32+H34+H36+H38+H40+H42+H44+H46+H48+H50+H52+H54+H56+H58+H60+H62+H64+H66+H68+H70+H72+H74+H76+H78+H80+H82+H84+H86+H88+H90+H92+H94+H96+H98+H100+H102+H104+H106+H108+H110+H112+H114+H116+H118+H120+H122+H124+H126+H128+H130+H132+H134+H136+H138+H140+H142+H144+H146+H148+H150+H152+H154+H156+H158+H160+H162+H164+H166+H168+H170+H172+H174+H176+H178+H180+H182+H194+H184+H186+H188+H190+H192+H196+H198+H200+H202+H204+H206+H208+H210)+74684.95</f>
        <v>210000</v>
      </c>
      <c r="I212" s="176">
        <f t="shared" ref="I212:W212" si="13">SUM(I8+I10+I12+I14+I16+I18+I20+I22+I24+I26+I28+I30+I32+I34+I36+I38+I40+I42+I44+I46+I48+I50+I52+I54+I56+I58+I60+I62+I64+I66+I68+I70+I72+I74+I76+I78+I80+I82+I84+I86+I88+I90+I92+I94+I96+I98+I100+I102+I104+I106+I108+I110+I112+I114+I116+I118+I120+I122+I124+I126+I128+I130+I132+I134+I136+I138+I140+I142+I144+I146+I148+I150+I152+I154+I156+I158+I160+I162+I164+I166+I168+I170+I172+I174+I176+I178+I180+I182+I194+I184+I186+I188+I190+I192+I196+I198+I200+I202+I204+I206+I208+I210)</f>
        <v>202115</v>
      </c>
      <c r="J212" s="176">
        <f t="shared" si="13"/>
        <v>264525</v>
      </c>
      <c r="K212" s="176">
        <f t="shared" si="13"/>
        <v>242300</v>
      </c>
      <c r="L212" s="176">
        <f t="shared" si="13"/>
        <v>220870</v>
      </c>
      <c r="M212" s="176">
        <f t="shared" si="13"/>
        <v>201832</v>
      </c>
      <c r="N212" s="176">
        <f t="shared" si="13"/>
        <v>184770</v>
      </c>
      <c r="O212" s="176">
        <f t="shared" si="13"/>
        <v>167260</v>
      </c>
      <c r="P212" s="176">
        <f t="shared" si="13"/>
        <v>150240</v>
      </c>
      <c r="Q212" s="176">
        <f t="shared" si="13"/>
        <v>134470</v>
      </c>
      <c r="R212" s="176">
        <f t="shared" si="13"/>
        <v>122660</v>
      </c>
      <c r="S212" s="176">
        <f t="shared" si="13"/>
        <v>112220</v>
      </c>
      <c r="T212" s="176">
        <f t="shared" si="13"/>
        <v>102840</v>
      </c>
      <c r="U212" s="176">
        <f>SUM(U8+U10+U12+U14+U16+U18+U20+U22+U24+U26+U28+U30+U32+U34+U36+U38+U40+U42+U44+U46+U48+U50+U52+U54+U56+U58+U60+U62+U64+U66+U68+U70+U72+U74+U76+U78+U80+U82+U84+U86+U88+U90+U92+U94+U96+U98+U100+U102+U104+U106+U108+U110+U112+U114+U116+U118+U120+U122+U124+U126+U128+U130+U132+U134+U136+U138+U140+U142+U144+U146+U148+U150+U152+U154+U156+U158+U160+U162+U164+U166+U168+U170+U172+U174+U176+U178+U180+U182+U194+U184+U186+U188+U190+U192+U196+U198+U200+U202+U204+U206+U208+U210)</f>
        <v>93545</v>
      </c>
      <c r="V212" s="176">
        <f t="shared" si="13"/>
        <v>84460</v>
      </c>
      <c r="W212" s="176">
        <f t="shared" si="13"/>
        <v>519750</v>
      </c>
      <c r="X212" s="175">
        <f>SUM(X8+X10+X12+X14+X16+X18+X20+X22+X24+X26+X28+X30+X32+X34+X36+X38+X40+X42+X44+X46+X48+X50+X52+X54+X56+X58+X60+X62+X64+X66+X68+X70+X72+X74+X76+X78+X80+X82+X84+X86+X88+X90+X92+X94+X96+X98+X100+X102+X104+X106+X108+X110+X112+X114+X116+X118+X120+X122+X124+X126+X128+X130+X132+X134+X136+X138+X140+X142+X144+X146+X148+X150+X152+X154+X156+X158+X160+X162+X164+X166+X168+X170+X172+X174+X176+X178+X180+X182+X194+X184+X186+X188+X190+X192+X196+X198+X200+X202+X204+X206+X208+X210)</f>
        <v>2939172.0500000003</v>
      </c>
    </row>
    <row r="213" spans="1:24" ht="13.5" thickTop="1" x14ac:dyDescent="0.2">
      <c r="A213" s="160"/>
      <c r="B213" s="544" t="s">
        <v>513</v>
      </c>
      <c r="C213" s="545"/>
      <c r="D213" s="545"/>
      <c r="E213" s="545"/>
      <c r="F213" s="545"/>
      <c r="G213" s="159"/>
      <c r="H213" s="158">
        <f t="shared" ref="H213:W213" si="14">SUM(H211:H212)</f>
        <v>4903770.0000000009</v>
      </c>
      <c r="I213" s="158">
        <f t="shared" si="14"/>
        <v>5364425</v>
      </c>
      <c r="J213" s="158">
        <f t="shared" si="14"/>
        <v>5850247</v>
      </c>
      <c r="K213" s="158">
        <f t="shared" si="14"/>
        <v>5662076</v>
      </c>
      <c r="L213" s="158">
        <f t="shared" si="14"/>
        <v>4958216</v>
      </c>
      <c r="M213" s="158">
        <f t="shared" si="14"/>
        <v>4552696.3899999997</v>
      </c>
      <c r="N213" s="158">
        <f t="shared" si="14"/>
        <v>4359614</v>
      </c>
      <c r="O213" s="158">
        <f t="shared" si="14"/>
        <v>4376164</v>
      </c>
      <c r="P213" s="158">
        <f t="shared" si="14"/>
        <v>4308264</v>
      </c>
      <c r="Q213" s="158">
        <f t="shared" si="14"/>
        <v>3146801</v>
      </c>
      <c r="R213" s="158">
        <f t="shared" si="14"/>
        <v>2625551</v>
      </c>
      <c r="S213" s="158">
        <f t="shared" si="14"/>
        <v>2428240</v>
      </c>
      <c r="T213" s="158">
        <f t="shared" si="14"/>
        <v>2392930</v>
      </c>
      <c r="U213" s="158">
        <f t="shared" si="14"/>
        <v>2390121</v>
      </c>
      <c r="V213" s="158">
        <f t="shared" si="14"/>
        <v>2381036</v>
      </c>
      <c r="W213" s="158">
        <f t="shared" si="14"/>
        <v>19351341.489999998</v>
      </c>
      <c r="X213" s="214">
        <f>SUM(X211:X212)</f>
        <v>78872478.309999987</v>
      </c>
    </row>
    <row r="214" spans="1:24" ht="15" customHeight="1" x14ac:dyDescent="0.2">
      <c r="A214" s="156"/>
      <c r="B214" s="538" t="s">
        <v>490</v>
      </c>
      <c r="C214" s="539"/>
      <c r="D214" s="546" t="s">
        <v>489</v>
      </c>
      <c r="E214" s="546"/>
      <c r="F214" s="311">
        <v>59357564</v>
      </c>
      <c r="G214" s="155" t="s">
        <v>488</v>
      </c>
      <c r="H214" s="154">
        <f t="shared" ref="H214:W214" si="15">SUM(H213/$F$214)</f>
        <v>8.2614070887410421E-2</v>
      </c>
      <c r="I214" s="154">
        <f t="shared" si="15"/>
        <v>9.0374749880234306E-2</v>
      </c>
      <c r="J214" s="154">
        <f t="shared" si="15"/>
        <v>9.85594186446061E-2</v>
      </c>
      <c r="K214" s="154">
        <f t="shared" si="15"/>
        <v>9.5389291919055166E-2</v>
      </c>
      <c r="L214" s="154">
        <f t="shared" si="15"/>
        <v>8.3531325510595417E-2</v>
      </c>
      <c r="M214" s="154">
        <f t="shared" si="15"/>
        <v>7.669951533051457E-2</v>
      </c>
      <c r="N214" s="154">
        <f t="shared" si="15"/>
        <v>7.3446646159535792E-2</v>
      </c>
      <c r="O214" s="154">
        <f t="shared" si="15"/>
        <v>7.37254648792528E-2</v>
      </c>
      <c r="P214" s="154">
        <f t="shared" si="15"/>
        <v>7.2581550011048296E-2</v>
      </c>
      <c r="Q214" s="154">
        <f t="shared" si="15"/>
        <v>5.3014321814149917E-2</v>
      </c>
      <c r="R214" s="154">
        <f t="shared" si="15"/>
        <v>4.4232795672005679E-2</v>
      </c>
      <c r="S214" s="153">
        <f t="shared" si="15"/>
        <v>4.0908686886139738E-2</v>
      </c>
      <c r="T214" s="153">
        <f t="shared" si="15"/>
        <v>4.0313817460568294E-2</v>
      </c>
      <c r="U214" s="153">
        <f t="shared" si="15"/>
        <v>4.0266494089952885E-2</v>
      </c>
      <c r="V214" s="153">
        <f t="shared" si="15"/>
        <v>4.0113438617528169E-2</v>
      </c>
      <c r="W214" s="153">
        <f t="shared" si="15"/>
        <v>0.32601306701198179</v>
      </c>
      <c r="X214" s="213"/>
    </row>
    <row r="215" spans="1:24" x14ac:dyDescent="0.2">
      <c r="F215" s="151"/>
      <c r="G215" s="150"/>
      <c r="H215" s="148"/>
      <c r="I215" s="148"/>
      <c r="J215" s="148"/>
      <c r="K215" s="148"/>
      <c r="L215" s="148"/>
      <c r="M215" s="148"/>
      <c r="N215" s="148"/>
      <c r="O215" s="148"/>
      <c r="P215" s="148"/>
      <c r="Q215" s="148"/>
      <c r="R215" s="148"/>
      <c r="S215" s="148"/>
      <c r="T215" s="148"/>
      <c r="U215" s="148"/>
      <c r="V215" s="148"/>
      <c r="W215" s="148"/>
    </row>
    <row r="216" spans="1:24" s="207" customFormat="1" ht="15" hidden="1" customHeight="1" x14ac:dyDescent="0.25">
      <c r="B216" s="212"/>
      <c r="C216" s="212"/>
      <c r="D216" s="212"/>
      <c r="E216" s="561" t="s">
        <v>512</v>
      </c>
      <c r="F216" s="561"/>
      <c r="G216" s="561"/>
      <c r="I216" s="211">
        <f t="shared" ref="I216:V216" si="16">I211-H211</f>
        <v>468539.99999999907</v>
      </c>
      <c r="J216" s="211">
        <f t="shared" si="16"/>
        <v>423412</v>
      </c>
      <c r="K216" s="211">
        <f t="shared" si="16"/>
        <v>-165946</v>
      </c>
      <c r="L216" s="211">
        <f t="shared" si="16"/>
        <v>-682430</v>
      </c>
      <c r="M216" s="211">
        <f t="shared" si="16"/>
        <v>-386481.61000000034</v>
      </c>
      <c r="N216" s="211">
        <f t="shared" si="16"/>
        <v>-176020.38999999966</v>
      </c>
      <c r="O216" s="211">
        <f t="shared" si="16"/>
        <v>34060</v>
      </c>
      <c r="P216" s="211">
        <f t="shared" si="16"/>
        <v>-50880</v>
      </c>
      <c r="Q216" s="211">
        <f t="shared" si="16"/>
        <v>-1145693</v>
      </c>
      <c r="R216" s="211">
        <f t="shared" si="16"/>
        <v>-509440</v>
      </c>
      <c r="S216" s="211">
        <f t="shared" si="16"/>
        <v>-186871</v>
      </c>
      <c r="T216" s="211">
        <f t="shared" si="16"/>
        <v>-25930</v>
      </c>
      <c r="U216" s="211">
        <f t="shared" si="16"/>
        <v>6486</v>
      </c>
      <c r="V216" s="211">
        <f t="shared" si="16"/>
        <v>0</v>
      </c>
      <c r="W216" s="211"/>
      <c r="X216" s="210"/>
    </row>
    <row r="217" spans="1:24" s="199" customFormat="1" ht="15" hidden="1" customHeight="1" x14ac:dyDescent="0.2">
      <c r="B217" s="208"/>
      <c r="C217" s="209"/>
      <c r="D217" s="209"/>
      <c r="E217" s="209"/>
      <c r="F217" s="209"/>
      <c r="G217" s="209"/>
      <c r="P217" s="205"/>
      <c r="Q217" s="205"/>
      <c r="R217" s="205"/>
      <c r="S217" s="205"/>
      <c r="T217" s="205"/>
      <c r="U217" s="205"/>
      <c r="X217" s="200"/>
    </row>
    <row r="218" spans="1:24" s="199" customFormat="1" ht="15.75" hidden="1" customHeight="1" x14ac:dyDescent="0.2">
      <c r="B218" s="208"/>
      <c r="C218" s="437" t="s">
        <v>999</v>
      </c>
      <c r="D218" s="207"/>
      <c r="E218" s="561"/>
      <c r="F218" s="561"/>
      <c r="G218" s="561"/>
      <c r="H218" s="206"/>
      <c r="I218" s="205"/>
      <c r="J218" s="204"/>
      <c r="K218" s="203"/>
      <c r="L218" s="202"/>
      <c r="M218" s="201"/>
      <c r="X218" s="200"/>
    </row>
    <row r="219" spans="1:24" s="137" customFormat="1" ht="21" customHeight="1" x14ac:dyDescent="0.2">
      <c r="A219" s="198"/>
      <c r="B219" s="415" t="s">
        <v>511</v>
      </c>
      <c r="C219" s="198"/>
      <c r="D219" s="198"/>
      <c r="E219" s="132"/>
      <c r="F219" s="197"/>
      <c r="G219" s="197"/>
      <c r="H219" s="196"/>
      <c r="I219" s="196"/>
      <c r="J219" s="196"/>
      <c r="K219" s="196"/>
      <c r="L219" s="196"/>
      <c r="M219" s="196"/>
      <c r="N219" s="196"/>
      <c r="O219" s="196"/>
      <c r="P219" s="196"/>
      <c r="Q219" s="196"/>
      <c r="R219" s="196"/>
      <c r="S219" s="196"/>
      <c r="T219" s="196"/>
      <c r="U219" s="196"/>
      <c r="V219" s="196"/>
      <c r="W219" s="196"/>
      <c r="X219" s="196"/>
    </row>
    <row r="220" spans="1:24" s="137" customFormat="1" ht="12.75" customHeight="1" x14ac:dyDescent="0.2">
      <c r="A220" s="547">
        <v>1</v>
      </c>
      <c r="B220" s="190" t="s">
        <v>500</v>
      </c>
      <c r="C220" s="549" t="s">
        <v>510</v>
      </c>
      <c r="D220" s="559"/>
      <c r="E220" s="551">
        <v>5122338.5199999996</v>
      </c>
      <c r="F220" s="553" t="s">
        <v>509</v>
      </c>
      <c r="G220" s="194" t="s">
        <v>498</v>
      </c>
      <c r="H220" s="260">
        <v>216000</v>
      </c>
      <c r="I220" s="260">
        <v>216000</v>
      </c>
      <c r="J220" s="260">
        <v>216000</v>
      </c>
      <c r="K220" s="260">
        <v>216000</v>
      </c>
      <c r="L220" s="260">
        <v>216000</v>
      </c>
      <c r="M220" s="260">
        <v>216000</v>
      </c>
      <c r="N220" s="260">
        <v>216000</v>
      </c>
      <c r="O220" s="260">
        <v>216000</v>
      </c>
      <c r="P220" s="260">
        <v>216000</v>
      </c>
      <c r="Q220" s="260">
        <v>216000</v>
      </c>
      <c r="R220" s="260">
        <v>216000</v>
      </c>
      <c r="S220" s="260">
        <v>216000</v>
      </c>
      <c r="T220" s="260">
        <v>216000</v>
      </c>
      <c r="U220" s="260">
        <v>0</v>
      </c>
      <c r="V220" s="260"/>
      <c r="W220" s="413"/>
      <c r="X220" s="193">
        <f t="shared" ref="X220:X229" si="17">SUM(H220:V220)</f>
        <v>2808000</v>
      </c>
    </row>
    <row r="221" spans="1:24" s="137" customFormat="1" x14ac:dyDescent="0.2">
      <c r="A221" s="548"/>
      <c r="B221" s="184" t="s">
        <v>508</v>
      </c>
      <c r="C221" s="550"/>
      <c r="D221" s="560"/>
      <c r="E221" s="552"/>
      <c r="F221" s="554"/>
      <c r="G221" s="192">
        <v>7.0000000000000001E-3</v>
      </c>
      <c r="H221" s="266">
        <v>14070</v>
      </c>
      <c r="I221" s="266">
        <v>12975</v>
      </c>
      <c r="J221" s="266">
        <v>11910</v>
      </c>
      <c r="K221" s="266">
        <v>10785</v>
      </c>
      <c r="L221" s="266">
        <v>9690</v>
      </c>
      <c r="M221" s="266">
        <v>8595</v>
      </c>
      <c r="N221" s="266">
        <v>7520</v>
      </c>
      <c r="O221" s="266">
        <v>6405</v>
      </c>
      <c r="P221" s="266">
        <v>5310</v>
      </c>
      <c r="Q221" s="266">
        <v>4215</v>
      </c>
      <c r="R221" s="266">
        <v>3130</v>
      </c>
      <c r="S221" s="266">
        <v>2025</v>
      </c>
      <c r="T221" s="266">
        <v>930</v>
      </c>
      <c r="U221" s="266">
        <v>65</v>
      </c>
      <c r="V221" s="266"/>
      <c r="W221" s="414"/>
      <c r="X221" s="191">
        <f t="shared" si="17"/>
        <v>97625</v>
      </c>
    </row>
    <row r="222" spans="1:24" s="137" customFormat="1" ht="12.75" customHeight="1" x14ac:dyDescent="0.2">
      <c r="A222" s="547">
        <v>2</v>
      </c>
      <c r="B222" s="190" t="s">
        <v>507</v>
      </c>
      <c r="C222" s="549" t="s">
        <v>506</v>
      </c>
      <c r="D222" s="559"/>
      <c r="E222" s="551">
        <v>435398.77</v>
      </c>
      <c r="F222" s="553" t="s">
        <v>505</v>
      </c>
      <c r="G222" s="194" t="s">
        <v>498</v>
      </c>
      <c r="H222" s="260">
        <v>69592.399999999994</v>
      </c>
      <c r="I222" s="260">
        <v>52637.09</v>
      </c>
      <c r="J222" s="260"/>
      <c r="K222" s="260"/>
      <c r="L222" s="260"/>
      <c r="M222" s="260"/>
      <c r="N222" s="260"/>
      <c r="O222" s="260"/>
      <c r="P222" s="260"/>
      <c r="Q222" s="260"/>
      <c r="R222" s="260"/>
      <c r="S222" s="260"/>
      <c r="T222" s="260"/>
      <c r="U222" s="260"/>
      <c r="V222" s="413"/>
      <c r="W222" s="413"/>
      <c r="X222" s="193">
        <f t="shared" si="17"/>
        <v>122229.48999999999</v>
      </c>
    </row>
    <row r="223" spans="1:24" s="137" customFormat="1" ht="13.5" customHeight="1" x14ac:dyDescent="0.2">
      <c r="A223" s="548"/>
      <c r="B223" s="195" t="s">
        <v>504</v>
      </c>
      <c r="C223" s="550"/>
      <c r="D223" s="560"/>
      <c r="E223" s="552"/>
      <c r="F223" s="554"/>
      <c r="G223" s="192">
        <v>1.9970000000000002E-2</v>
      </c>
      <c r="H223" s="266">
        <v>1855</v>
      </c>
      <c r="I223" s="266">
        <v>445</v>
      </c>
      <c r="J223" s="266"/>
      <c r="K223" s="266"/>
      <c r="L223" s="266"/>
      <c r="M223" s="266"/>
      <c r="N223" s="266"/>
      <c r="O223" s="266"/>
      <c r="P223" s="266"/>
      <c r="Q223" s="266"/>
      <c r="R223" s="266"/>
      <c r="S223" s="266"/>
      <c r="T223" s="266"/>
      <c r="U223" s="266"/>
      <c r="V223" s="414"/>
      <c r="W223" s="414"/>
      <c r="X223" s="191">
        <f t="shared" si="17"/>
        <v>2300</v>
      </c>
    </row>
    <row r="224" spans="1:24" s="137" customFormat="1" ht="12.75" customHeight="1" x14ac:dyDescent="0.2">
      <c r="A224" s="547">
        <v>3</v>
      </c>
      <c r="B224" s="190" t="s">
        <v>500</v>
      </c>
      <c r="C224" s="549" t="s">
        <v>503</v>
      </c>
      <c r="D224" s="559"/>
      <c r="E224" s="551">
        <v>522193.95</v>
      </c>
      <c r="F224" s="553" t="s">
        <v>502</v>
      </c>
      <c r="G224" s="194" t="s">
        <v>498</v>
      </c>
      <c r="H224" s="260">
        <f>10800+5400+5400</f>
        <v>21600</v>
      </c>
      <c r="I224" s="260"/>
      <c r="J224" s="260"/>
      <c r="K224" s="260"/>
      <c r="L224" s="260">
        <f>10959.73-5400-5400</f>
        <v>159.72999999999956</v>
      </c>
      <c r="M224" s="260">
        <v>32139.84</v>
      </c>
      <c r="N224" s="260">
        <v>32139.84</v>
      </c>
      <c r="O224" s="260">
        <v>32139.84</v>
      </c>
      <c r="P224" s="260">
        <v>32139.84</v>
      </c>
      <c r="Q224" s="260">
        <v>32139.84</v>
      </c>
      <c r="R224" s="260">
        <v>32139.84</v>
      </c>
      <c r="S224" s="260">
        <v>32139.84</v>
      </c>
      <c r="T224" s="260">
        <v>32061.39</v>
      </c>
      <c r="U224" s="260">
        <v>0</v>
      </c>
      <c r="V224" s="413"/>
      <c r="W224" s="413"/>
      <c r="X224" s="193">
        <f t="shared" si="17"/>
        <v>278800</v>
      </c>
    </row>
    <row r="225" spans="1:24" s="137" customFormat="1" x14ac:dyDescent="0.2">
      <c r="A225" s="548"/>
      <c r="B225" s="184" t="s">
        <v>501</v>
      </c>
      <c r="C225" s="550"/>
      <c r="D225" s="560"/>
      <c r="E225" s="552"/>
      <c r="F225" s="554"/>
      <c r="G225" s="192">
        <v>7.0000000000000001E-3</v>
      </c>
      <c r="H225" s="266">
        <v>1400</v>
      </c>
      <c r="I225" s="266">
        <v>1360</v>
      </c>
      <c r="J225" s="266">
        <v>1365</v>
      </c>
      <c r="K225" s="266">
        <v>1360</v>
      </c>
      <c r="L225" s="266">
        <v>1360</v>
      </c>
      <c r="M225" s="266">
        <v>1275</v>
      </c>
      <c r="N225" s="266">
        <v>1120</v>
      </c>
      <c r="O225" s="266">
        <v>955</v>
      </c>
      <c r="P225" s="266">
        <v>790</v>
      </c>
      <c r="Q225" s="266">
        <v>630</v>
      </c>
      <c r="R225" s="266">
        <v>465</v>
      </c>
      <c r="S225" s="266">
        <v>305</v>
      </c>
      <c r="T225" s="266">
        <v>140</v>
      </c>
      <c r="U225" s="266">
        <v>10</v>
      </c>
      <c r="V225" s="414"/>
      <c r="W225" s="414"/>
      <c r="X225" s="191">
        <f t="shared" si="17"/>
        <v>12535</v>
      </c>
    </row>
    <row r="226" spans="1:24" s="137" customFormat="1" x14ac:dyDescent="0.2">
      <c r="A226" s="555">
        <v>4</v>
      </c>
      <c r="B226" s="190" t="s">
        <v>500</v>
      </c>
      <c r="C226" s="549" t="s">
        <v>983</v>
      </c>
      <c r="D226" s="559"/>
      <c r="E226" s="551">
        <v>305000</v>
      </c>
      <c r="F226" s="553" t="s">
        <v>499</v>
      </c>
      <c r="G226" s="194" t="s">
        <v>498</v>
      </c>
      <c r="H226" s="260">
        <v>195525</v>
      </c>
      <c r="I226" s="260"/>
      <c r="J226" s="260"/>
      <c r="K226" s="260"/>
      <c r="L226" s="260"/>
      <c r="M226" s="260"/>
      <c r="N226" s="260"/>
      <c r="O226" s="260"/>
      <c r="P226" s="260"/>
      <c r="Q226" s="260"/>
      <c r="R226" s="260"/>
      <c r="S226" s="260"/>
      <c r="T226" s="260"/>
      <c r="U226" s="260"/>
      <c r="V226" s="260"/>
      <c r="W226" s="413"/>
      <c r="X226" s="193">
        <f t="shared" si="17"/>
        <v>195525</v>
      </c>
    </row>
    <row r="227" spans="1:24" s="137" customFormat="1" x14ac:dyDescent="0.2">
      <c r="A227" s="556"/>
      <c r="B227" s="184" t="s">
        <v>497</v>
      </c>
      <c r="C227" s="550"/>
      <c r="D227" s="560"/>
      <c r="E227" s="552"/>
      <c r="F227" s="554"/>
      <c r="G227" s="192">
        <v>7.0000000000000001E-3</v>
      </c>
      <c r="H227" s="266">
        <v>0</v>
      </c>
      <c r="I227" s="266"/>
      <c r="J227" s="266"/>
      <c r="K227" s="266"/>
      <c r="L227" s="266"/>
      <c r="M227" s="266"/>
      <c r="N227" s="266"/>
      <c r="O227" s="266"/>
      <c r="P227" s="266"/>
      <c r="Q227" s="266"/>
      <c r="R227" s="266"/>
      <c r="S227" s="266"/>
      <c r="T227" s="266"/>
      <c r="U227" s="266"/>
      <c r="V227" s="266"/>
      <c r="W227" s="414"/>
      <c r="X227" s="191">
        <f t="shared" si="17"/>
        <v>0</v>
      </c>
    </row>
    <row r="228" spans="1:24" s="137" customFormat="1" hidden="1" x14ac:dyDescent="0.2">
      <c r="A228" s="555"/>
      <c r="B228" s="190"/>
      <c r="C228" s="549"/>
      <c r="D228" s="189"/>
      <c r="E228" s="551"/>
      <c r="F228" s="557"/>
      <c r="G228" s="188"/>
      <c r="H228" s="187"/>
      <c r="I228" s="187"/>
      <c r="J228" s="187"/>
      <c r="K228" s="187"/>
      <c r="L228" s="187"/>
      <c r="M228" s="187"/>
      <c r="N228" s="187"/>
      <c r="O228" s="187"/>
      <c r="P228" s="187"/>
      <c r="Q228" s="187"/>
      <c r="R228" s="187"/>
      <c r="S228" s="187"/>
      <c r="T228" s="187"/>
      <c r="U228" s="187"/>
      <c r="V228" s="187"/>
      <c r="W228" s="186"/>
      <c r="X228" s="185">
        <f t="shared" si="17"/>
        <v>0</v>
      </c>
    </row>
    <row r="229" spans="1:24" s="137" customFormat="1" hidden="1" x14ac:dyDescent="0.2">
      <c r="A229" s="556"/>
      <c r="B229" s="184"/>
      <c r="C229" s="550"/>
      <c r="D229" s="183"/>
      <c r="E229" s="552"/>
      <c r="F229" s="558"/>
      <c r="G229" s="182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  <c r="R229" s="181"/>
      <c r="S229" s="181"/>
      <c r="T229" s="181"/>
      <c r="U229" s="181"/>
      <c r="V229" s="181"/>
      <c r="W229" s="180"/>
      <c r="X229" s="179">
        <f t="shared" si="17"/>
        <v>0</v>
      </c>
    </row>
    <row r="230" spans="1:24" s="137" customFormat="1" x14ac:dyDescent="0.2">
      <c r="A230" s="168"/>
      <c r="B230" s="534" t="s">
        <v>496</v>
      </c>
      <c r="C230" s="535"/>
      <c r="D230" s="535"/>
      <c r="E230" s="535"/>
      <c r="F230" s="536"/>
      <c r="G230" s="167"/>
      <c r="H230" s="178">
        <f t="shared" ref="H230:X230" si="18">+H220+H222+H224+H226+H228</f>
        <v>502717.4</v>
      </c>
      <c r="I230" s="178">
        <f t="shared" si="18"/>
        <v>268637.08999999997</v>
      </c>
      <c r="J230" s="178">
        <f t="shared" si="18"/>
        <v>216000</v>
      </c>
      <c r="K230" s="178">
        <f t="shared" si="18"/>
        <v>216000</v>
      </c>
      <c r="L230" s="178">
        <f t="shared" si="18"/>
        <v>216159.73</v>
      </c>
      <c r="M230" s="178">
        <f t="shared" si="18"/>
        <v>248139.84</v>
      </c>
      <c r="N230" s="178">
        <f t="shared" si="18"/>
        <v>248139.84</v>
      </c>
      <c r="O230" s="178">
        <f t="shared" si="18"/>
        <v>248139.84</v>
      </c>
      <c r="P230" s="178">
        <f t="shared" si="18"/>
        <v>248139.84</v>
      </c>
      <c r="Q230" s="178">
        <f t="shared" si="18"/>
        <v>248139.84</v>
      </c>
      <c r="R230" s="178">
        <f t="shared" si="18"/>
        <v>248139.84</v>
      </c>
      <c r="S230" s="178">
        <f t="shared" si="18"/>
        <v>248139.84</v>
      </c>
      <c r="T230" s="178">
        <f t="shared" si="18"/>
        <v>248061.39</v>
      </c>
      <c r="U230" s="178">
        <f t="shared" si="18"/>
        <v>0</v>
      </c>
      <c r="V230" s="178">
        <f t="shared" si="18"/>
        <v>0</v>
      </c>
      <c r="W230" s="178">
        <f t="shared" si="18"/>
        <v>0</v>
      </c>
      <c r="X230" s="177">
        <f t="shared" si="18"/>
        <v>3404554.49</v>
      </c>
    </row>
    <row r="231" spans="1:24" s="137" customFormat="1" ht="13.5" thickBot="1" x14ac:dyDescent="0.25">
      <c r="A231" s="164"/>
      <c r="B231" s="537" t="s">
        <v>492</v>
      </c>
      <c r="C231" s="537"/>
      <c r="D231" s="537"/>
      <c r="E231" s="537"/>
      <c r="F231" s="537"/>
      <c r="G231" s="163"/>
      <c r="H231" s="176">
        <f t="shared" ref="H231:X231" si="19">+H221+H223+H225+H227+H229</f>
        <v>17325</v>
      </c>
      <c r="I231" s="176">
        <f t="shared" si="19"/>
        <v>14780</v>
      </c>
      <c r="J231" s="176">
        <f t="shared" si="19"/>
        <v>13275</v>
      </c>
      <c r="K231" s="176">
        <f t="shared" si="19"/>
        <v>12145</v>
      </c>
      <c r="L231" s="176">
        <f t="shared" si="19"/>
        <v>11050</v>
      </c>
      <c r="M231" s="176">
        <f t="shared" si="19"/>
        <v>9870</v>
      </c>
      <c r="N231" s="176">
        <f t="shared" si="19"/>
        <v>8640</v>
      </c>
      <c r="O231" s="176">
        <f t="shared" si="19"/>
        <v>7360</v>
      </c>
      <c r="P231" s="176">
        <f t="shared" si="19"/>
        <v>6100</v>
      </c>
      <c r="Q231" s="176">
        <f t="shared" si="19"/>
        <v>4845</v>
      </c>
      <c r="R231" s="176">
        <f t="shared" si="19"/>
        <v>3595</v>
      </c>
      <c r="S231" s="176">
        <f t="shared" si="19"/>
        <v>2330</v>
      </c>
      <c r="T231" s="176">
        <f t="shared" si="19"/>
        <v>1070</v>
      </c>
      <c r="U231" s="176">
        <f t="shared" si="19"/>
        <v>75</v>
      </c>
      <c r="V231" s="176">
        <f t="shared" si="19"/>
        <v>0</v>
      </c>
      <c r="W231" s="176">
        <f t="shared" si="19"/>
        <v>0</v>
      </c>
      <c r="X231" s="175">
        <f t="shared" si="19"/>
        <v>112460</v>
      </c>
    </row>
    <row r="232" spans="1:24" s="137" customFormat="1" ht="13.5" thickTop="1" x14ac:dyDescent="0.2">
      <c r="A232" s="174"/>
      <c r="B232" s="540" t="s">
        <v>495</v>
      </c>
      <c r="C232" s="541"/>
      <c r="D232" s="541"/>
      <c r="E232" s="541"/>
      <c r="F232" s="541"/>
      <c r="G232" s="173"/>
      <c r="H232" s="172">
        <f t="shared" ref="H232:X232" si="20">SUM(H230:H231)</f>
        <v>520042.4</v>
      </c>
      <c r="I232" s="172">
        <f t="shared" si="20"/>
        <v>283417.08999999997</v>
      </c>
      <c r="J232" s="172">
        <f t="shared" si="20"/>
        <v>229275</v>
      </c>
      <c r="K232" s="172">
        <f t="shared" si="20"/>
        <v>228145</v>
      </c>
      <c r="L232" s="172">
        <f t="shared" si="20"/>
        <v>227209.73</v>
      </c>
      <c r="M232" s="172">
        <f t="shared" si="20"/>
        <v>258009.84</v>
      </c>
      <c r="N232" s="172">
        <f t="shared" si="20"/>
        <v>256779.84</v>
      </c>
      <c r="O232" s="172">
        <f t="shared" si="20"/>
        <v>255499.84</v>
      </c>
      <c r="P232" s="172">
        <f t="shared" si="20"/>
        <v>254239.84</v>
      </c>
      <c r="Q232" s="172">
        <f t="shared" si="20"/>
        <v>252984.84</v>
      </c>
      <c r="R232" s="172">
        <f t="shared" si="20"/>
        <v>251734.84</v>
      </c>
      <c r="S232" s="172">
        <f t="shared" si="20"/>
        <v>250469.84</v>
      </c>
      <c r="T232" s="172">
        <f t="shared" si="20"/>
        <v>249131.39</v>
      </c>
      <c r="U232" s="172">
        <f t="shared" si="20"/>
        <v>75</v>
      </c>
      <c r="V232" s="172">
        <f t="shared" si="20"/>
        <v>0</v>
      </c>
      <c r="W232" s="172">
        <f t="shared" si="20"/>
        <v>0</v>
      </c>
      <c r="X232" s="171">
        <f t="shared" si="20"/>
        <v>3517014.49</v>
      </c>
    </row>
    <row r="233" spans="1:24" x14ac:dyDescent="0.2">
      <c r="F233" s="542"/>
      <c r="G233" s="542"/>
      <c r="Q233" s="170"/>
      <c r="R233" s="170"/>
      <c r="S233" s="170"/>
      <c r="T233" s="170"/>
      <c r="U233" s="170"/>
      <c r="V233" s="170"/>
      <c r="W233" s="170"/>
    </row>
    <row r="234" spans="1:24" s="137" customFormat="1" ht="24.75" customHeight="1" x14ac:dyDescent="0.2">
      <c r="A234" s="131"/>
      <c r="B234" s="543" t="s">
        <v>494</v>
      </c>
      <c r="C234" s="543"/>
      <c r="D234" s="169"/>
      <c r="E234" s="132"/>
      <c r="F234" s="131"/>
      <c r="G234" s="131"/>
      <c r="H234" s="131"/>
      <c r="I234" s="131"/>
      <c r="J234" s="131"/>
      <c r="K234" s="131"/>
      <c r="L234" s="131"/>
      <c r="M234" s="131"/>
      <c r="N234" s="131"/>
      <c r="O234" s="131"/>
      <c r="P234" s="131"/>
      <c r="Q234" s="131"/>
      <c r="R234" s="131"/>
      <c r="S234" s="131"/>
      <c r="T234" s="131"/>
      <c r="U234" s="131"/>
      <c r="V234" s="131"/>
      <c r="W234" s="131"/>
      <c r="X234" s="131"/>
    </row>
    <row r="235" spans="1:24" s="137" customFormat="1" x14ac:dyDescent="0.2">
      <c r="A235" s="168"/>
      <c r="B235" s="534" t="s">
        <v>493</v>
      </c>
      <c r="C235" s="535"/>
      <c r="D235" s="535"/>
      <c r="E235" s="535"/>
      <c r="F235" s="536"/>
      <c r="G235" s="167"/>
      <c r="H235" s="166">
        <f t="shared" ref="H235:W235" si="21">H211+H230</f>
        <v>5196487.4000000013</v>
      </c>
      <c r="I235" s="166">
        <f t="shared" si="21"/>
        <v>5430947.0899999999</v>
      </c>
      <c r="J235" s="166">
        <f t="shared" si="21"/>
        <v>5801722</v>
      </c>
      <c r="K235" s="166">
        <f t="shared" si="21"/>
        <v>5635776</v>
      </c>
      <c r="L235" s="166">
        <f t="shared" si="21"/>
        <v>4953505.7300000004</v>
      </c>
      <c r="M235" s="166">
        <f t="shared" si="21"/>
        <v>4599004.2299999995</v>
      </c>
      <c r="N235" s="166">
        <f t="shared" si="21"/>
        <v>4422983.84</v>
      </c>
      <c r="O235" s="166">
        <f t="shared" si="21"/>
        <v>4457043.84</v>
      </c>
      <c r="P235" s="166">
        <f t="shared" si="21"/>
        <v>4406163.84</v>
      </c>
      <c r="Q235" s="166">
        <f t="shared" si="21"/>
        <v>3260470.84</v>
      </c>
      <c r="R235" s="166">
        <f t="shared" si="21"/>
        <v>2751030.84</v>
      </c>
      <c r="S235" s="166">
        <f t="shared" si="21"/>
        <v>2564159.84</v>
      </c>
      <c r="T235" s="166">
        <f t="shared" si="21"/>
        <v>2538151.39</v>
      </c>
      <c r="U235" s="166">
        <f t="shared" si="21"/>
        <v>2296576</v>
      </c>
      <c r="V235" s="166">
        <f t="shared" si="21"/>
        <v>2296576</v>
      </c>
      <c r="W235" s="166">
        <f t="shared" si="21"/>
        <v>18831591.489999998</v>
      </c>
      <c r="X235" s="165">
        <f>SUM(H235:W235)</f>
        <v>79442190.37000002</v>
      </c>
    </row>
    <row r="236" spans="1:24" s="137" customFormat="1" ht="13.5" thickBot="1" x14ac:dyDescent="0.25">
      <c r="A236" s="164"/>
      <c r="B236" s="537" t="s">
        <v>492</v>
      </c>
      <c r="C236" s="537"/>
      <c r="D236" s="537"/>
      <c r="E236" s="537"/>
      <c r="F236" s="537"/>
      <c r="G236" s="163"/>
      <c r="H236" s="162">
        <f t="shared" ref="H236:W236" si="22">H212+H231</f>
        <v>227325</v>
      </c>
      <c r="I236" s="162">
        <f t="shared" si="22"/>
        <v>216895</v>
      </c>
      <c r="J236" s="162">
        <f t="shared" si="22"/>
        <v>277800</v>
      </c>
      <c r="K236" s="162">
        <f t="shared" si="22"/>
        <v>254445</v>
      </c>
      <c r="L236" s="162">
        <f t="shared" si="22"/>
        <v>231920</v>
      </c>
      <c r="M236" s="162">
        <f t="shared" si="22"/>
        <v>211702</v>
      </c>
      <c r="N236" s="162">
        <f t="shared" si="22"/>
        <v>193410</v>
      </c>
      <c r="O236" s="162">
        <f t="shared" si="22"/>
        <v>174620</v>
      </c>
      <c r="P236" s="162">
        <f t="shared" si="22"/>
        <v>156340</v>
      </c>
      <c r="Q236" s="162">
        <f t="shared" si="22"/>
        <v>139315</v>
      </c>
      <c r="R236" s="162">
        <f t="shared" si="22"/>
        <v>126255</v>
      </c>
      <c r="S236" s="162">
        <f t="shared" si="22"/>
        <v>114550</v>
      </c>
      <c r="T236" s="162">
        <f t="shared" si="22"/>
        <v>103910</v>
      </c>
      <c r="U236" s="162">
        <f t="shared" si="22"/>
        <v>93620</v>
      </c>
      <c r="V236" s="162">
        <f t="shared" si="22"/>
        <v>84460</v>
      </c>
      <c r="W236" s="162">
        <f t="shared" si="22"/>
        <v>519750</v>
      </c>
      <c r="X236" s="161">
        <f>SUM(H236:W236)</f>
        <v>3126317</v>
      </c>
    </row>
    <row r="237" spans="1:24" s="137" customFormat="1" ht="13.5" thickTop="1" x14ac:dyDescent="0.2">
      <c r="A237" s="160"/>
      <c r="B237" s="544" t="s">
        <v>491</v>
      </c>
      <c r="C237" s="545"/>
      <c r="D237" s="545"/>
      <c r="E237" s="545"/>
      <c r="F237" s="545"/>
      <c r="G237" s="159"/>
      <c r="H237" s="158">
        <f t="shared" ref="H237:X237" si="23">SUM(H235:H236)</f>
        <v>5423812.4000000013</v>
      </c>
      <c r="I237" s="158">
        <f t="shared" si="23"/>
        <v>5647842.0899999999</v>
      </c>
      <c r="J237" s="158">
        <f t="shared" si="23"/>
        <v>6079522</v>
      </c>
      <c r="K237" s="158">
        <f t="shared" si="23"/>
        <v>5890221</v>
      </c>
      <c r="L237" s="158">
        <f t="shared" si="23"/>
        <v>5185425.7300000004</v>
      </c>
      <c r="M237" s="158">
        <f t="shared" si="23"/>
        <v>4810706.2299999995</v>
      </c>
      <c r="N237" s="158">
        <f t="shared" si="23"/>
        <v>4616393.84</v>
      </c>
      <c r="O237" s="158">
        <f t="shared" si="23"/>
        <v>4631663.84</v>
      </c>
      <c r="P237" s="158">
        <f t="shared" si="23"/>
        <v>4562503.84</v>
      </c>
      <c r="Q237" s="158">
        <f t="shared" si="23"/>
        <v>3399785.84</v>
      </c>
      <c r="R237" s="158">
        <f t="shared" si="23"/>
        <v>2877285.84</v>
      </c>
      <c r="S237" s="158">
        <f t="shared" si="23"/>
        <v>2678709.84</v>
      </c>
      <c r="T237" s="158">
        <f t="shared" si="23"/>
        <v>2642061.39</v>
      </c>
      <c r="U237" s="158">
        <f t="shared" si="23"/>
        <v>2390196</v>
      </c>
      <c r="V237" s="158">
        <f t="shared" si="23"/>
        <v>2381036</v>
      </c>
      <c r="W237" s="158">
        <f t="shared" si="23"/>
        <v>19351341.489999998</v>
      </c>
      <c r="X237" s="157">
        <f t="shared" si="23"/>
        <v>82568507.37000002</v>
      </c>
    </row>
    <row r="238" spans="1:24" s="137" customFormat="1" ht="15" customHeight="1" x14ac:dyDescent="0.2">
      <c r="A238" s="156"/>
      <c r="B238" s="538" t="s">
        <v>490</v>
      </c>
      <c r="C238" s="539"/>
      <c r="D238" s="546" t="s">
        <v>489</v>
      </c>
      <c r="E238" s="546"/>
      <c r="F238" s="311">
        <f>F214</f>
        <v>59357564</v>
      </c>
      <c r="G238" s="155" t="s">
        <v>488</v>
      </c>
      <c r="H238" s="154">
        <f t="shared" ref="H238:W238" si="24">SUM(H237/$F$238)</f>
        <v>9.1375252528894238E-2</v>
      </c>
      <c r="I238" s="154">
        <f t="shared" si="24"/>
        <v>9.5149492489280729E-2</v>
      </c>
      <c r="J238" s="154">
        <f t="shared" si="24"/>
        <v>0.10242202661820825</v>
      </c>
      <c r="K238" s="154">
        <f t="shared" si="24"/>
        <v>9.9232862723274834E-2</v>
      </c>
      <c r="L238" s="154">
        <f t="shared" si="24"/>
        <v>8.7359139771975819E-2</v>
      </c>
      <c r="M238" s="154">
        <f t="shared" si="24"/>
        <v>8.1046220663637744E-2</v>
      </c>
      <c r="N238" s="154">
        <f t="shared" si="24"/>
        <v>7.777262961802138E-2</v>
      </c>
      <c r="O238" s="154">
        <f t="shared" si="24"/>
        <v>7.8029884110473263E-2</v>
      </c>
      <c r="P238" s="154">
        <f t="shared" si="24"/>
        <v>7.6864741956054666E-2</v>
      </c>
      <c r="Q238" s="154">
        <f t="shared" si="24"/>
        <v>5.7276370708204939E-2</v>
      </c>
      <c r="R238" s="154">
        <f t="shared" si="24"/>
        <v>4.8473785750372096E-2</v>
      </c>
      <c r="S238" s="153">
        <f t="shared" si="24"/>
        <v>4.5128365443029297E-2</v>
      </c>
      <c r="T238" s="153">
        <f t="shared" si="24"/>
        <v>4.4510947079971143E-2</v>
      </c>
      <c r="U238" s="153">
        <f t="shared" si="24"/>
        <v>4.0267757618894201E-2</v>
      </c>
      <c r="V238" s="153">
        <f t="shared" si="24"/>
        <v>4.0113438617528169E-2</v>
      </c>
      <c r="W238" s="153">
        <f t="shared" si="24"/>
        <v>0.32601306701198179</v>
      </c>
      <c r="X238" s="152"/>
    </row>
    <row r="239" spans="1:24" s="137" customFormat="1" x14ac:dyDescent="0.2">
      <c r="A239" s="131"/>
      <c r="B239" s="133"/>
      <c r="C239" s="132"/>
      <c r="D239" s="132"/>
      <c r="E239" s="132"/>
      <c r="F239" s="151"/>
      <c r="G239" s="150"/>
      <c r="H239" s="148"/>
      <c r="I239" s="148"/>
      <c r="J239" s="148"/>
      <c r="K239" s="149"/>
      <c r="L239" s="148"/>
      <c r="M239" s="148"/>
      <c r="N239" s="148"/>
      <c r="O239" s="148"/>
      <c r="P239" s="148"/>
      <c r="Q239" s="148"/>
      <c r="R239" s="148"/>
      <c r="S239" s="148"/>
      <c r="T239" s="148"/>
      <c r="U239" s="148"/>
      <c r="V239" s="148"/>
      <c r="W239" s="148"/>
      <c r="X239" s="131"/>
    </row>
    <row r="240" spans="1:24" s="137" customFormat="1" x14ac:dyDescent="0.2">
      <c r="A240" s="131"/>
      <c r="B240" s="133"/>
      <c r="C240" s="132"/>
      <c r="D240" s="132"/>
      <c r="E240" s="132"/>
      <c r="F240" s="131"/>
      <c r="G240" s="131"/>
      <c r="H240" s="131"/>
      <c r="I240" s="131"/>
      <c r="J240" s="131"/>
      <c r="K240" s="132"/>
      <c r="L240" s="131"/>
      <c r="M240" s="144"/>
      <c r="N240" s="144"/>
      <c r="O240" s="144"/>
      <c r="P240" s="144"/>
      <c r="Q240" s="144"/>
      <c r="R240" s="144"/>
      <c r="S240" s="144"/>
      <c r="T240" s="144"/>
      <c r="U240" s="144"/>
      <c r="V240" s="131"/>
      <c r="W240" s="131"/>
      <c r="X240" s="131"/>
    </row>
    <row r="241" spans="1:24" s="137" customFormat="1" ht="18.75" x14ac:dyDescent="0.3">
      <c r="A241" s="131"/>
      <c r="B241" s="133"/>
      <c r="C241" s="132"/>
      <c r="D241" s="132"/>
      <c r="E241" s="132"/>
      <c r="F241" s="131"/>
      <c r="G241" s="131"/>
      <c r="H241" s="131"/>
      <c r="I241" s="131"/>
      <c r="J241" s="131"/>
      <c r="K241" s="140"/>
      <c r="L241" s="131"/>
      <c r="M241" s="147" t="s">
        <v>123</v>
      </c>
      <c r="N241" s="146"/>
      <c r="O241" s="145"/>
      <c r="P241" s="144"/>
      <c r="Q241" s="144"/>
      <c r="R241" s="144"/>
      <c r="S241" s="144"/>
      <c r="T241" s="144"/>
      <c r="U241" s="143" t="s">
        <v>124</v>
      </c>
      <c r="V241" s="142"/>
      <c r="W241" s="142"/>
      <c r="X241" s="131"/>
    </row>
    <row r="242" spans="1:24" s="137" customFormat="1" ht="15.75" x14ac:dyDescent="0.25">
      <c r="A242" s="131"/>
      <c r="B242" s="133"/>
      <c r="C242" s="132"/>
      <c r="D242" s="132"/>
      <c r="E242" s="132"/>
      <c r="F242" s="131"/>
      <c r="G242" s="131"/>
      <c r="H242" s="131"/>
      <c r="I242" s="131"/>
      <c r="J242" s="131"/>
      <c r="K242" s="136"/>
      <c r="L242" s="141"/>
      <c r="M242" s="140"/>
      <c r="N242" s="139"/>
      <c r="O242" s="139"/>
      <c r="P242" s="139"/>
      <c r="Q242" s="139"/>
      <c r="R242" s="139"/>
      <c r="S242" s="139"/>
      <c r="T242" s="139"/>
      <c r="U242" s="139"/>
      <c r="V242" s="134"/>
      <c r="W242" s="134"/>
      <c r="X242" s="131"/>
    </row>
    <row r="243" spans="1:24" s="137" customFormat="1" ht="15" x14ac:dyDescent="0.25">
      <c r="A243" s="131"/>
      <c r="B243" s="133"/>
      <c r="C243" s="136"/>
      <c r="D243" s="136"/>
      <c r="E243" s="135"/>
      <c r="F243" s="135"/>
      <c r="G243" s="134"/>
      <c r="H243" s="134"/>
      <c r="I243" s="134"/>
      <c r="J243" s="134"/>
      <c r="K243" s="131"/>
      <c r="L243" s="131"/>
      <c r="M243" s="135"/>
      <c r="N243" s="134"/>
      <c r="O243" s="134"/>
      <c r="P243" s="134"/>
      <c r="Q243" s="134"/>
      <c r="R243" s="134"/>
      <c r="S243" s="134"/>
      <c r="T243" s="134"/>
      <c r="U243" s="134"/>
      <c r="V243" s="131"/>
      <c r="W243" s="131"/>
      <c r="X243" s="131"/>
    </row>
    <row r="244" spans="1:24" s="137" customFormat="1" ht="15" x14ac:dyDescent="0.25">
      <c r="A244" s="131"/>
      <c r="B244" s="136"/>
      <c r="C244" s="136"/>
      <c r="D244" s="136"/>
      <c r="E244" s="135"/>
      <c r="F244" s="135"/>
      <c r="G244" s="134"/>
      <c r="H244" s="134"/>
      <c r="I244" s="134"/>
      <c r="J244" s="134"/>
      <c r="K244" s="131"/>
      <c r="L244" s="138"/>
      <c r="M244" s="131"/>
      <c r="N244" s="131"/>
      <c r="O244" s="131"/>
      <c r="P244" s="131"/>
      <c r="Q244" s="131"/>
      <c r="R244" s="131"/>
      <c r="S244" s="131"/>
      <c r="T244" s="131"/>
      <c r="U244" s="131"/>
      <c r="V244" s="131"/>
      <c r="W244" s="131"/>
      <c r="X244" s="131"/>
    </row>
    <row r="245" spans="1:24" ht="15" x14ac:dyDescent="0.25">
      <c r="B245" s="136"/>
      <c r="C245" s="136"/>
      <c r="D245" s="136"/>
      <c r="E245" s="135"/>
      <c r="F245" s="135"/>
      <c r="G245" s="134"/>
      <c r="H245" s="134"/>
      <c r="I245" s="134"/>
      <c r="J245" s="134"/>
    </row>
    <row r="246" spans="1:24" ht="15" x14ac:dyDescent="0.25">
      <c r="B246" s="136"/>
      <c r="C246" s="136"/>
      <c r="D246" s="136"/>
      <c r="E246" s="135"/>
      <c r="F246" s="135"/>
      <c r="G246" s="134"/>
      <c r="H246" s="134"/>
      <c r="I246" s="134"/>
      <c r="J246" s="134"/>
    </row>
    <row r="247" spans="1:24" ht="15" x14ac:dyDescent="0.25">
      <c r="C247" s="136"/>
      <c r="D247" s="136"/>
      <c r="E247" s="135"/>
      <c r="F247" s="135"/>
      <c r="G247" s="134"/>
      <c r="H247" s="134"/>
      <c r="I247" s="134"/>
      <c r="J247" s="134"/>
    </row>
    <row r="248" spans="1:24" ht="15" x14ac:dyDescent="0.25">
      <c r="C248" s="136"/>
      <c r="D248" s="136"/>
      <c r="E248" s="135"/>
      <c r="F248" s="135"/>
      <c r="G248" s="134"/>
      <c r="H248" s="134"/>
      <c r="I248" s="134"/>
      <c r="J248" s="134"/>
    </row>
  </sheetData>
  <mergeCells count="522">
    <mergeCell ref="C147:C148"/>
    <mergeCell ref="D147:D148"/>
    <mergeCell ref="E147:E148"/>
    <mergeCell ref="F147:F148"/>
    <mergeCell ref="A147:A148"/>
    <mergeCell ref="A195:A196"/>
    <mergeCell ref="C195:C196"/>
    <mergeCell ref="D195:D196"/>
    <mergeCell ref="E195:E196"/>
    <mergeCell ref="F195:F196"/>
    <mergeCell ref="A149:A150"/>
    <mergeCell ref="C149:C150"/>
    <mergeCell ref="D149:D150"/>
    <mergeCell ref="E149:E150"/>
    <mergeCell ref="F149:F150"/>
    <mergeCell ref="A151:A152"/>
    <mergeCell ref="C151:C152"/>
    <mergeCell ref="D151:D152"/>
    <mergeCell ref="E151:E152"/>
    <mergeCell ref="F151:F152"/>
    <mergeCell ref="A153:A154"/>
    <mergeCell ref="C153:C154"/>
    <mergeCell ref="D153:D154"/>
    <mergeCell ref="E153:E154"/>
    <mergeCell ref="I2:L2"/>
    <mergeCell ref="I3:L3"/>
    <mergeCell ref="A4:I4"/>
    <mergeCell ref="A5:A6"/>
    <mergeCell ref="B5:B6"/>
    <mergeCell ref="C5:C6"/>
    <mergeCell ref="A7:A8"/>
    <mergeCell ref="C7:C8"/>
    <mergeCell ref="D7:D8"/>
    <mergeCell ref="E7:E8"/>
    <mergeCell ref="A9:A10"/>
    <mergeCell ref="C9:C10"/>
    <mergeCell ref="D9:D10"/>
    <mergeCell ref="E9:E10"/>
    <mergeCell ref="A11:A12"/>
    <mergeCell ref="C11:C12"/>
    <mergeCell ref="D11:D12"/>
    <mergeCell ref="E11:E12"/>
    <mergeCell ref="A13:A14"/>
    <mergeCell ref="C13:C14"/>
    <mergeCell ref="D13:D14"/>
    <mergeCell ref="E13:E14"/>
    <mergeCell ref="A15:A16"/>
    <mergeCell ref="C15:C16"/>
    <mergeCell ref="D15:D16"/>
    <mergeCell ref="E15:E16"/>
    <mergeCell ref="A17:A18"/>
    <mergeCell ref="C17:C18"/>
    <mergeCell ref="D17:D18"/>
    <mergeCell ref="E17:E18"/>
    <mergeCell ref="A19:A20"/>
    <mergeCell ref="C19:C20"/>
    <mergeCell ref="D19:D20"/>
    <mergeCell ref="E19:E20"/>
    <mergeCell ref="A21:A22"/>
    <mergeCell ref="C21:C22"/>
    <mergeCell ref="D21:D22"/>
    <mergeCell ref="E21:E22"/>
    <mergeCell ref="A23:A24"/>
    <mergeCell ref="C23:C24"/>
    <mergeCell ref="D23:D24"/>
    <mergeCell ref="E23:E24"/>
    <mergeCell ref="A25:A26"/>
    <mergeCell ref="C25:C26"/>
    <mergeCell ref="D25:D26"/>
    <mergeCell ref="E25:E26"/>
    <mergeCell ref="A27:A28"/>
    <mergeCell ref="C27:C28"/>
    <mergeCell ref="D27:D28"/>
    <mergeCell ref="E27:E28"/>
    <mergeCell ref="A29:A30"/>
    <mergeCell ref="C29:C30"/>
    <mergeCell ref="D29:D30"/>
    <mergeCell ref="E29:E30"/>
    <mergeCell ref="A31:A32"/>
    <mergeCell ref="C31:C32"/>
    <mergeCell ref="D31:D32"/>
    <mergeCell ref="E31:E32"/>
    <mergeCell ref="A33:A34"/>
    <mergeCell ref="C33:C34"/>
    <mergeCell ref="D33:D34"/>
    <mergeCell ref="E33:E34"/>
    <mergeCell ref="A35:A36"/>
    <mergeCell ref="C35:C36"/>
    <mergeCell ref="D35:D36"/>
    <mergeCell ref="E35:E36"/>
    <mergeCell ref="A37:A38"/>
    <mergeCell ref="C37:C38"/>
    <mergeCell ref="D37:D38"/>
    <mergeCell ref="E37:E38"/>
    <mergeCell ref="A39:A40"/>
    <mergeCell ref="C39:C40"/>
    <mergeCell ref="D39:D40"/>
    <mergeCell ref="E39:E40"/>
    <mergeCell ref="A41:A42"/>
    <mergeCell ref="C41:C42"/>
    <mergeCell ref="D41:D42"/>
    <mergeCell ref="E41:E42"/>
    <mergeCell ref="A43:A44"/>
    <mergeCell ref="C43:C44"/>
    <mergeCell ref="D43:D44"/>
    <mergeCell ref="E43:E44"/>
    <mergeCell ref="A45:A46"/>
    <mergeCell ref="C45:C46"/>
    <mergeCell ref="D45:D46"/>
    <mergeCell ref="E45:E46"/>
    <mergeCell ref="A47:A48"/>
    <mergeCell ref="C47:C48"/>
    <mergeCell ref="D47:D48"/>
    <mergeCell ref="E47:E48"/>
    <mergeCell ref="A49:A50"/>
    <mergeCell ref="C49:C50"/>
    <mergeCell ref="D49:D50"/>
    <mergeCell ref="E49:E50"/>
    <mergeCell ref="A51:A52"/>
    <mergeCell ref="C51:C52"/>
    <mergeCell ref="D51:D52"/>
    <mergeCell ref="E51:E52"/>
    <mergeCell ref="A53:A54"/>
    <mergeCell ref="C53:C54"/>
    <mergeCell ref="D53:D54"/>
    <mergeCell ref="E53:E54"/>
    <mergeCell ref="A55:A56"/>
    <mergeCell ref="C55:C56"/>
    <mergeCell ref="D55:D56"/>
    <mergeCell ref="E55:E56"/>
    <mergeCell ref="A57:A58"/>
    <mergeCell ref="C57:C58"/>
    <mergeCell ref="D57:D58"/>
    <mergeCell ref="E57:E58"/>
    <mergeCell ref="A59:A60"/>
    <mergeCell ref="C59:C60"/>
    <mergeCell ref="D59:D60"/>
    <mergeCell ref="E59:E60"/>
    <mergeCell ref="A61:A62"/>
    <mergeCell ref="C61:C62"/>
    <mergeCell ref="D61:D62"/>
    <mergeCell ref="E61:E62"/>
    <mergeCell ref="A63:A64"/>
    <mergeCell ref="C63:C64"/>
    <mergeCell ref="D63:D64"/>
    <mergeCell ref="E63:E64"/>
    <mergeCell ref="A65:A66"/>
    <mergeCell ref="C65:C66"/>
    <mergeCell ref="D65:D66"/>
    <mergeCell ref="E65:E66"/>
    <mergeCell ref="A67:A68"/>
    <mergeCell ref="C67:C68"/>
    <mergeCell ref="D67:D68"/>
    <mergeCell ref="E67:E68"/>
    <mergeCell ref="A69:A70"/>
    <mergeCell ref="C69:C70"/>
    <mergeCell ref="D69:D70"/>
    <mergeCell ref="E69:E70"/>
    <mergeCell ref="A71:A72"/>
    <mergeCell ref="C71:C72"/>
    <mergeCell ref="D71:D72"/>
    <mergeCell ref="E71:E72"/>
    <mergeCell ref="A73:A74"/>
    <mergeCell ref="C73:C74"/>
    <mergeCell ref="D73:D74"/>
    <mergeCell ref="E73:E74"/>
    <mergeCell ref="A75:A76"/>
    <mergeCell ref="C75:C76"/>
    <mergeCell ref="D75:D76"/>
    <mergeCell ref="E75:E76"/>
    <mergeCell ref="A77:A78"/>
    <mergeCell ref="C77:C78"/>
    <mergeCell ref="D77:D78"/>
    <mergeCell ref="E77:E78"/>
    <mergeCell ref="F77:F78"/>
    <mergeCell ref="A79:A80"/>
    <mergeCell ref="C79:C80"/>
    <mergeCell ref="D79:D80"/>
    <mergeCell ref="E79:E80"/>
    <mergeCell ref="F79:F80"/>
    <mergeCell ref="A81:A82"/>
    <mergeCell ref="C81:C82"/>
    <mergeCell ref="D81:D82"/>
    <mergeCell ref="E81:E82"/>
    <mergeCell ref="F81:F82"/>
    <mergeCell ref="A83:A84"/>
    <mergeCell ref="C83:C84"/>
    <mergeCell ref="D83:D84"/>
    <mergeCell ref="E83:E84"/>
    <mergeCell ref="F83:F84"/>
    <mergeCell ref="A85:A86"/>
    <mergeCell ref="C85:C86"/>
    <mergeCell ref="D85:D86"/>
    <mergeCell ref="E85:E86"/>
    <mergeCell ref="F85:F86"/>
    <mergeCell ref="A87:A88"/>
    <mergeCell ref="C87:C88"/>
    <mergeCell ref="D87:D88"/>
    <mergeCell ref="E87:E88"/>
    <mergeCell ref="F87:F88"/>
    <mergeCell ref="A89:A90"/>
    <mergeCell ref="C89:C90"/>
    <mergeCell ref="D89:D90"/>
    <mergeCell ref="E89:E90"/>
    <mergeCell ref="F89:F90"/>
    <mergeCell ref="A91:A92"/>
    <mergeCell ref="C91:C92"/>
    <mergeCell ref="D91:D92"/>
    <mergeCell ref="E91:E92"/>
    <mergeCell ref="F91:F92"/>
    <mergeCell ref="A93:A94"/>
    <mergeCell ref="C93:C94"/>
    <mergeCell ref="D93:D94"/>
    <mergeCell ref="E93:E94"/>
    <mergeCell ref="F93:F94"/>
    <mergeCell ref="A95:A96"/>
    <mergeCell ref="C95:C96"/>
    <mergeCell ref="D95:D96"/>
    <mergeCell ref="E95:E96"/>
    <mergeCell ref="F95:F96"/>
    <mergeCell ref="A97:A98"/>
    <mergeCell ref="C97:C98"/>
    <mergeCell ref="D97:D98"/>
    <mergeCell ref="E97:E98"/>
    <mergeCell ref="F97:F98"/>
    <mergeCell ref="A99:A100"/>
    <mergeCell ref="C99:C100"/>
    <mergeCell ref="D99:D100"/>
    <mergeCell ref="E99:E100"/>
    <mergeCell ref="F99:F100"/>
    <mergeCell ref="A101:A102"/>
    <mergeCell ref="C101:C102"/>
    <mergeCell ref="D101:D102"/>
    <mergeCell ref="E101:E102"/>
    <mergeCell ref="F101:F102"/>
    <mergeCell ref="A103:A104"/>
    <mergeCell ref="C103:C104"/>
    <mergeCell ref="D103:D104"/>
    <mergeCell ref="E103:E104"/>
    <mergeCell ref="F103:F104"/>
    <mergeCell ref="A105:A106"/>
    <mergeCell ref="C105:C106"/>
    <mergeCell ref="D105:D106"/>
    <mergeCell ref="E105:E106"/>
    <mergeCell ref="F105:F106"/>
    <mergeCell ref="A107:A108"/>
    <mergeCell ref="C107:C108"/>
    <mergeCell ref="D107:D108"/>
    <mergeCell ref="E107:E108"/>
    <mergeCell ref="F107:F108"/>
    <mergeCell ref="A109:A110"/>
    <mergeCell ref="C109:C110"/>
    <mergeCell ref="D109:D110"/>
    <mergeCell ref="E109:E110"/>
    <mergeCell ref="F109:F110"/>
    <mergeCell ref="A111:A112"/>
    <mergeCell ref="C111:C112"/>
    <mergeCell ref="D111:D112"/>
    <mergeCell ref="E111:E112"/>
    <mergeCell ref="F111:F112"/>
    <mergeCell ref="A113:A114"/>
    <mergeCell ref="C113:C114"/>
    <mergeCell ref="D113:D114"/>
    <mergeCell ref="E113:E114"/>
    <mergeCell ref="F113:F114"/>
    <mergeCell ref="A115:A116"/>
    <mergeCell ref="C115:C116"/>
    <mergeCell ref="D115:D116"/>
    <mergeCell ref="E115:E116"/>
    <mergeCell ref="F115:F116"/>
    <mergeCell ref="A117:A118"/>
    <mergeCell ref="C117:C118"/>
    <mergeCell ref="D117:D118"/>
    <mergeCell ref="E117:E118"/>
    <mergeCell ref="F117:F118"/>
    <mergeCell ref="A119:A120"/>
    <mergeCell ref="C119:C120"/>
    <mergeCell ref="D119:D120"/>
    <mergeCell ref="E119:E120"/>
    <mergeCell ref="F119:F120"/>
    <mergeCell ref="A121:A122"/>
    <mergeCell ref="C121:C122"/>
    <mergeCell ref="D121:D122"/>
    <mergeCell ref="E121:E122"/>
    <mergeCell ref="F121:F122"/>
    <mergeCell ref="A123:A124"/>
    <mergeCell ref="C123:C124"/>
    <mergeCell ref="D123:D124"/>
    <mergeCell ref="E123:E124"/>
    <mergeCell ref="F123:F124"/>
    <mergeCell ref="A125:A126"/>
    <mergeCell ref="C125:C126"/>
    <mergeCell ref="D125:D126"/>
    <mergeCell ref="E125:E126"/>
    <mergeCell ref="F125:F126"/>
    <mergeCell ref="A127:A128"/>
    <mergeCell ref="C127:C128"/>
    <mergeCell ref="D127:D128"/>
    <mergeCell ref="E127:E128"/>
    <mergeCell ref="F127:F128"/>
    <mergeCell ref="A129:A130"/>
    <mergeCell ref="C129:C130"/>
    <mergeCell ref="D129:D130"/>
    <mergeCell ref="E129:E130"/>
    <mergeCell ref="F129:F130"/>
    <mergeCell ref="A131:A132"/>
    <mergeCell ref="C131:C132"/>
    <mergeCell ref="D131:D132"/>
    <mergeCell ref="E131:E132"/>
    <mergeCell ref="F131:F132"/>
    <mergeCell ref="A133:A134"/>
    <mergeCell ref="C133:C134"/>
    <mergeCell ref="D133:D134"/>
    <mergeCell ref="E133:E134"/>
    <mergeCell ref="F133:F134"/>
    <mergeCell ref="A135:A136"/>
    <mergeCell ref="C135:C136"/>
    <mergeCell ref="D135:D136"/>
    <mergeCell ref="E135:E136"/>
    <mergeCell ref="F135:F136"/>
    <mergeCell ref="A137:A138"/>
    <mergeCell ref="C137:C138"/>
    <mergeCell ref="D137:D138"/>
    <mergeCell ref="E137:E138"/>
    <mergeCell ref="F137:F138"/>
    <mergeCell ref="A139:A140"/>
    <mergeCell ref="C139:C140"/>
    <mergeCell ref="D139:D140"/>
    <mergeCell ref="E139:E140"/>
    <mergeCell ref="F139:F140"/>
    <mergeCell ref="A141:A142"/>
    <mergeCell ref="C141:C142"/>
    <mergeCell ref="D141:D142"/>
    <mergeCell ref="E141:E142"/>
    <mergeCell ref="F141:F142"/>
    <mergeCell ref="A143:A144"/>
    <mergeCell ref="C143:C144"/>
    <mergeCell ref="D143:D144"/>
    <mergeCell ref="E143:E144"/>
    <mergeCell ref="F143:F144"/>
    <mergeCell ref="A145:A146"/>
    <mergeCell ref="C145:C146"/>
    <mergeCell ref="D145:D146"/>
    <mergeCell ref="E145:E146"/>
    <mergeCell ref="F145:F146"/>
    <mergeCell ref="F153:F154"/>
    <mergeCell ref="A155:A156"/>
    <mergeCell ref="C155:C156"/>
    <mergeCell ref="D155:D156"/>
    <mergeCell ref="E155:E156"/>
    <mergeCell ref="F155:F156"/>
    <mergeCell ref="A157:A158"/>
    <mergeCell ref="C157:C158"/>
    <mergeCell ref="D157:D158"/>
    <mergeCell ref="E157:E158"/>
    <mergeCell ref="F157:F158"/>
    <mergeCell ref="A159:A160"/>
    <mergeCell ref="C159:C160"/>
    <mergeCell ref="D159:D160"/>
    <mergeCell ref="E159:E160"/>
    <mergeCell ref="F159:F160"/>
    <mergeCell ref="A161:A162"/>
    <mergeCell ref="C161:C162"/>
    <mergeCell ref="D161:D162"/>
    <mergeCell ref="E161:E162"/>
    <mergeCell ref="F161:F162"/>
    <mergeCell ref="A163:A164"/>
    <mergeCell ref="C163:C164"/>
    <mergeCell ref="D163:D164"/>
    <mergeCell ref="E163:E164"/>
    <mergeCell ref="F163:F164"/>
    <mergeCell ref="A165:A166"/>
    <mergeCell ref="C165:C166"/>
    <mergeCell ref="D165:D166"/>
    <mergeCell ref="E165:E166"/>
    <mergeCell ref="F165:F166"/>
    <mergeCell ref="A167:A168"/>
    <mergeCell ref="C167:C168"/>
    <mergeCell ref="D167:D168"/>
    <mergeCell ref="E167:E168"/>
    <mergeCell ref="F167:F168"/>
    <mergeCell ref="A169:A170"/>
    <mergeCell ref="C169:C170"/>
    <mergeCell ref="D169:D170"/>
    <mergeCell ref="E169:E170"/>
    <mergeCell ref="F169:F170"/>
    <mergeCell ref="A171:A172"/>
    <mergeCell ref="C171:C172"/>
    <mergeCell ref="D171:D172"/>
    <mergeCell ref="E171:E172"/>
    <mergeCell ref="F171:F172"/>
    <mergeCell ref="A173:A174"/>
    <mergeCell ref="C173:C174"/>
    <mergeCell ref="D173:D174"/>
    <mergeCell ref="E173:E174"/>
    <mergeCell ref="F173:F174"/>
    <mergeCell ref="A175:A176"/>
    <mergeCell ref="C175:C176"/>
    <mergeCell ref="D175:D176"/>
    <mergeCell ref="E175:E176"/>
    <mergeCell ref="F175:F176"/>
    <mergeCell ref="A177:A178"/>
    <mergeCell ref="C177:C178"/>
    <mergeCell ref="D177:D178"/>
    <mergeCell ref="E177:E178"/>
    <mergeCell ref="F177:F178"/>
    <mergeCell ref="A179:A180"/>
    <mergeCell ref="C179:C180"/>
    <mergeCell ref="D179:D180"/>
    <mergeCell ref="E179:E180"/>
    <mergeCell ref="F179:F180"/>
    <mergeCell ref="A181:A182"/>
    <mergeCell ref="C181:C182"/>
    <mergeCell ref="D181:D182"/>
    <mergeCell ref="E181:E182"/>
    <mergeCell ref="F181:F182"/>
    <mergeCell ref="A183:A184"/>
    <mergeCell ref="C183:C184"/>
    <mergeCell ref="D183:D184"/>
    <mergeCell ref="E183:E184"/>
    <mergeCell ref="F183:F184"/>
    <mergeCell ref="A185:A186"/>
    <mergeCell ref="C185:C186"/>
    <mergeCell ref="D185:D186"/>
    <mergeCell ref="E185:E186"/>
    <mergeCell ref="F185:F186"/>
    <mergeCell ref="A187:A188"/>
    <mergeCell ref="C187:C188"/>
    <mergeCell ref="D187:D188"/>
    <mergeCell ref="E187:E188"/>
    <mergeCell ref="F187:F188"/>
    <mergeCell ref="A189:A190"/>
    <mergeCell ref="C189:C190"/>
    <mergeCell ref="D189:D190"/>
    <mergeCell ref="E189:E190"/>
    <mergeCell ref="F189:F190"/>
    <mergeCell ref="A191:A192"/>
    <mergeCell ref="C191:C192"/>
    <mergeCell ref="D191:D192"/>
    <mergeCell ref="E191:E192"/>
    <mergeCell ref="F191:F192"/>
    <mergeCell ref="A193:A194"/>
    <mergeCell ref="C193:C194"/>
    <mergeCell ref="D193:D194"/>
    <mergeCell ref="E193:E194"/>
    <mergeCell ref="F193:F194"/>
    <mergeCell ref="B211:F211"/>
    <mergeCell ref="B212:F212"/>
    <mergeCell ref="B213:F213"/>
    <mergeCell ref="B214:C214"/>
    <mergeCell ref="D214:E214"/>
    <mergeCell ref="A197:A198"/>
    <mergeCell ref="C197:C198"/>
    <mergeCell ref="D197:D198"/>
    <mergeCell ref="E197:E198"/>
    <mergeCell ref="F197:F198"/>
    <mergeCell ref="A199:A200"/>
    <mergeCell ref="C199:C200"/>
    <mergeCell ref="D199:D200"/>
    <mergeCell ref="E199:E200"/>
    <mergeCell ref="F199:F200"/>
    <mergeCell ref="A201:A202"/>
    <mergeCell ref="C201:C202"/>
    <mergeCell ref="D201:D202"/>
    <mergeCell ref="E201:E202"/>
    <mergeCell ref="F201:F202"/>
    <mergeCell ref="A203:A204"/>
    <mergeCell ref="C203:C204"/>
    <mergeCell ref="D203:D204"/>
    <mergeCell ref="E203:E204"/>
    <mergeCell ref="E216:G216"/>
    <mergeCell ref="E218:G218"/>
    <mergeCell ref="A220:A221"/>
    <mergeCell ref="C220:C221"/>
    <mergeCell ref="E220:E221"/>
    <mergeCell ref="F220:F221"/>
    <mergeCell ref="A222:A223"/>
    <mergeCell ref="C222:C223"/>
    <mergeCell ref="E222:E223"/>
    <mergeCell ref="F222:F223"/>
    <mergeCell ref="D220:D221"/>
    <mergeCell ref="D222:D223"/>
    <mergeCell ref="A224:A225"/>
    <mergeCell ref="C224:C225"/>
    <mergeCell ref="E224:E225"/>
    <mergeCell ref="F224:F225"/>
    <mergeCell ref="A226:A227"/>
    <mergeCell ref="C226:C227"/>
    <mergeCell ref="E226:E227"/>
    <mergeCell ref="F226:F227"/>
    <mergeCell ref="A228:A229"/>
    <mergeCell ref="C228:C229"/>
    <mergeCell ref="E228:E229"/>
    <mergeCell ref="F228:F229"/>
    <mergeCell ref="D224:D225"/>
    <mergeCell ref="D226:D227"/>
    <mergeCell ref="B230:F230"/>
    <mergeCell ref="B231:F231"/>
    <mergeCell ref="B238:C238"/>
    <mergeCell ref="B232:F232"/>
    <mergeCell ref="F233:G233"/>
    <mergeCell ref="B234:C234"/>
    <mergeCell ref="B235:F235"/>
    <mergeCell ref="B236:F236"/>
    <mergeCell ref="B237:F237"/>
    <mergeCell ref="D238:E238"/>
    <mergeCell ref="A209:A210"/>
    <mergeCell ref="C209:C210"/>
    <mergeCell ref="D209:D210"/>
    <mergeCell ref="E209:E210"/>
    <mergeCell ref="F209:F210"/>
    <mergeCell ref="F203:F204"/>
    <mergeCell ref="A205:A206"/>
    <mergeCell ref="C205:C206"/>
    <mergeCell ref="D205:D206"/>
    <mergeCell ref="E205:E206"/>
    <mergeCell ref="F205:F206"/>
    <mergeCell ref="A207:A208"/>
    <mergeCell ref="C207:C208"/>
    <mergeCell ref="D207:D208"/>
    <mergeCell ref="E207:E208"/>
    <mergeCell ref="F207:F208"/>
  </mergeCells>
  <printOptions horizontalCentered="1"/>
  <pageMargins left="0.59055118110236227" right="0.59055118110236227" top="0.78740157480314965" bottom="0.39370078740157483" header="0.19685039370078741" footer="0.19685039370078741"/>
  <pageSetup paperSize="9" scale="90" fitToHeight="0" orientation="landscape" r:id="rId1"/>
  <headerFooter alignWithMargins="0">
    <oddFooter>&amp;R&amp;P</oddFooter>
  </headerFooter>
  <rowBreaks count="4" manualBreakCount="4">
    <brk id="44" max="16383" man="1"/>
    <brk id="86" max="16383" man="1"/>
    <brk id="128" max="16383" man="1"/>
    <brk id="1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Normal="100" workbookViewId="0">
      <selection activeCell="H18" sqref="H18:H19"/>
    </sheetView>
  </sheetViews>
  <sheetFormatPr defaultColWidth="9.140625" defaultRowHeight="15" x14ac:dyDescent="0.25"/>
  <cols>
    <col min="1" max="1" width="10.7109375" style="320" customWidth="1"/>
    <col min="2" max="2" width="48.28515625" style="321" customWidth="1"/>
    <col min="3" max="3" width="10.28515625" style="320" customWidth="1"/>
    <col min="4" max="5" width="11.140625" style="320" customWidth="1"/>
    <col min="6" max="6" width="14.85546875" style="320" customWidth="1"/>
    <col min="7" max="7" width="12.5703125" style="320" customWidth="1"/>
    <col min="8" max="8" width="11.42578125" style="320" customWidth="1"/>
    <col min="9" max="9" width="12" style="320" customWidth="1"/>
    <col min="10" max="10" width="9.140625" style="320" customWidth="1"/>
    <col min="11" max="16384" width="9.140625" style="320"/>
  </cols>
  <sheetData>
    <row r="1" spans="1:17" x14ac:dyDescent="0.25">
      <c r="A1" s="317" t="s">
        <v>0</v>
      </c>
      <c r="F1" s="317"/>
      <c r="G1" s="317"/>
      <c r="H1" s="507" t="s">
        <v>786</v>
      </c>
      <c r="I1" s="507"/>
    </row>
    <row r="2" spans="1:17" x14ac:dyDescent="0.25">
      <c r="F2" s="507" t="s">
        <v>787</v>
      </c>
      <c r="G2" s="507"/>
      <c r="H2" s="507"/>
      <c r="I2" s="507"/>
    </row>
    <row r="3" spans="1:17" x14ac:dyDescent="0.25">
      <c r="F3" s="317"/>
      <c r="G3" s="317"/>
      <c r="H3" s="317"/>
      <c r="I3" s="438" t="s">
        <v>1000</v>
      </c>
      <c r="N3" s="322"/>
      <c r="O3" s="322"/>
      <c r="P3" s="322"/>
      <c r="Q3" s="322"/>
    </row>
    <row r="4" spans="1:17" ht="18.75" x14ac:dyDescent="0.3">
      <c r="A4" s="633" t="s">
        <v>986</v>
      </c>
      <c r="B4" s="633"/>
      <c r="C4" s="633"/>
      <c r="D4" s="633"/>
      <c r="E4" s="633"/>
      <c r="F4" s="633"/>
      <c r="G4" s="633"/>
      <c r="H4" s="633"/>
      <c r="I4" s="633"/>
    </row>
    <row r="6" spans="1:17" ht="18.75" x14ac:dyDescent="0.3">
      <c r="A6" s="327" t="s">
        <v>788</v>
      </c>
      <c r="B6" s="326"/>
      <c r="I6" s="416" t="s">
        <v>12</v>
      </c>
    </row>
    <row r="7" spans="1:17" s="321" customFormat="1" ht="57" x14ac:dyDescent="0.25">
      <c r="A7" s="315" t="s">
        <v>5</v>
      </c>
      <c r="B7" s="500" t="s">
        <v>789</v>
      </c>
      <c r="C7" s="500"/>
      <c r="D7" s="500"/>
      <c r="E7" s="500"/>
      <c r="F7" s="500"/>
      <c r="G7" s="315" t="s">
        <v>813</v>
      </c>
      <c r="H7" s="358" t="s">
        <v>790</v>
      </c>
      <c r="I7" s="419" t="s">
        <v>1003</v>
      </c>
    </row>
    <row r="8" spans="1:17" x14ac:dyDescent="0.25">
      <c r="A8" s="328" t="s">
        <v>791</v>
      </c>
      <c r="B8" s="632" t="s">
        <v>792</v>
      </c>
      <c r="C8" s="632"/>
      <c r="D8" s="632"/>
      <c r="E8" s="632"/>
      <c r="F8" s="632"/>
      <c r="G8" s="318">
        <v>126000</v>
      </c>
      <c r="H8" s="357">
        <v>0</v>
      </c>
      <c r="I8" s="318">
        <f>G8+H8</f>
        <v>126000</v>
      </c>
    </row>
    <row r="9" spans="1:17" x14ac:dyDescent="0.25">
      <c r="A9" s="328" t="s">
        <v>85</v>
      </c>
      <c r="B9" s="632" t="s">
        <v>89</v>
      </c>
      <c r="C9" s="632"/>
      <c r="D9" s="632"/>
      <c r="E9" s="632"/>
      <c r="F9" s="632"/>
      <c r="G9" s="318">
        <v>1970191</v>
      </c>
      <c r="H9" s="357">
        <v>0</v>
      </c>
      <c r="I9" s="318">
        <f>G9+H9</f>
        <v>1970191</v>
      </c>
    </row>
    <row r="10" spans="1:17" x14ac:dyDescent="0.25">
      <c r="A10" s="328" t="s">
        <v>793</v>
      </c>
      <c r="B10" s="632" t="s">
        <v>794</v>
      </c>
      <c r="C10" s="632"/>
      <c r="D10" s="632"/>
      <c r="E10" s="632"/>
      <c r="F10" s="632"/>
      <c r="G10" s="318">
        <f>5349</f>
        <v>5349</v>
      </c>
      <c r="H10" s="357"/>
      <c r="I10" s="318">
        <f>G10+H10</f>
        <v>5349</v>
      </c>
    </row>
    <row r="11" spans="1:17" x14ac:dyDescent="0.25">
      <c r="A11" s="328" t="s">
        <v>113</v>
      </c>
      <c r="B11" s="632" t="s">
        <v>115</v>
      </c>
      <c r="C11" s="632"/>
      <c r="D11" s="632"/>
      <c r="E11" s="632"/>
      <c r="F11" s="632"/>
      <c r="G11" s="333">
        <v>130805</v>
      </c>
      <c r="H11" s="357">
        <v>0</v>
      </c>
      <c r="I11" s="318">
        <f>G11+H11</f>
        <v>130805</v>
      </c>
    </row>
    <row r="12" spans="1:17" x14ac:dyDescent="0.25">
      <c r="A12" s="329"/>
      <c r="B12" s="636" t="s">
        <v>795</v>
      </c>
      <c r="C12" s="636"/>
      <c r="D12" s="636"/>
      <c r="E12" s="636"/>
      <c r="F12" s="636"/>
      <c r="G12" s="330">
        <f>SUM(G8:G11)</f>
        <v>2232345</v>
      </c>
      <c r="H12" s="356">
        <f>SUM(H8:H11)</f>
        <v>0</v>
      </c>
      <c r="I12" s="330">
        <f>SUM(I8:I11)</f>
        <v>2232345</v>
      </c>
    </row>
    <row r="14" spans="1:17" ht="18.75" x14ac:dyDescent="0.3">
      <c r="A14" s="327" t="s">
        <v>796</v>
      </c>
      <c r="B14" s="331"/>
    </row>
    <row r="15" spans="1:17" s="321" customFormat="1" x14ac:dyDescent="0.25">
      <c r="A15" s="500" t="s">
        <v>797</v>
      </c>
      <c r="B15" s="500" t="s">
        <v>798</v>
      </c>
      <c r="C15" s="500" t="s">
        <v>120</v>
      </c>
      <c r="D15" s="500"/>
      <c r="E15" s="500"/>
      <c r="F15" s="500"/>
      <c r="G15" s="500"/>
      <c r="H15" s="634" t="s">
        <v>799</v>
      </c>
      <c r="I15" s="500" t="s">
        <v>1004</v>
      </c>
    </row>
    <row r="16" spans="1:17" ht="42.75" x14ac:dyDescent="0.25">
      <c r="A16" s="500"/>
      <c r="B16" s="500"/>
      <c r="C16" s="332" t="s">
        <v>800</v>
      </c>
      <c r="D16" s="332" t="s">
        <v>83</v>
      </c>
      <c r="E16" s="332" t="s">
        <v>801</v>
      </c>
      <c r="F16" s="332" t="s">
        <v>814</v>
      </c>
      <c r="G16" s="315" t="s">
        <v>815</v>
      </c>
      <c r="H16" s="634"/>
      <c r="I16" s="500"/>
    </row>
    <row r="17" spans="1:11" x14ac:dyDescent="0.25">
      <c r="A17" s="334" t="s">
        <v>802</v>
      </c>
      <c r="B17" s="335" t="s">
        <v>803</v>
      </c>
      <c r="C17" s="336">
        <f>SUM(C18:C22)</f>
        <v>126000</v>
      </c>
      <c r="D17" s="336">
        <f>SUM(D18:D22)</f>
        <v>0</v>
      </c>
      <c r="E17" s="347" t="s">
        <v>819</v>
      </c>
      <c r="F17" s="336">
        <f>SUM(F18:F22)</f>
        <v>29708</v>
      </c>
      <c r="G17" s="319">
        <f>SUM(C17:F17)</f>
        <v>155708</v>
      </c>
      <c r="H17" s="336">
        <f>SUM(H18:H22)</f>
        <v>0</v>
      </c>
      <c r="I17" s="337">
        <f>G17+H17</f>
        <v>155708</v>
      </c>
    </row>
    <row r="18" spans="1:11" ht="38.25" x14ac:dyDescent="0.25">
      <c r="A18" s="323"/>
      <c r="B18" s="338" t="s">
        <v>804</v>
      </c>
      <c r="C18" s="85">
        <v>4101</v>
      </c>
      <c r="D18" s="85">
        <v>0</v>
      </c>
      <c r="E18" s="348" t="s">
        <v>819</v>
      </c>
      <c r="F18" s="85">
        <v>0</v>
      </c>
      <c r="G18" s="339">
        <f t="shared" ref="G18:G21" si="0">SUM(C18:F18)</f>
        <v>4101</v>
      </c>
      <c r="H18" s="351">
        <v>880</v>
      </c>
      <c r="I18" s="340">
        <f>G18+H18</f>
        <v>4981</v>
      </c>
    </row>
    <row r="19" spans="1:11" ht="63.75" x14ac:dyDescent="0.25">
      <c r="A19" s="323"/>
      <c r="B19" s="338" t="s">
        <v>816</v>
      </c>
      <c r="C19" s="85">
        <f>47405-46000</f>
        <v>1405</v>
      </c>
      <c r="D19" s="85">
        <v>0</v>
      </c>
      <c r="E19" s="348" t="s">
        <v>819</v>
      </c>
      <c r="F19" s="85">
        <v>29685</v>
      </c>
      <c r="G19" s="339">
        <f t="shared" si="0"/>
        <v>31090</v>
      </c>
      <c r="H19" s="351">
        <v>-880</v>
      </c>
      <c r="I19" s="340">
        <f t="shared" ref="I19:I27" si="1">G19+H19</f>
        <v>30210</v>
      </c>
    </row>
    <row r="20" spans="1:11" ht="38.25" x14ac:dyDescent="0.25">
      <c r="A20" s="323"/>
      <c r="B20" s="338" t="s">
        <v>817</v>
      </c>
      <c r="C20" s="85">
        <v>477</v>
      </c>
      <c r="D20" s="85">
        <v>0</v>
      </c>
      <c r="E20" s="348" t="s">
        <v>819</v>
      </c>
      <c r="F20" s="85">
        <v>23</v>
      </c>
      <c r="G20" s="339">
        <f t="shared" si="0"/>
        <v>500</v>
      </c>
      <c r="H20" s="351">
        <v>0</v>
      </c>
      <c r="I20" s="340">
        <f t="shared" si="1"/>
        <v>500</v>
      </c>
    </row>
    <row r="21" spans="1:11" ht="25.5" x14ac:dyDescent="0.25">
      <c r="A21" s="323"/>
      <c r="B21" s="338" t="s">
        <v>818</v>
      </c>
      <c r="C21" s="85">
        <f>74017-19017</f>
        <v>55000</v>
      </c>
      <c r="D21" s="85">
        <v>0</v>
      </c>
      <c r="E21" s="348" t="s">
        <v>819</v>
      </c>
      <c r="F21" s="85">
        <v>0</v>
      </c>
      <c r="G21" s="339">
        <f t="shared" si="0"/>
        <v>55000</v>
      </c>
      <c r="H21" s="351"/>
      <c r="I21" s="340">
        <f t="shared" si="1"/>
        <v>55000</v>
      </c>
    </row>
    <row r="22" spans="1:11" ht="25.5" x14ac:dyDescent="0.25">
      <c r="A22" s="323"/>
      <c r="B22" s="338" t="s">
        <v>987</v>
      </c>
      <c r="C22" s="85">
        <f>65017</f>
        <v>65017</v>
      </c>
      <c r="D22" s="85">
        <v>0</v>
      </c>
      <c r="E22" s="348" t="s">
        <v>819</v>
      </c>
      <c r="F22" s="85">
        <v>0</v>
      </c>
      <c r="G22" s="339">
        <f t="shared" ref="G22:G27" si="2">SUM(C22:F22)</f>
        <v>65017</v>
      </c>
      <c r="H22" s="351"/>
      <c r="I22" s="340">
        <f t="shared" si="1"/>
        <v>65017</v>
      </c>
    </row>
    <row r="23" spans="1:11" x14ac:dyDescent="0.25">
      <c r="A23" s="334" t="s">
        <v>805</v>
      </c>
      <c r="B23" s="335" t="s">
        <v>806</v>
      </c>
      <c r="C23" s="347" t="s">
        <v>819</v>
      </c>
      <c r="D23" s="336">
        <f>D24+D25</f>
        <v>1970191</v>
      </c>
      <c r="E23" s="347" t="s">
        <v>819</v>
      </c>
      <c r="F23" s="336">
        <f>F24+F25</f>
        <v>13667</v>
      </c>
      <c r="G23" s="319">
        <f t="shared" si="2"/>
        <v>1983858</v>
      </c>
      <c r="H23" s="319">
        <f>SUM(H24:H25)</f>
        <v>0</v>
      </c>
      <c r="I23" s="337">
        <f t="shared" si="1"/>
        <v>1983858</v>
      </c>
    </row>
    <row r="24" spans="1:11" ht="15" customHeight="1" x14ac:dyDescent="0.25">
      <c r="A24" s="341"/>
      <c r="B24" s="342" t="s">
        <v>807</v>
      </c>
      <c r="C24" s="348" t="s">
        <v>819</v>
      </c>
      <c r="D24" s="85">
        <v>1275946</v>
      </c>
      <c r="E24" s="348" t="s">
        <v>819</v>
      </c>
      <c r="F24" s="85">
        <v>13667</v>
      </c>
      <c r="G24" s="85">
        <f t="shared" si="2"/>
        <v>1289613</v>
      </c>
      <c r="H24" s="85">
        <v>0</v>
      </c>
      <c r="I24" s="85">
        <f t="shared" si="1"/>
        <v>1289613</v>
      </c>
    </row>
    <row r="25" spans="1:11" ht="26.25" customHeight="1" x14ac:dyDescent="0.25">
      <c r="A25" s="341"/>
      <c r="B25" s="342" t="s">
        <v>808</v>
      </c>
      <c r="C25" s="348" t="s">
        <v>819</v>
      </c>
      <c r="D25" s="85">
        <v>694245</v>
      </c>
      <c r="E25" s="348" t="s">
        <v>819</v>
      </c>
      <c r="F25" s="85">
        <v>0</v>
      </c>
      <c r="G25" s="85">
        <f t="shared" si="2"/>
        <v>694245</v>
      </c>
      <c r="H25" s="85">
        <v>0</v>
      </c>
      <c r="I25" s="85">
        <f t="shared" si="1"/>
        <v>694245</v>
      </c>
    </row>
    <row r="26" spans="1:11" x14ac:dyDescent="0.25">
      <c r="A26" s="334" t="s">
        <v>809</v>
      </c>
      <c r="B26" s="343" t="s">
        <v>810</v>
      </c>
      <c r="C26" s="347" t="s">
        <v>819</v>
      </c>
      <c r="D26" s="347" t="s">
        <v>819</v>
      </c>
      <c r="E26" s="336">
        <f>5349</f>
        <v>5349</v>
      </c>
      <c r="F26" s="336">
        <v>87430</v>
      </c>
      <c r="G26" s="319">
        <f t="shared" si="2"/>
        <v>92779</v>
      </c>
      <c r="H26" s="319"/>
      <c r="I26" s="337">
        <f t="shared" si="1"/>
        <v>92779</v>
      </c>
    </row>
    <row r="27" spans="1:11" x14ac:dyDescent="0.25">
      <c r="A27" s="344" t="s">
        <v>811</v>
      </c>
      <c r="B27" s="120" t="s">
        <v>148</v>
      </c>
      <c r="C27" s="345">
        <v>0</v>
      </c>
      <c r="D27" s="345">
        <v>0</v>
      </c>
      <c r="E27" s="345">
        <v>0</v>
      </c>
      <c r="F27" s="349" t="s">
        <v>819</v>
      </c>
      <c r="G27" s="122">
        <f t="shared" si="2"/>
        <v>0</v>
      </c>
      <c r="H27" s="122">
        <v>0</v>
      </c>
      <c r="I27" s="346">
        <f t="shared" si="1"/>
        <v>0</v>
      </c>
    </row>
    <row r="28" spans="1:11" x14ac:dyDescent="0.25">
      <c r="A28" s="352"/>
      <c r="B28" s="353" t="s">
        <v>812</v>
      </c>
      <c r="C28" s="350">
        <f>C17+C27</f>
        <v>126000</v>
      </c>
      <c r="D28" s="350">
        <f>D17+D23+D27</f>
        <v>1970191</v>
      </c>
      <c r="E28" s="350">
        <f>E26+E27</f>
        <v>5349</v>
      </c>
      <c r="F28" s="350">
        <f>F17+F23+F26</f>
        <v>130805</v>
      </c>
      <c r="G28" s="350">
        <f>G17+G23+G26+G27</f>
        <v>2232345</v>
      </c>
      <c r="H28" s="350">
        <f>H17+H23+H26+H27</f>
        <v>0</v>
      </c>
      <c r="I28" s="350">
        <f>I17+I23+I26+I27</f>
        <v>2232345</v>
      </c>
    </row>
    <row r="30" spans="1:11" ht="18.75" x14ac:dyDescent="0.3">
      <c r="A30" s="635" t="s">
        <v>123</v>
      </c>
      <c r="B30" s="635"/>
      <c r="C30" s="354"/>
      <c r="D30" s="354"/>
      <c r="E30" s="354"/>
      <c r="F30" s="354"/>
      <c r="G30" s="354"/>
      <c r="H30" s="355"/>
      <c r="I30" s="355" t="s">
        <v>124</v>
      </c>
      <c r="K30" s="324"/>
    </row>
  </sheetData>
  <mergeCells count="15">
    <mergeCell ref="H15:H16"/>
    <mergeCell ref="I15:I16"/>
    <mergeCell ref="A30:B30"/>
    <mergeCell ref="B10:F10"/>
    <mergeCell ref="B11:F11"/>
    <mergeCell ref="B12:F12"/>
    <mergeCell ref="A15:A16"/>
    <mergeCell ref="B15:B16"/>
    <mergeCell ref="C15:G15"/>
    <mergeCell ref="B9:F9"/>
    <mergeCell ref="H1:I1"/>
    <mergeCell ref="F2:I2"/>
    <mergeCell ref="A4:I4"/>
    <mergeCell ref="B7:F7"/>
    <mergeCell ref="B8:F8"/>
  </mergeCells>
  <printOptions horizontalCentered="1"/>
  <pageMargins left="0.78740157480314965" right="0.78740157480314965" top="1.1811023622047245" bottom="0.59055118110236227" header="0.19685039370078741" footer="0.19685039370078741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1.pielikums</vt:lpstr>
      <vt:lpstr>2.pielikums</vt:lpstr>
      <vt:lpstr>3.pielikums</vt:lpstr>
      <vt:lpstr>4.pielikums</vt:lpstr>
      <vt:lpstr>5.pielikums</vt:lpstr>
      <vt:lpstr>6.pielikums</vt:lpstr>
      <vt:lpstr>'1.pielikums'!Print_Titles</vt:lpstr>
      <vt:lpstr>'3.pielikums'!Print_Titles</vt:lpstr>
      <vt:lpstr>'4.pielikums'!Print_Titles</vt:lpstr>
      <vt:lpstr>'5.pielikums'!Print_Titles</vt:lpstr>
      <vt:lpstr>'6.pielikums'!Print_Titles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Pēce</dc:creator>
  <cp:lastModifiedBy>Kristīne Pēce</cp:lastModifiedBy>
  <cp:lastPrinted>2018-10-18T05:22:46Z</cp:lastPrinted>
  <dcterms:created xsi:type="dcterms:W3CDTF">2016-06-01T06:50:59Z</dcterms:created>
  <dcterms:modified xsi:type="dcterms:W3CDTF">2018-10-18T05:22:58Z</dcterms:modified>
</cp:coreProperties>
</file>