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ome\Finansu_nodala\Budzeta dokumenti\2019\28.02.2019._domes sede\"/>
    </mc:Choice>
  </mc:AlternateContent>
  <bookViews>
    <workbookView xWindow="120" yWindow="75" windowWidth="11100" windowHeight="4335" tabRatio="800" activeTab="3"/>
  </bookViews>
  <sheets>
    <sheet name="1.pielikums" sheetId="10" r:id="rId1"/>
    <sheet name="2.pielikums" sheetId="7" r:id="rId2"/>
    <sheet name="3.pielikums" sheetId="5" r:id="rId3"/>
    <sheet name="4.pielikums" sheetId="31" r:id="rId4"/>
    <sheet name="5.pielikums" sheetId="28" r:id="rId5"/>
    <sheet name="6.pielikums" sheetId="23" r:id="rId6"/>
    <sheet name="7.pielikums" sheetId="32" r:id="rId7"/>
    <sheet name="8.pielikums" sheetId="29" r:id="rId8"/>
  </sheets>
  <definedNames>
    <definedName name="_xlnm.Print_Titles" localSheetId="0">'1.pielikums'!$8:$8</definedName>
    <definedName name="_xlnm.Print_Titles" localSheetId="2">'3.pielikums'!$7:$8</definedName>
    <definedName name="_xlnm.Print_Titles" localSheetId="3">'4.pielikums'!$7:$7</definedName>
    <definedName name="_xlnm.Print_Titles" localSheetId="4">'5.pielikums'!$A:$A,'5.pielikums'!$5:$6</definedName>
    <definedName name="_xlnm.Print_Titles" localSheetId="6">'7.pielikums'!$7:$7</definedName>
  </definedNames>
  <calcPr calcId="152511"/>
</workbook>
</file>

<file path=xl/calcChain.xml><?xml version="1.0" encoding="utf-8"?>
<calcChain xmlns="http://schemas.openxmlformats.org/spreadsheetml/2006/main">
  <c r="G734" i="31" l="1"/>
  <c r="G727" i="31"/>
  <c r="G716" i="31"/>
  <c r="G300" i="31"/>
  <c r="G299" i="31"/>
  <c r="G293" i="31"/>
  <c r="G291" i="31"/>
  <c r="D211" i="5"/>
  <c r="D40" i="5"/>
  <c r="G106" i="32" l="1"/>
  <c r="G103" i="32"/>
  <c r="G20" i="32"/>
  <c r="G18" i="32"/>
  <c r="G24" i="32"/>
  <c r="G23" i="32"/>
  <c r="D24" i="23"/>
  <c r="G9" i="23"/>
  <c r="H94" i="28" l="1"/>
  <c r="F96" i="28"/>
  <c r="L106" i="28"/>
  <c r="I94" i="28"/>
  <c r="J94" i="28"/>
  <c r="K94" i="28"/>
  <c r="L94" i="28"/>
  <c r="M94" i="28"/>
  <c r="N94" i="28"/>
  <c r="O94" i="28"/>
  <c r="P94" i="28"/>
  <c r="Q94" i="28"/>
  <c r="R94" i="28"/>
  <c r="S94" i="28"/>
  <c r="T94" i="28"/>
  <c r="U94" i="28"/>
  <c r="V94" i="28"/>
  <c r="W94" i="28"/>
  <c r="I93" i="28"/>
  <c r="J93" i="28"/>
  <c r="K93" i="28"/>
  <c r="L93" i="28"/>
  <c r="M93" i="28"/>
  <c r="N93" i="28"/>
  <c r="O93" i="28"/>
  <c r="P93" i="28"/>
  <c r="Q93" i="28"/>
  <c r="R93" i="28"/>
  <c r="S93" i="28"/>
  <c r="T93" i="28"/>
  <c r="U93" i="28"/>
  <c r="V93" i="28"/>
  <c r="W93" i="28"/>
  <c r="H93" i="28"/>
  <c r="P40" i="28"/>
  <c r="E39" i="28"/>
  <c r="X70" i="28" l="1"/>
  <c r="X69" i="28"/>
  <c r="Q57" i="28"/>
  <c r="X58" i="28"/>
  <c r="X57" i="28"/>
  <c r="C19" i="23" l="1"/>
  <c r="C20" i="23"/>
  <c r="G11" i="23"/>
  <c r="E27" i="23"/>
  <c r="G26" i="23"/>
  <c r="G25" i="23"/>
  <c r="G24" i="23"/>
  <c r="G23" i="23"/>
  <c r="G18" i="23"/>
  <c r="G22" i="23" l="1"/>
  <c r="C47" i="10" l="1"/>
  <c r="H165" i="5" l="1"/>
  <c r="E19" i="7" l="1"/>
  <c r="F19" i="7"/>
  <c r="G19" i="7"/>
  <c r="H19" i="7"/>
  <c r="F211" i="5"/>
  <c r="F41" i="5"/>
  <c r="H41" i="5"/>
  <c r="H27" i="7"/>
  <c r="G27" i="7"/>
  <c r="F27" i="7"/>
  <c r="E27" i="7"/>
  <c r="D27" i="7"/>
  <c r="D19" i="7" s="1"/>
  <c r="C201" i="5"/>
  <c r="C200" i="5"/>
  <c r="C182" i="5"/>
  <c r="C181" i="5"/>
  <c r="C108" i="5"/>
  <c r="C103" i="5"/>
  <c r="C102" i="5"/>
  <c r="D143" i="5" l="1"/>
  <c r="C211" i="5"/>
  <c r="E79" i="5"/>
  <c r="F79" i="5"/>
  <c r="G79" i="5"/>
  <c r="H79" i="5"/>
  <c r="D79" i="5"/>
  <c r="C81" i="5"/>
  <c r="D49" i="5"/>
  <c r="C49" i="5" s="1"/>
  <c r="C56" i="5"/>
  <c r="C75" i="5"/>
  <c r="D72" i="5"/>
  <c r="D73" i="5"/>
  <c r="C73" i="5"/>
  <c r="C71" i="5"/>
  <c r="H70" i="5"/>
  <c r="G70" i="5"/>
  <c r="F70" i="5"/>
  <c r="E70" i="5"/>
  <c r="D70" i="5"/>
  <c r="E11" i="5"/>
  <c r="F11" i="5"/>
  <c r="G11" i="5"/>
  <c r="H11" i="5"/>
  <c r="D11" i="5"/>
  <c r="C15" i="5"/>
  <c r="H199" i="5"/>
  <c r="C194" i="5"/>
  <c r="H193" i="5"/>
  <c r="C193" i="5" s="1"/>
  <c r="C192" i="5"/>
  <c r="E188" i="5"/>
  <c r="F188" i="5"/>
  <c r="G188" i="5"/>
  <c r="H188" i="5"/>
  <c r="D188" i="5"/>
  <c r="C189" i="5"/>
  <c r="E186" i="5"/>
  <c r="F186" i="5"/>
  <c r="G186" i="5"/>
  <c r="H186" i="5"/>
  <c r="D186" i="5"/>
  <c r="C187" i="5"/>
  <c r="H178" i="5"/>
  <c r="H174" i="5"/>
  <c r="H173" i="5"/>
  <c r="H172" i="5"/>
  <c r="H171" i="5"/>
  <c r="H170" i="5"/>
  <c r="H152" i="5"/>
  <c r="F152" i="5"/>
  <c r="E152" i="5"/>
  <c r="D152" i="5"/>
  <c r="H151" i="5"/>
  <c r="H150" i="5"/>
  <c r="E147" i="5"/>
  <c r="H146" i="5"/>
  <c r="H140" i="5"/>
  <c r="H139" i="5"/>
  <c r="H132" i="5"/>
  <c r="C124" i="5"/>
  <c r="C123" i="5"/>
  <c r="E123" i="5"/>
  <c r="F123" i="5"/>
  <c r="G123" i="5"/>
  <c r="H123" i="5"/>
  <c r="D123" i="5"/>
  <c r="H111" i="5"/>
  <c r="C80" i="5"/>
  <c r="E77" i="5"/>
  <c r="F77" i="5"/>
  <c r="G77" i="5"/>
  <c r="H77" i="5"/>
  <c r="D77" i="5"/>
  <c r="C78" i="5"/>
  <c r="E68" i="5"/>
  <c r="F68" i="5"/>
  <c r="G68" i="5"/>
  <c r="H68" i="5"/>
  <c r="D68" i="5"/>
  <c r="C69" i="5"/>
  <c r="C53" i="5"/>
  <c r="E33" i="5"/>
  <c r="F33" i="5"/>
  <c r="G33" i="5"/>
  <c r="H33" i="5"/>
  <c r="D33" i="5"/>
  <c r="E30" i="5"/>
  <c r="F30" i="5"/>
  <c r="G30" i="5"/>
  <c r="H30" i="5"/>
  <c r="D30" i="5"/>
  <c r="C31" i="5"/>
  <c r="C36" i="5"/>
  <c r="E24" i="5"/>
  <c r="F24" i="5"/>
  <c r="G24" i="5"/>
  <c r="H24" i="5"/>
  <c r="D24" i="5"/>
  <c r="D22" i="5"/>
  <c r="C70" i="5" l="1"/>
  <c r="C24" i="5"/>
  <c r="C33" i="5"/>
  <c r="C54" i="10"/>
  <c r="C73" i="10"/>
  <c r="C48" i="10" l="1"/>
  <c r="C46" i="10"/>
  <c r="C72" i="10" l="1"/>
  <c r="C66" i="10"/>
  <c r="C61" i="10"/>
  <c r="C59" i="10"/>
  <c r="C58" i="10"/>
  <c r="C57" i="10"/>
  <c r="C53" i="10"/>
  <c r="C40" i="10"/>
  <c r="C38" i="10"/>
  <c r="C37" i="10" s="1"/>
  <c r="C21" i="10"/>
  <c r="C45" i="10"/>
  <c r="C34" i="10"/>
  <c r="C33" i="10" s="1"/>
  <c r="C56" i="10" l="1"/>
  <c r="C55" i="10" s="1"/>
  <c r="D205" i="5"/>
  <c r="D203" i="5" l="1"/>
  <c r="V6" i="28"/>
  <c r="E169" i="5" l="1"/>
  <c r="F169" i="5"/>
  <c r="G169" i="5"/>
  <c r="H169" i="5"/>
  <c r="D169" i="5"/>
  <c r="C176" i="5"/>
  <c r="E156" i="5"/>
  <c r="F156" i="5"/>
  <c r="G156" i="5"/>
  <c r="H156" i="5"/>
  <c r="D156" i="5"/>
  <c r="C160" i="5"/>
  <c r="D149" i="5"/>
  <c r="E149" i="5"/>
  <c r="F149" i="5"/>
  <c r="G149" i="5"/>
  <c r="H149" i="5"/>
  <c r="C154" i="5"/>
  <c r="C155" i="5"/>
  <c r="E145" i="5"/>
  <c r="F145" i="5"/>
  <c r="G145" i="5"/>
  <c r="H145" i="5"/>
  <c r="D145" i="5"/>
  <c r="C148" i="5"/>
  <c r="E138" i="5"/>
  <c r="F138" i="5"/>
  <c r="G138" i="5"/>
  <c r="H138" i="5"/>
  <c r="D138" i="5"/>
  <c r="C144" i="5"/>
  <c r="C133" i="5"/>
  <c r="D131" i="5"/>
  <c r="E98" i="5"/>
  <c r="F98" i="5"/>
  <c r="G98" i="5"/>
  <c r="H98" i="5"/>
  <c r="D98" i="5"/>
  <c r="C104" i="5"/>
  <c r="C96" i="5"/>
  <c r="E90" i="5"/>
  <c r="F90" i="5"/>
  <c r="G90" i="5"/>
  <c r="H90" i="5"/>
  <c r="D90" i="5"/>
  <c r="D46" i="5"/>
  <c r="E51" i="5"/>
  <c r="F51" i="5"/>
  <c r="G51" i="5"/>
  <c r="H51" i="5"/>
  <c r="D51" i="5"/>
  <c r="C52" i="5"/>
  <c r="C50" i="5"/>
  <c r="E46" i="5"/>
  <c r="F46" i="5"/>
  <c r="G46" i="5"/>
  <c r="H46" i="5"/>
  <c r="D39" i="5"/>
  <c r="C46" i="5" l="1"/>
  <c r="C149" i="5"/>
  <c r="C145" i="5"/>
  <c r="C138" i="5"/>
  <c r="C98" i="5"/>
  <c r="C51" i="5"/>
  <c r="W37" i="28" l="1"/>
  <c r="V37" i="28"/>
  <c r="K36" i="28"/>
  <c r="W33" i="28"/>
  <c r="W31" i="28"/>
  <c r="V29" i="28"/>
  <c r="W27" i="28"/>
  <c r="W23" i="28"/>
  <c r="V23" i="28"/>
  <c r="W21" i="28"/>
  <c r="W17" i="28"/>
  <c r="V17" i="28"/>
  <c r="W15" i="28"/>
  <c r="V15" i="28"/>
  <c r="W13" i="28"/>
  <c r="V13" i="28"/>
  <c r="W11" i="28"/>
  <c r="W9" i="28"/>
  <c r="W7" i="28"/>
  <c r="I98" i="28" l="1"/>
  <c r="E65" i="28"/>
  <c r="E53" i="28"/>
  <c r="E49" i="28"/>
  <c r="E19" i="28"/>
  <c r="H190" i="5" l="1"/>
  <c r="E16" i="29" l="1"/>
  <c r="D16" i="29"/>
  <c r="C16" i="29"/>
  <c r="D10" i="29"/>
  <c r="E10" i="29"/>
  <c r="C10" i="29"/>
  <c r="E8" i="29"/>
  <c r="D8" i="29"/>
  <c r="C8" i="29"/>
  <c r="F120" i="28" l="1"/>
  <c r="W113" i="28"/>
  <c r="V113" i="28"/>
  <c r="U113" i="28"/>
  <c r="T113" i="28"/>
  <c r="S113" i="28"/>
  <c r="R113" i="28"/>
  <c r="Q113" i="28"/>
  <c r="P113" i="28"/>
  <c r="O113" i="28"/>
  <c r="N113" i="28"/>
  <c r="M113" i="28"/>
  <c r="M118" i="28" s="1"/>
  <c r="L113" i="28"/>
  <c r="K113" i="28"/>
  <c r="J113" i="28"/>
  <c r="I113" i="28"/>
  <c r="I118" i="28" s="1"/>
  <c r="H113" i="28"/>
  <c r="W112" i="28"/>
  <c r="W114" i="28" s="1"/>
  <c r="V112" i="28"/>
  <c r="U112" i="28"/>
  <c r="U114" i="28" s="1"/>
  <c r="T112" i="28"/>
  <c r="T114" i="28" s="1"/>
  <c r="S112" i="28"/>
  <c r="S114" i="28" s="1"/>
  <c r="R112" i="28"/>
  <c r="R114" i="28" s="1"/>
  <c r="Q112" i="28"/>
  <c r="Q114" i="28" s="1"/>
  <c r="P112" i="28"/>
  <c r="P114" i="28" s="1"/>
  <c r="O112" i="28"/>
  <c r="O114" i="28" s="1"/>
  <c r="N112" i="28"/>
  <c r="N114" i="28" s="1"/>
  <c r="L112" i="28"/>
  <c r="K112" i="28"/>
  <c r="K114" i="28" s="1"/>
  <c r="J112" i="28"/>
  <c r="I112" i="28"/>
  <c r="X111" i="28"/>
  <c r="X110" i="28"/>
  <c r="X109" i="28"/>
  <c r="X108" i="28"/>
  <c r="X107" i="28"/>
  <c r="X106" i="28"/>
  <c r="M112" i="28"/>
  <c r="H112" i="28"/>
  <c r="X105" i="28"/>
  <c r="X104" i="28"/>
  <c r="X103" i="28"/>
  <c r="X102" i="28"/>
  <c r="W118" i="28"/>
  <c r="T118" i="28"/>
  <c r="S118" i="28"/>
  <c r="P118" i="28"/>
  <c r="O118" i="28"/>
  <c r="K118" i="28"/>
  <c r="W117" i="28"/>
  <c r="S117" i="28"/>
  <c r="R117" i="28"/>
  <c r="O117" i="28"/>
  <c r="N117" i="28"/>
  <c r="J117" i="28"/>
  <c r="X92" i="28"/>
  <c r="X91" i="28"/>
  <c r="X90" i="28"/>
  <c r="X89" i="28"/>
  <c r="X88" i="28"/>
  <c r="X87" i="28"/>
  <c r="X86" i="28"/>
  <c r="X85" i="28"/>
  <c r="X84" i="28"/>
  <c r="X83" i="28"/>
  <c r="X82" i="28"/>
  <c r="X81" i="28"/>
  <c r="X80" i="28"/>
  <c r="X79" i="28"/>
  <c r="X78" i="28"/>
  <c r="X77" i="28"/>
  <c r="X76" i="28"/>
  <c r="X75" i="28"/>
  <c r="X74" i="28"/>
  <c r="X73" i="28"/>
  <c r="X72" i="28"/>
  <c r="X68" i="28"/>
  <c r="X67" i="28"/>
  <c r="X66" i="28"/>
  <c r="X65" i="28"/>
  <c r="X64" i="28"/>
  <c r="X63" i="28"/>
  <c r="X62" i="28"/>
  <c r="X61" i="28"/>
  <c r="X60" i="28"/>
  <c r="X59" i="28"/>
  <c r="X56" i="28"/>
  <c r="X55" i="28"/>
  <c r="X54" i="28"/>
  <c r="X53" i="28"/>
  <c r="X52" i="28"/>
  <c r="X51" i="28"/>
  <c r="X50" i="28"/>
  <c r="X49" i="28"/>
  <c r="X48" i="28"/>
  <c r="X47" i="28"/>
  <c r="X46" i="28"/>
  <c r="X45" i="28"/>
  <c r="X44" i="28"/>
  <c r="X43" i="28"/>
  <c r="X42" i="28"/>
  <c r="X41" i="28"/>
  <c r="X40" i="28"/>
  <c r="X39" i="28"/>
  <c r="X38" i="28"/>
  <c r="X37" i="28"/>
  <c r="X36" i="28"/>
  <c r="X35" i="28"/>
  <c r="X34" i="28"/>
  <c r="X33" i="28"/>
  <c r="X32" i="28"/>
  <c r="X31" i="28"/>
  <c r="X30" i="28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I6" i="28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X94" i="28" l="1"/>
  <c r="I114" i="28"/>
  <c r="Q118" i="28"/>
  <c r="U118" i="28"/>
  <c r="X113" i="28"/>
  <c r="M114" i="28"/>
  <c r="O119" i="28"/>
  <c r="O120" i="28" s="1"/>
  <c r="S119" i="28"/>
  <c r="S120" i="28" s="1"/>
  <c r="J114" i="28"/>
  <c r="N118" i="28"/>
  <c r="N119" i="28" s="1"/>
  <c r="N120" i="28" s="1"/>
  <c r="R118" i="28"/>
  <c r="R119" i="28" s="1"/>
  <c r="R120" i="28" s="1"/>
  <c r="V118" i="28"/>
  <c r="J118" i="28"/>
  <c r="J119" i="28" s="1"/>
  <c r="J120" i="28" s="1"/>
  <c r="L114" i="28"/>
  <c r="P98" i="28"/>
  <c r="R98" i="28"/>
  <c r="W119" i="28"/>
  <c r="W120" i="28" s="1"/>
  <c r="T98" i="28"/>
  <c r="N95" i="28"/>
  <c r="N96" i="28" s="1"/>
  <c r="V114" i="28"/>
  <c r="V117" i="28"/>
  <c r="K117" i="28"/>
  <c r="K119" i="28" s="1"/>
  <c r="K120" i="28" s="1"/>
  <c r="H118" i="28"/>
  <c r="L118" i="28"/>
  <c r="X112" i="28"/>
  <c r="X114" i="28" s="1"/>
  <c r="H114" i="28"/>
  <c r="L98" i="28"/>
  <c r="Q98" i="28"/>
  <c r="U98" i="28"/>
  <c r="R95" i="28"/>
  <c r="R96" i="28" s="1"/>
  <c r="V98" i="28"/>
  <c r="V95" i="28"/>
  <c r="V96" i="28" s="1"/>
  <c r="J95" i="28"/>
  <c r="J96" i="28" s="1"/>
  <c r="J98" i="28"/>
  <c r="H95" i="28"/>
  <c r="H96" i="28" s="1"/>
  <c r="H117" i="28"/>
  <c r="M98" i="28"/>
  <c r="M95" i="28"/>
  <c r="M96" i="28" s="1"/>
  <c r="N98" i="28"/>
  <c r="M117" i="28"/>
  <c r="M119" i="28" s="1"/>
  <c r="M120" i="28" s="1"/>
  <c r="P117" i="28"/>
  <c r="P119" i="28" s="1"/>
  <c r="P120" i="28" s="1"/>
  <c r="T117" i="28"/>
  <c r="T119" i="28" s="1"/>
  <c r="T120" i="28" s="1"/>
  <c r="X71" i="28"/>
  <c r="X93" i="28" s="1"/>
  <c r="K95" i="28"/>
  <c r="K96" i="28" s="1"/>
  <c r="O95" i="28"/>
  <c r="O96" i="28" s="1"/>
  <c r="S95" i="28"/>
  <c r="S96" i="28" s="1"/>
  <c r="W95" i="28"/>
  <c r="W96" i="28" s="1"/>
  <c r="K98" i="28"/>
  <c r="O98" i="28"/>
  <c r="S98" i="28"/>
  <c r="I117" i="28"/>
  <c r="I119" i="28" s="1"/>
  <c r="I120" i="28" s="1"/>
  <c r="Q117" i="28"/>
  <c r="U117" i="28"/>
  <c r="L117" i="28"/>
  <c r="L95" i="28"/>
  <c r="L96" i="28" s="1"/>
  <c r="P95" i="28"/>
  <c r="P96" i="28" s="1"/>
  <c r="T95" i="28"/>
  <c r="T96" i="28" s="1"/>
  <c r="I95" i="28"/>
  <c r="I96" i="28" s="1"/>
  <c r="Q95" i="28"/>
  <c r="Q96" i="28" s="1"/>
  <c r="U95" i="28"/>
  <c r="U96" i="28" s="1"/>
  <c r="F17" i="23"/>
  <c r="C17" i="23"/>
  <c r="C27" i="23" s="1"/>
  <c r="Q119" i="28" l="1"/>
  <c r="Q120" i="28" s="1"/>
  <c r="X95" i="28"/>
  <c r="G17" i="23"/>
  <c r="U119" i="28"/>
  <c r="U120" i="28" s="1"/>
  <c r="V119" i="28"/>
  <c r="V120" i="28" s="1"/>
  <c r="X118" i="28"/>
  <c r="L119" i="28"/>
  <c r="L120" i="28" s="1"/>
  <c r="H119" i="28"/>
  <c r="H120" i="28" s="1"/>
  <c r="X117" i="28"/>
  <c r="X119" i="28" l="1"/>
  <c r="C57" i="5"/>
  <c r="C141" i="5" l="1"/>
  <c r="C140" i="5"/>
  <c r="C139" i="5"/>
  <c r="E82" i="5" l="1"/>
  <c r="F82" i="5"/>
  <c r="G82" i="5"/>
  <c r="H82" i="5"/>
  <c r="D82" i="5"/>
  <c r="C89" i="5"/>
  <c r="E106" i="5"/>
  <c r="F106" i="5"/>
  <c r="G106" i="5"/>
  <c r="H106" i="5"/>
  <c r="D106" i="5"/>
  <c r="C109" i="5"/>
  <c r="D64" i="5"/>
  <c r="E20" i="5" l="1"/>
  <c r="F20" i="5"/>
  <c r="G20" i="5"/>
  <c r="H20" i="5"/>
  <c r="D20" i="5"/>
  <c r="C20" i="5" l="1"/>
  <c r="C22" i="5"/>
  <c r="C88" i="5"/>
  <c r="C25" i="10" l="1"/>
  <c r="F22" i="23" l="1"/>
  <c r="F27" i="23" s="1"/>
  <c r="D22" i="23"/>
  <c r="D27" i="23" s="1"/>
  <c r="G21" i="23"/>
  <c r="G20" i="23"/>
  <c r="G19" i="23"/>
  <c r="G12" i="23"/>
  <c r="G27" i="23" l="1"/>
  <c r="C175" i="5" l="1"/>
  <c r="C159" i="5"/>
  <c r="E205" i="5" l="1"/>
  <c r="F205" i="5"/>
  <c r="F203" i="5" s="1"/>
  <c r="G205" i="5"/>
  <c r="G203" i="5" s="1"/>
  <c r="H205" i="5"/>
  <c r="H203" i="5" s="1"/>
  <c r="D21" i="7"/>
  <c r="E26" i="7"/>
  <c r="F26" i="7"/>
  <c r="G26" i="7"/>
  <c r="H26" i="7"/>
  <c r="D26" i="7"/>
  <c r="E25" i="7"/>
  <c r="F25" i="7"/>
  <c r="G25" i="7"/>
  <c r="H25" i="7"/>
  <c r="D25" i="7"/>
  <c r="C210" i="5"/>
  <c r="C209" i="5"/>
  <c r="H23" i="7"/>
  <c r="E23" i="7"/>
  <c r="F23" i="7"/>
  <c r="G23" i="7"/>
  <c r="E203" i="5" l="1"/>
  <c r="C203" i="5" s="1"/>
  <c r="C205" i="5"/>
  <c r="C26" i="7"/>
  <c r="C25" i="7"/>
  <c r="D26" i="5" l="1"/>
  <c r="C27" i="7" l="1"/>
  <c r="C142" i="5"/>
  <c r="C114" i="5"/>
  <c r="C28" i="5"/>
  <c r="C19" i="5"/>
  <c r="C157" i="5"/>
  <c r="D54" i="5"/>
  <c r="D38" i="5" s="1"/>
  <c r="C44" i="10"/>
  <c r="C171" i="5"/>
  <c r="E110" i="5"/>
  <c r="C107" i="5"/>
  <c r="E72" i="5"/>
  <c r="E64" i="5" s="1"/>
  <c r="F72" i="5"/>
  <c r="F64" i="5" s="1"/>
  <c r="G72" i="5"/>
  <c r="G64" i="5" s="1"/>
  <c r="H72" i="5"/>
  <c r="H64" i="5" s="1"/>
  <c r="C14" i="5"/>
  <c r="C13" i="5"/>
  <c r="D198" i="5"/>
  <c r="C111" i="5"/>
  <c r="D190" i="5"/>
  <c r="D177" i="5"/>
  <c r="C199" i="5"/>
  <c r="C151" i="5"/>
  <c r="C132" i="5"/>
  <c r="E131" i="5"/>
  <c r="F131" i="5"/>
  <c r="G131" i="5"/>
  <c r="C74" i="10"/>
  <c r="C49" i="10"/>
  <c r="C14" i="10"/>
  <c r="C11" i="10"/>
  <c r="F110" i="5"/>
  <c r="G110" i="5"/>
  <c r="H110" i="5"/>
  <c r="D110" i="5"/>
  <c r="C166" i="5"/>
  <c r="C135" i="5"/>
  <c r="C74" i="5"/>
  <c r="D164" i="5"/>
  <c r="E54" i="5"/>
  <c r="F54" i="5"/>
  <c r="G54" i="5"/>
  <c r="H54" i="5"/>
  <c r="C63" i="5"/>
  <c r="E39" i="5"/>
  <c r="F39" i="5"/>
  <c r="G39" i="5"/>
  <c r="H39" i="5"/>
  <c r="C45" i="5"/>
  <c r="C44" i="5"/>
  <c r="C134" i="5"/>
  <c r="C60" i="5"/>
  <c r="D35" i="5"/>
  <c r="D32" i="5" s="1"/>
  <c r="C27" i="5"/>
  <c r="E177" i="5"/>
  <c r="E180" i="5"/>
  <c r="E190" i="5"/>
  <c r="E198" i="5"/>
  <c r="F177" i="5"/>
  <c r="F180" i="5"/>
  <c r="F190" i="5"/>
  <c r="F198" i="5"/>
  <c r="G177" i="5"/>
  <c r="G180" i="5"/>
  <c r="G190" i="5"/>
  <c r="G198" i="5"/>
  <c r="H177" i="5"/>
  <c r="H180" i="5"/>
  <c r="D115" i="5"/>
  <c r="D119" i="5"/>
  <c r="D125" i="5"/>
  <c r="D16" i="5"/>
  <c r="D161" i="5"/>
  <c r="D65" i="5"/>
  <c r="D15" i="7"/>
  <c r="E16" i="5"/>
  <c r="E26" i="5"/>
  <c r="E35" i="5"/>
  <c r="E65" i="5"/>
  <c r="E76" i="5"/>
  <c r="E14" i="7" s="1"/>
  <c r="E112" i="5"/>
  <c r="E115" i="5"/>
  <c r="E119" i="5"/>
  <c r="E125" i="5"/>
  <c r="E161" i="5"/>
  <c r="E164" i="5"/>
  <c r="E15" i="7"/>
  <c r="F16" i="5"/>
  <c r="F26" i="5"/>
  <c r="F35" i="5"/>
  <c r="F65" i="5"/>
  <c r="F76" i="5"/>
  <c r="F14" i="7" s="1"/>
  <c r="F112" i="5"/>
  <c r="F115" i="5"/>
  <c r="F119" i="5"/>
  <c r="F125" i="5"/>
  <c r="F161" i="5"/>
  <c r="F164" i="5"/>
  <c r="F15" i="7"/>
  <c r="G26" i="5"/>
  <c r="G16" i="5"/>
  <c r="G161" i="5"/>
  <c r="G164" i="5"/>
  <c r="G35" i="5"/>
  <c r="G65" i="5"/>
  <c r="G76" i="5"/>
  <c r="G14" i="7" s="1"/>
  <c r="G112" i="5"/>
  <c r="G115" i="5"/>
  <c r="G119" i="5"/>
  <c r="G125" i="5"/>
  <c r="G15" i="7"/>
  <c r="H164" i="5"/>
  <c r="H161" i="5"/>
  <c r="H26" i="5"/>
  <c r="H16" i="5"/>
  <c r="H35" i="5"/>
  <c r="H65" i="5"/>
  <c r="H76" i="5"/>
  <c r="H14" i="7" s="1"/>
  <c r="H112" i="5"/>
  <c r="H115" i="5"/>
  <c r="H119" i="5"/>
  <c r="H125" i="5"/>
  <c r="H15" i="7"/>
  <c r="F21" i="7"/>
  <c r="H21" i="7"/>
  <c r="C153" i="5"/>
  <c r="C143" i="5"/>
  <c r="C95" i="5"/>
  <c r="C91" i="5"/>
  <c r="C92" i="5"/>
  <c r="C93" i="5"/>
  <c r="C94" i="5"/>
  <c r="C48" i="5"/>
  <c r="C43" i="5"/>
  <c r="C202" i="5"/>
  <c r="C23" i="5"/>
  <c r="C197" i="5"/>
  <c r="C117" i="5"/>
  <c r="C62" i="5"/>
  <c r="C37" i="5"/>
  <c r="C87" i="5"/>
  <c r="D23" i="7"/>
  <c r="C23" i="7" s="1"/>
  <c r="C185" i="5"/>
  <c r="C61" i="5"/>
  <c r="D20" i="7"/>
  <c r="F20" i="7"/>
  <c r="H20" i="7"/>
  <c r="E20" i="7"/>
  <c r="G20" i="7"/>
  <c r="C41" i="5"/>
  <c r="C184" i="5"/>
  <c r="C167" i="5"/>
  <c r="C122" i="5"/>
  <c r="C58" i="5"/>
  <c r="C207" i="5"/>
  <c r="C59" i="5"/>
  <c r="C17" i="5"/>
  <c r="C18" i="5"/>
  <c r="H24" i="7"/>
  <c r="E24" i="7"/>
  <c r="F24" i="7"/>
  <c r="G24" i="7"/>
  <c r="D24" i="7"/>
  <c r="E22" i="7"/>
  <c r="F22" i="7"/>
  <c r="G22" i="7"/>
  <c r="H22" i="7"/>
  <c r="D22" i="7"/>
  <c r="C162" i="5"/>
  <c r="C163" i="5"/>
  <c r="C127" i="5"/>
  <c r="C128" i="5"/>
  <c r="C129" i="5"/>
  <c r="C118" i="5"/>
  <c r="C113" i="5"/>
  <c r="C116" i="5"/>
  <c r="C146" i="5"/>
  <c r="C186" i="5"/>
  <c r="C21" i="5"/>
  <c r="C25" i="5"/>
  <c r="C29" i="5"/>
  <c r="C206" i="5"/>
  <c r="C183" i="5"/>
  <c r="C86" i="5"/>
  <c r="C77" i="5"/>
  <c r="C47" i="5"/>
  <c r="C165" i="5"/>
  <c r="C150" i="5"/>
  <c r="C158" i="5"/>
  <c r="C191" i="5"/>
  <c r="C195" i="5"/>
  <c r="C196" i="5"/>
  <c r="C178" i="5"/>
  <c r="C179" i="5"/>
  <c r="C170" i="5"/>
  <c r="C172" i="5"/>
  <c r="C173" i="5"/>
  <c r="C188" i="5"/>
  <c r="C208" i="5"/>
  <c r="C34" i="5"/>
  <c r="C55" i="5"/>
  <c r="C66" i="5"/>
  <c r="C67" i="5"/>
  <c r="C68" i="5"/>
  <c r="C79" i="5"/>
  <c r="C83" i="5"/>
  <c r="C84" i="5"/>
  <c r="C85" i="5"/>
  <c r="C99" i="5"/>
  <c r="C100" i="5"/>
  <c r="C101" i="5"/>
  <c r="C120" i="5"/>
  <c r="C121" i="5"/>
  <c r="C126" i="5"/>
  <c r="C147" i="5"/>
  <c r="C42" i="5"/>
  <c r="C204" i="5"/>
  <c r="D180" i="5"/>
  <c r="H198" i="5"/>
  <c r="C136" i="5"/>
  <c r="H131" i="5"/>
  <c r="C174" i="5"/>
  <c r="C12" i="5"/>
  <c r="C40" i="5"/>
  <c r="D112" i="5"/>
  <c r="G21" i="7"/>
  <c r="C30" i="5"/>
  <c r="F38" i="5" l="1"/>
  <c r="F10" i="5"/>
  <c r="F10" i="7" s="1"/>
  <c r="G10" i="5"/>
  <c r="E10" i="5"/>
  <c r="E10" i="7" s="1"/>
  <c r="D10" i="5"/>
  <c r="H10" i="5"/>
  <c r="G38" i="5"/>
  <c r="H32" i="5"/>
  <c r="H11" i="7" s="1"/>
  <c r="G32" i="5"/>
  <c r="G11" i="7" s="1"/>
  <c r="F32" i="5"/>
  <c r="F11" i="7" s="1"/>
  <c r="E32" i="5"/>
  <c r="E11" i="7" s="1"/>
  <c r="E38" i="5"/>
  <c r="E12" i="7" s="1"/>
  <c r="H38" i="5"/>
  <c r="H12" i="7" s="1"/>
  <c r="C90" i="5"/>
  <c r="C39" i="5"/>
  <c r="C52" i="10"/>
  <c r="C51" i="10" s="1"/>
  <c r="C72" i="5"/>
  <c r="F13" i="7"/>
  <c r="H13" i="7"/>
  <c r="E13" i="7"/>
  <c r="F105" i="5"/>
  <c r="F97" i="5" s="1"/>
  <c r="F16" i="7" s="1"/>
  <c r="C190" i="5"/>
  <c r="C16" i="5"/>
  <c r="C161" i="5"/>
  <c r="C112" i="5"/>
  <c r="C119" i="5"/>
  <c r="C24" i="7"/>
  <c r="E168" i="5"/>
  <c r="E18" i="7" s="1"/>
  <c r="D168" i="5"/>
  <c r="D18" i="7" s="1"/>
  <c r="F137" i="5"/>
  <c r="F130" i="5" s="1"/>
  <c r="F17" i="7" s="1"/>
  <c r="H137" i="5"/>
  <c r="C15" i="7"/>
  <c r="G13" i="7"/>
  <c r="D105" i="5"/>
  <c r="D97" i="5" s="1"/>
  <c r="F168" i="5"/>
  <c r="F18" i="7" s="1"/>
  <c r="C156" i="5"/>
  <c r="G168" i="5"/>
  <c r="G18" i="7" s="1"/>
  <c r="H168" i="5"/>
  <c r="H18" i="7" s="1"/>
  <c r="C180" i="5"/>
  <c r="C164" i="5"/>
  <c r="C125" i="5"/>
  <c r="C131" i="5"/>
  <c r="C198" i="5"/>
  <c r="C106" i="5"/>
  <c r="E105" i="5"/>
  <c r="E97" i="5" s="1"/>
  <c r="E16" i="7" s="1"/>
  <c r="C22" i="7"/>
  <c r="C20" i="7"/>
  <c r="G105" i="5"/>
  <c r="G97" i="5" s="1"/>
  <c r="G16" i="7" s="1"/>
  <c r="C26" i="5"/>
  <c r="C54" i="5"/>
  <c r="G12" i="7"/>
  <c r="F12" i="7"/>
  <c r="C43" i="10"/>
  <c r="C20" i="10"/>
  <c r="C19" i="10" s="1"/>
  <c r="D11" i="7"/>
  <c r="C11" i="5"/>
  <c r="C82" i="5"/>
  <c r="D76" i="5"/>
  <c r="C177" i="5"/>
  <c r="G137" i="5"/>
  <c r="G130" i="5" s="1"/>
  <c r="G17" i="7" s="1"/>
  <c r="E21" i="7"/>
  <c r="C115" i="5"/>
  <c r="C10" i="10"/>
  <c r="C35" i="5"/>
  <c r="E137" i="5"/>
  <c r="E130" i="5" s="1"/>
  <c r="E17" i="7" s="1"/>
  <c r="H105" i="5"/>
  <c r="H97" i="5" s="1"/>
  <c r="H16" i="7" s="1"/>
  <c r="C152" i="5"/>
  <c r="C65" i="5"/>
  <c r="C110" i="5"/>
  <c r="C169" i="5"/>
  <c r="C38" i="5" l="1"/>
  <c r="C32" i="5"/>
  <c r="C11" i="7"/>
  <c r="C10" i="5"/>
  <c r="G10" i="7"/>
  <c r="G9" i="7" s="1"/>
  <c r="G28" i="7" s="1"/>
  <c r="C64" i="5"/>
  <c r="H130" i="5"/>
  <c r="H17" i="7" s="1"/>
  <c r="C21" i="7"/>
  <c r="C19" i="7" s="1"/>
  <c r="C9" i="10"/>
  <c r="C77" i="10" s="1"/>
  <c r="F9" i="7"/>
  <c r="F28" i="7" s="1"/>
  <c r="F9" i="5"/>
  <c r="F212" i="5" s="1"/>
  <c r="C18" i="7"/>
  <c r="C105" i="5"/>
  <c r="C168" i="5"/>
  <c r="D12" i="7"/>
  <c r="C12" i="7" s="1"/>
  <c r="D10" i="7"/>
  <c r="E9" i="5"/>
  <c r="E212" i="5" s="1"/>
  <c r="D14" i="7"/>
  <c r="C14" i="7" s="1"/>
  <c r="C76" i="5"/>
  <c r="D16" i="7"/>
  <c r="C16" i="7" s="1"/>
  <c r="C97" i="5"/>
  <c r="H10" i="7"/>
  <c r="D13" i="7"/>
  <c r="C13" i="7" s="1"/>
  <c r="D137" i="5"/>
  <c r="E9" i="7"/>
  <c r="G9" i="5"/>
  <c r="G212" i="5" s="1"/>
  <c r="E28" i="7" l="1"/>
  <c r="H9" i="5"/>
  <c r="H212" i="5" s="1"/>
  <c r="H9" i="7"/>
  <c r="H28" i="7" s="1"/>
  <c r="C10" i="7"/>
  <c r="C137" i="5"/>
  <c r="D130" i="5"/>
  <c r="C130" i="5" l="1"/>
  <c r="D17" i="7"/>
  <c r="D9" i="5"/>
  <c r="C17" i="7" l="1"/>
  <c r="C9" i="7" s="1"/>
  <c r="C28" i="7" s="1"/>
  <c r="D9" i="7"/>
  <c r="D28" i="7" s="1"/>
  <c r="C9" i="5"/>
  <c r="C212" i="5" s="1"/>
  <c r="D212" i="5"/>
</calcChain>
</file>

<file path=xl/sharedStrings.xml><?xml version="1.0" encoding="utf-8"?>
<sst xmlns="http://schemas.openxmlformats.org/spreadsheetml/2006/main" count="1558" uniqueCount="842">
  <si>
    <t>Azartspēļu nodoklis</t>
  </si>
  <si>
    <t>Valsts nodevas, kuras ieskaita pašvaldību budžetā</t>
  </si>
  <si>
    <t>Pašvaldību nodevas</t>
  </si>
  <si>
    <t>Naudas sodi un sankcijas</t>
  </si>
  <si>
    <t>Pārējie nenodokļu ieņēmumi</t>
  </si>
  <si>
    <t>Ieņēmumi no ēku un būvju īpašuma pārdošanas</t>
  </si>
  <si>
    <t>Maksa par izglītības pakalpojumiem</t>
  </si>
  <si>
    <t>Ieņēmumi par dokumentu izsniegšanu un kancelejas pakalpojumiem</t>
  </si>
  <si>
    <t>Ieņēmumi par nomu un īri</t>
  </si>
  <si>
    <t>Vispārējie valdības dienesti</t>
  </si>
  <si>
    <t>Vispārēja rakstura transferti no pašvaldību budžeta pašvaldību budžetam</t>
  </si>
  <si>
    <t>Sabiedriskā kārtība un drošība</t>
  </si>
  <si>
    <t>Ekonomiskā darbība</t>
  </si>
  <si>
    <t>Vides aizsardzība</t>
  </si>
  <si>
    <t>Atpūta, kultūra un reliģija</t>
  </si>
  <si>
    <t>Izglītība</t>
  </si>
  <si>
    <t>Sociālā aizsardzība</t>
  </si>
  <si>
    <t>F40020000</t>
  </si>
  <si>
    <t>Aizņēmumi</t>
  </si>
  <si>
    <t xml:space="preserve">           Pamatbudžeta ieņēmumi</t>
  </si>
  <si>
    <t xml:space="preserve">Iedzīvotāju ienākuma nodoklis </t>
  </si>
  <si>
    <t xml:space="preserve">Nekustamā īpašuma nodoklis </t>
  </si>
  <si>
    <t xml:space="preserve">Nekustamā īpašuma nodoklis par zemi </t>
  </si>
  <si>
    <t xml:space="preserve">Valsts (pašvaldību) nodevas un kancelejas nodevas </t>
  </si>
  <si>
    <t>Valsts budžeta transferti</t>
  </si>
  <si>
    <t>Domes priekšsēdētājs</t>
  </si>
  <si>
    <t>A. Rāviņš</t>
  </si>
  <si>
    <t xml:space="preserve">I. Izdevumi atbilstoši funkcionālajām kategorijām </t>
  </si>
  <si>
    <t>Valdības funkcija</t>
  </si>
  <si>
    <t>01.000.</t>
  </si>
  <si>
    <t>03.000.</t>
  </si>
  <si>
    <t>04.000.</t>
  </si>
  <si>
    <t>05.000.</t>
  </si>
  <si>
    <t>06.000.</t>
  </si>
  <si>
    <t>08.000.</t>
  </si>
  <si>
    <t>09.000.</t>
  </si>
  <si>
    <t>10.000.</t>
  </si>
  <si>
    <t>01.120.</t>
  </si>
  <si>
    <t>01.720.</t>
  </si>
  <si>
    <t>01.110.</t>
  </si>
  <si>
    <t>01.830.</t>
  </si>
  <si>
    <t>01.890.</t>
  </si>
  <si>
    <t>03.110.</t>
  </si>
  <si>
    <t>03.200.</t>
  </si>
  <si>
    <t>04.510.</t>
  </si>
  <si>
    <t>Autotransports</t>
  </si>
  <si>
    <t>01.330.</t>
  </si>
  <si>
    <t>05.100.</t>
  </si>
  <si>
    <t>Atkritumu apsaimniekošana</t>
  </si>
  <si>
    <t>Ielu apgaismošana</t>
  </si>
  <si>
    <t>06.600.</t>
  </si>
  <si>
    <t>II. Finansēšana</t>
  </si>
  <si>
    <t>Resursi izdevumu segšanai</t>
  </si>
  <si>
    <t>08.100.</t>
  </si>
  <si>
    <t>Atpūtas un sporta pasākumi</t>
  </si>
  <si>
    <t>08.200.</t>
  </si>
  <si>
    <t>Kultūra</t>
  </si>
  <si>
    <t>08.210.</t>
  </si>
  <si>
    <t>08.220.</t>
  </si>
  <si>
    <t>08.230.</t>
  </si>
  <si>
    <t>08.240.</t>
  </si>
  <si>
    <t xml:space="preserve">08.290. </t>
  </si>
  <si>
    <t>08.400.</t>
  </si>
  <si>
    <t xml:space="preserve">Finanšu un fiskālā darbība </t>
  </si>
  <si>
    <t>01.831.</t>
  </si>
  <si>
    <t>01.832.</t>
  </si>
  <si>
    <t>01.833.</t>
  </si>
  <si>
    <t>Transferti citām pašvaldībām izglītības funkciju nodrošināšanai</t>
  </si>
  <si>
    <t>Transferti citām pašvaldībām sociālās aizsardzības funkciju nodrošināšanai</t>
  </si>
  <si>
    <t>Ugunsdrošības, ugunsdzēsības, glābšanas un civilās drošības dienesti</t>
  </si>
  <si>
    <t>04.511.</t>
  </si>
  <si>
    <t>05.101.</t>
  </si>
  <si>
    <t>06.601.</t>
  </si>
  <si>
    <t>06.602.</t>
  </si>
  <si>
    <t>PAVISAM IZDEVUMI</t>
  </si>
  <si>
    <t>08.101.</t>
  </si>
  <si>
    <t>08.103.</t>
  </si>
  <si>
    <t>06.603.</t>
  </si>
  <si>
    <t>3. pielikums</t>
  </si>
  <si>
    <t xml:space="preserve">           Pamatbudžeta izdevumu atšifrējums pa programmām </t>
  </si>
  <si>
    <t>PAVISAM IZDEVUMI (I+II)</t>
  </si>
  <si>
    <t>A.Rāviņš</t>
  </si>
  <si>
    <t>1. pielikums</t>
  </si>
  <si>
    <t>06.604.</t>
  </si>
  <si>
    <t>08.291.</t>
  </si>
  <si>
    <t>08.292.</t>
  </si>
  <si>
    <t>09.510.</t>
  </si>
  <si>
    <t>03.202.</t>
  </si>
  <si>
    <t>09.511.</t>
  </si>
  <si>
    <t>09.512.</t>
  </si>
  <si>
    <t>10.120.</t>
  </si>
  <si>
    <t>Sociālā aizsardzība invaliditātes gadījumā</t>
  </si>
  <si>
    <t>10.400.</t>
  </si>
  <si>
    <t>10.700.</t>
  </si>
  <si>
    <t>Notekūdeņu apsaimniekošana</t>
  </si>
  <si>
    <t>Pašvaldības teritorijas, kapsētu un mežu apsaimniekošana, klaiņojošo dzīvnieku likvidācija</t>
  </si>
  <si>
    <t>F50010000</t>
  </si>
  <si>
    <t>08.221.</t>
  </si>
  <si>
    <t>04.515.</t>
  </si>
  <si>
    <t>04.730.</t>
  </si>
  <si>
    <t>09.100.</t>
  </si>
  <si>
    <t>09.810.</t>
  </si>
  <si>
    <t xml:space="preserve">Teātri, izrādes un koncertdarbība </t>
  </si>
  <si>
    <t>09.200.</t>
  </si>
  <si>
    <t>Pamatizglītība, vispārējā un profesionālā izglītība</t>
  </si>
  <si>
    <t>Interešu un profesionālās ievirzes izglītība</t>
  </si>
  <si>
    <t>09.513.</t>
  </si>
  <si>
    <t>09.514.</t>
  </si>
  <si>
    <t>10.121.</t>
  </si>
  <si>
    <t>10.123.</t>
  </si>
  <si>
    <t>10.124.</t>
  </si>
  <si>
    <t>10.125.</t>
  </si>
  <si>
    <t>Dienas centrs "Integra"</t>
  </si>
  <si>
    <t>Dienas centrs "Atbalsts"</t>
  </si>
  <si>
    <t>Grupu dzīvokļi</t>
  </si>
  <si>
    <t>10.200.</t>
  </si>
  <si>
    <t>Atbalsts gados veciem cilvēkiem</t>
  </si>
  <si>
    <t>10.201.</t>
  </si>
  <si>
    <t>10.202.</t>
  </si>
  <si>
    <t>Sociālās un medicīniskās aprūpes centrs</t>
  </si>
  <si>
    <t>10.403.</t>
  </si>
  <si>
    <t>10.701.</t>
  </si>
  <si>
    <t>10.704.</t>
  </si>
  <si>
    <t>10.707.</t>
  </si>
  <si>
    <t>Sociālā māja un sociālie dzīvokļi</t>
  </si>
  <si>
    <t>Radītāju nosaukums</t>
  </si>
  <si>
    <t xml:space="preserve">Nekustamā īpašuma nodoklis par ēkām  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</si>
  <si>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</si>
  <si>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</si>
  <si>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</si>
  <si>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</si>
  <si>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Naudas sodi, ko uzliek pašvaldības</t>
  </si>
  <si>
    <t>Pašvaldību budžetu transferti</t>
  </si>
  <si>
    <t>Iemaksas pašvaldību finanšu izlīdzināšanas fondā</t>
  </si>
  <si>
    <t>Ceļu un ielu infrastruktūras funkcionēšana, izmantošana, būvniecība un uzturēšana</t>
  </si>
  <si>
    <t>Pašvaldības dzīvokļu pārvaldīšana, remonts, veco māju nojaukšana</t>
  </si>
  <si>
    <t>Dotācijas sporta pasākumiem</t>
  </si>
  <si>
    <t>Pilsētas nozīmes pasākumi</t>
  </si>
  <si>
    <t>Pārējā citur neklasificētā kultūra</t>
  </si>
  <si>
    <t>01.122.</t>
  </si>
  <si>
    <t>01.123.</t>
  </si>
  <si>
    <t xml:space="preserve">Tūrisms </t>
  </si>
  <si>
    <t>04.900.</t>
  </si>
  <si>
    <t>Pārējā citur neklasificētā ekonomiskā darbība</t>
  </si>
  <si>
    <t>Pilsētas sanitārā tīrīšana (SIA "Zemgales EKO" funkcija)</t>
  </si>
  <si>
    <t xml:space="preserve">05.102. </t>
  </si>
  <si>
    <t>10.402.</t>
  </si>
  <si>
    <t xml:space="preserve">Saņemts no Valsts kases sadales konta iepriekšējā gada nesadalītais iedzīvotāju ienākuma nodokļa atlikums </t>
  </si>
  <si>
    <t xml:space="preserve">Saņemts no Valsts kases sadales konta pārskata gadā ieskaitītais iedzīvotāju ienākuma nodoklis </t>
  </si>
  <si>
    <t>Pārējās valsts nodevas, kuras ieskaita pašvaldību budžetā</t>
  </si>
  <si>
    <t>04.733.</t>
  </si>
  <si>
    <t>07.000.</t>
  </si>
  <si>
    <t>Veselība</t>
  </si>
  <si>
    <t>PROJEKTS</t>
  </si>
  <si>
    <t>Akcijas un cita līdzdalība komersantu pašu kapitālā</t>
  </si>
  <si>
    <t xml:space="preserve"> 2.pielikums</t>
  </si>
  <si>
    <t>09.811.</t>
  </si>
  <si>
    <t>Pārējā izglītības vadība</t>
  </si>
  <si>
    <t>07.450.</t>
  </si>
  <si>
    <t xml:space="preserve">1. Nodokļu ieņēmumi </t>
  </si>
  <si>
    <t xml:space="preserve">2. Nenodokļu ieņēmumi </t>
  </si>
  <si>
    <t>3. Transferti</t>
  </si>
  <si>
    <t>II. FINANSĒŠANA</t>
  </si>
  <si>
    <t xml:space="preserve"> I.  IEŅĒMUMI KOPĀ (1+2+3+4)</t>
  </si>
  <si>
    <t>PAVISAM RESURSI (I+II)</t>
  </si>
  <si>
    <t>4. Maksas pakalpojumi un citi pašu ieņēmumi</t>
  </si>
  <si>
    <t>F21010000</t>
  </si>
  <si>
    <t>Teritoriju un mājokļu apsaimniekošana</t>
  </si>
  <si>
    <t>F40320020</t>
  </si>
  <si>
    <t>Saņemto ilgtermiņa aizņēmumu atmaksa</t>
  </si>
  <si>
    <t xml:space="preserve">Akcijas un cita līdzdalība komersantu pašu kapitālā </t>
  </si>
  <si>
    <t>04.901.</t>
  </si>
  <si>
    <t>Zemes reformas darbība, zemes īpašuma un lietošanas tiesību pārveidošana</t>
  </si>
  <si>
    <t>07.100.</t>
  </si>
  <si>
    <t>Ārstniecības līdzekļi</t>
  </si>
  <si>
    <t>07.200.</t>
  </si>
  <si>
    <t>Ambulatoro ārstniecības iestāžu darbība un pakalpojumi</t>
  </si>
  <si>
    <t>07.300.</t>
  </si>
  <si>
    <t>Slimnīcu pakalpojumi</t>
  </si>
  <si>
    <t>09.101.</t>
  </si>
  <si>
    <t>09.222.</t>
  </si>
  <si>
    <t>Profesionālā vidējā izglītība</t>
  </si>
  <si>
    <t>09.530.</t>
  </si>
  <si>
    <t>Līmeņos nedefinēta izglītība pieaugušajiem</t>
  </si>
  <si>
    <t>09.531.</t>
  </si>
  <si>
    <t>09.532.</t>
  </si>
  <si>
    <t>09.520.</t>
  </si>
  <si>
    <t>Sociālā palīdzība ģimenēm ar bērniem un vardarbībā cietušo bērnu rehabilitācija</t>
  </si>
  <si>
    <t>Nekustamā īpašuma nodoklis par mājokļiem</t>
  </si>
  <si>
    <t>01.111.</t>
  </si>
  <si>
    <t xml:space="preserve">Klasifik. kods </t>
  </si>
  <si>
    <t>Izpildvaras institūcija</t>
  </si>
  <si>
    <t>01.112.</t>
  </si>
  <si>
    <t>08.241.</t>
  </si>
  <si>
    <t>09.210.</t>
  </si>
  <si>
    <t>08.105.</t>
  </si>
  <si>
    <t>08.243.</t>
  </si>
  <si>
    <t>Jelgavas Ā.Alunāna teātra darbības nodrošināšana</t>
  </si>
  <si>
    <t>08.401.</t>
  </si>
  <si>
    <t>08.402.</t>
  </si>
  <si>
    <t>08.231.</t>
  </si>
  <si>
    <t>08.232.</t>
  </si>
  <si>
    <t>08.403.</t>
  </si>
  <si>
    <t>Kultūras padomes finansētie pasākumi</t>
  </si>
  <si>
    <t>08.405.</t>
  </si>
  <si>
    <t>Reliģisko organizāciju un citu biedrību un nodibinājumu pakalpojumi</t>
  </si>
  <si>
    <t>09.521.</t>
  </si>
  <si>
    <t>09.522.</t>
  </si>
  <si>
    <t xml:space="preserve">Klasifikā-cijas kods </t>
  </si>
  <si>
    <t>04.100.</t>
  </si>
  <si>
    <t>04.110.</t>
  </si>
  <si>
    <t>04.120.</t>
  </si>
  <si>
    <t>04.130.</t>
  </si>
  <si>
    <t>05.410.</t>
  </si>
  <si>
    <t>09.400.</t>
  </si>
  <si>
    <t>09.430.</t>
  </si>
  <si>
    <t>09.450.</t>
  </si>
  <si>
    <t>09.490.</t>
  </si>
  <si>
    <t>09.500.</t>
  </si>
  <si>
    <t>09.515.</t>
  </si>
  <si>
    <t>09.517.</t>
  </si>
  <si>
    <t>10.140.</t>
  </si>
  <si>
    <t>12.000.</t>
  </si>
  <si>
    <t>13.000.</t>
  </si>
  <si>
    <t>13.100.</t>
  </si>
  <si>
    <t>18.000.</t>
  </si>
  <si>
    <t>18.600.</t>
  </si>
  <si>
    <t>18.620.</t>
  </si>
  <si>
    <t>18.630.</t>
  </si>
  <si>
    <t>19.000.</t>
  </si>
  <si>
    <t>19.200.</t>
  </si>
  <si>
    <t>21.000.</t>
  </si>
  <si>
    <t>21.300.</t>
  </si>
  <si>
    <t>21.350.</t>
  </si>
  <si>
    <t>21.370.</t>
  </si>
  <si>
    <t>21.380.</t>
  </si>
  <si>
    <t>21.390.</t>
  </si>
  <si>
    <t>01.124.</t>
  </si>
  <si>
    <t>Dotācija no vispārējiem ieņēmumiem</t>
  </si>
  <si>
    <t>Budžeta iestāžu ieņēmumi</t>
  </si>
  <si>
    <t xml:space="preserve"> Valsts budžeta transferti </t>
  </si>
  <si>
    <t>Pašvaldību budžeta transferti</t>
  </si>
  <si>
    <t>Izpildvaras un likumdošanas varas institūcijas</t>
  </si>
  <si>
    <t>04.909.</t>
  </si>
  <si>
    <t>Dotācija "Zemgales plānošanas reģions"</t>
  </si>
  <si>
    <t>10.504.</t>
  </si>
  <si>
    <t>09.812.</t>
  </si>
  <si>
    <t>Pašvaldību saņemtie valsts budžeta transferti noteiktam mērķim</t>
  </si>
  <si>
    <t>Pašvaldību saņemtie transferti no valsts budžeta</t>
  </si>
  <si>
    <t>Pašvaldību no valsts budžeta iestādēm saņemtie transferti Eiropas Savienības politiku instrumentu un pārējās ārvalstu finanšu palīdzības līdzfinansētajiem projektiem (pasākumiem)</t>
  </si>
  <si>
    <t>Pašvaldību saņemtie transferti no citām pašvaldībām</t>
  </si>
  <si>
    <t>Dotācijas projektu realizācijai NVO</t>
  </si>
  <si>
    <t>Atbalsts ģimenēm ar bērniem</t>
  </si>
  <si>
    <t>Atbalsts bezdarba gadījumā</t>
  </si>
  <si>
    <t>Pārējais citur neklasificētais atbalsts sociāli atstumtām personām</t>
  </si>
  <si>
    <t>Palīdzība veciem cilvēkiem</t>
  </si>
  <si>
    <t>Valsts nodeva par uzvārda, vārda un tautības ieraksta maiņu personu apliecinošos dokumentos</t>
  </si>
  <si>
    <t>09.529.</t>
  </si>
  <si>
    <t>06.606.</t>
  </si>
  <si>
    <t>08.242.</t>
  </si>
  <si>
    <t>01.600.</t>
  </si>
  <si>
    <t>10.922.</t>
  </si>
  <si>
    <t>09.219.3.</t>
  </si>
  <si>
    <t>09.518.</t>
  </si>
  <si>
    <t xml:space="preserve">Ielu, laukumu, publisko dārzu un parku tīrīšana un atkritumu savākšana </t>
  </si>
  <si>
    <t>06.201.</t>
  </si>
  <si>
    <t>Ar pašvaldības teritoriju saistīto normatīvo aktu un standartu sagatavošana un ieviešana</t>
  </si>
  <si>
    <t>Veselības veicināšanas pasākumi</t>
  </si>
  <si>
    <t>Muzeji un izstādes</t>
  </si>
  <si>
    <t>09.219.1.</t>
  </si>
  <si>
    <t>09.219.2.</t>
  </si>
  <si>
    <t>Jelgavas Amatu vidusskolas projektu realizācija</t>
  </si>
  <si>
    <t>09.222.2.</t>
  </si>
  <si>
    <t>09.222.3.</t>
  </si>
  <si>
    <t>10.900.</t>
  </si>
  <si>
    <t>Pabalsti ārkārtas gadījumos, citi pabalsti un kompensācijas</t>
  </si>
  <si>
    <t>10.921.</t>
  </si>
  <si>
    <t>Braukšanas maksas atvieglojumi skolēniem sabiedriskajā transportā</t>
  </si>
  <si>
    <t>Pārējās nodevas, ko uzliek pašvaldības</t>
  </si>
  <si>
    <t>I</t>
  </si>
  <si>
    <t>Dabas resursu nodoklis par dabas resursu ieguvi un vides piesārņojumu</t>
  </si>
  <si>
    <t>II</t>
  </si>
  <si>
    <t>Projektu sagatavošana, izstrāde un teritoriju attīstība</t>
  </si>
  <si>
    <t>Jelgavas vispārizglītojošo skolu projektu īstenošana</t>
  </si>
  <si>
    <t>Bērnu un jauniešu izglītības centra "Junda" projektu īstenošana</t>
  </si>
  <si>
    <t>09.812.3.</t>
  </si>
  <si>
    <t>JSLP Naktspatversme</t>
  </si>
  <si>
    <t>EUR</t>
  </si>
  <si>
    <t>10.705.2.</t>
  </si>
  <si>
    <t xml:space="preserve">           Pamatbudžeta izdevumi                                                            </t>
  </si>
  <si>
    <t>05.530.</t>
  </si>
  <si>
    <t>III</t>
  </si>
  <si>
    <t>21.100.</t>
  </si>
  <si>
    <t>10.911.</t>
  </si>
  <si>
    <t>Zaudējumu kompensācija pašvaldības SIA "Jelgavas autobusu parks"</t>
  </si>
  <si>
    <t>Valsts nodevas par laulības reģistrāciju, civilstāvokļa akta reģistra ieraksta aktualizēšanu vai atjaunošanu un atkārtotas civilstāvokļa aktu reģistrācijas apliecības izsniegšanu</t>
  </si>
  <si>
    <t>Pašvaldības nodeva par domes izstrādāto oficiālo dokumentu un apliecinātu to kopiju saņemšanu</t>
  </si>
  <si>
    <t>18.640.</t>
  </si>
  <si>
    <t xml:space="preserve">Iestādes ieņēmumi </t>
  </si>
  <si>
    <t>Iestādes ieņēmumi no ārvalstu finanšu palīdzības</t>
  </si>
  <si>
    <t xml:space="preserve">Ieņēmumi no iestāžu sniegtajiem maksas pakalpojumiem un citi pašu ieņēmumi </t>
  </si>
  <si>
    <t>Ieņēmumi par pārējiem sniegtajiem maksas pakalpojumiem</t>
  </si>
  <si>
    <t>10.154.</t>
  </si>
  <si>
    <t>01.113.</t>
  </si>
  <si>
    <t>Projekts "Komunikācija ar sabiedrību tās iesaistei pašvaldību lēmumu pieņemšanā"</t>
  </si>
  <si>
    <t>01.114.</t>
  </si>
  <si>
    <t>05.202.</t>
  </si>
  <si>
    <t>06.401.</t>
  </si>
  <si>
    <t>08.211.</t>
  </si>
  <si>
    <t>08.331.</t>
  </si>
  <si>
    <t>10.122.</t>
  </si>
  <si>
    <t>10.601.</t>
  </si>
  <si>
    <t>Naudas līdzekļu atlikums uz perioda beigām</t>
  </si>
  <si>
    <t>Naudas līdzekļi uz perioda sākumu</t>
  </si>
  <si>
    <t>Bibliotēkas</t>
  </si>
  <si>
    <t>Jelgavas kamerorķestra darbības nodrošināšana</t>
  </si>
  <si>
    <t>Jelgavas bigbenda darbības nodrošināšana</t>
  </si>
  <si>
    <t>Centralizēto datoru un datortīkla uzturēšana</t>
  </si>
  <si>
    <t>Parāda procentu nomaksa</t>
  </si>
  <si>
    <t>Izdevumi neparedzētiem gadījumiem</t>
  </si>
  <si>
    <t>Tautas mākslas kolektīvu darbības nodrošināšana</t>
  </si>
  <si>
    <t>Naudas sodi, ko uzliek pašvaldību institūcijas par pārkāpumiem ceļu satiksmē</t>
  </si>
  <si>
    <t>PAVISAM KOPĀ</t>
  </si>
  <si>
    <t>Nosaukums</t>
  </si>
  <si>
    <t>Izdevumi kopā</t>
  </si>
  <si>
    <t>01.111. Izpildvaras institūcija</t>
  </si>
  <si>
    <t>01.331. Centralizēto datoru un datortīklu uzturēšana</t>
  </si>
  <si>
    <t>01.721. Parāda procentu nomaksa</t>
  </si>
  <si>
    <t>01.831. Transferti citām pašvaldībām izglītības funkciju nodrošināšanai</t>
  </si>
  <si>
    <t>01.832. Transferti citām pašvaldībām sociālās aizsardzības funkciju nodrošināšanai</t>
  </si>
  <si>
    <t>01.890.  Izdevumi neparedzētiem gadījumiem</t>
  </si>
  <si>
    <t>04.511. Ceļu un ielu infrastruktūras funkcionēšana, izmantošana, būvniecība un uzturēšana</t>
  </si>
  <si>
    <t>04.901. Zemes reformas darbība, zemes īpašuma un lietošanas tiesību pārveidošana</t>
  </si>
  <si>
    <t>04.909. Dotācija Zemgales plānošanas reģionam</t>
  </si>
  <si>
    <t>05.101. Ielu, laukumu, publisko dārzu un parku tīrīšana, atkritumu savākšana</t>
  </si>
  <si>
    <t>05.202. Notekūdeņu apsaimniekošana</t>
  </si>
  <si>
    <t>06.201. Projektu sagatavošana un teritoriju attīstība</t>
  </si>
  <si>
    <t>06.401. Ielu apgaismošana</t>
  </si>
  <si>
    <t>06.602. Pašvaldības teritorijas, mežu un kapsētu apsaimniekošana, klaiņojošo dzīvnieku likvidācija</t>
  </si>
  <si>
    <t>06.604. Pašvaldības dzīvokļu pārvaldīšana, remonts, veco māju nojaukšana</t>
  </si>
  <si>
    <t>06.606. Ar pašvaldības teritoriju saistīto normatīvo aktu un standartu sagatavošana un ieviešana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</si>
  <si>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</si>
  <si>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</si>
  <si>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</si>
  <si>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</si>
  <si>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08.103. Dotācijas sporta pasākumiem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</si>
  <si>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</si>
  <si>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</si>
  <si>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</si>
  <si>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</si>
  <si>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</si>
  <si>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08.401. Dotācijas projektu realizācijai NVO</t>
  </si>
  <si>
    <t>08.402. Kultūras padomes finansētie pasākumi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</si>
  <si>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</si>
  <si>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</si>
  <si>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</si>
  <si>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</si>
  <si>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09.512. Jelgavas Mākslas skolas darbības nodrošināšana</t>
  </si>
  <si>
    <t>09.513.1. Jelgavas Bērnu un jaunatnes sporta skola</t>
  </si>
  <si>
    <t>09.513.2. Jelgavas Specializētā peldēšanas skola</t>
  </si>
  <si>
    <t>09.513.3. Jelgavas Ledus sporta skola</t>
  </si>
  <si>
    <t>10.125. Grupu dzīvokļi</t>
  </si>
  <si>
    <t>10.202. Palīdzība veciem cilvēkiem</t>
  </si>
  <si>
    <t>10.504. Atbalsts Bezdarba gadījumā</t>
  </si>
  <si>
    <t>10.601. Dzīvokļa pabalsts un pabalsts individuālās apkures nodrošināšanai</t>
  </si>
  <si>
    <t>10.701. Sociālā māja un sociālie dzīvokļi</t>
  </si>
  <si>
    <t>10.705.2. JSLP Naktspatversme</t>
  </si>
  <si>
    <t>10.707. Higiēnas centrs</t>
  </si>
  <si>
    <t>10.921. Pabalsti ārkārtas gadījumos, citi pabalsti un maksājumi</t>
  </si>
  <si>
    <t>10.922. Braukšanas maksas atvieglojumi skolēniem sabiedriskajā transportā</t>
  </si>
  <si>
    <t>F40020000 Aizdevumu pamatsummu atmaksa</t>
  </si>
  <si>
    <t>F21010000. Naudas līdzekļu atlikums uz perioda beigām</t>
  </si>
  <si>
    <t>Nekustamā īpašuma nodokļa u.c. pašvaldības ieņēmumu administrēšana</t>
  </si>
  <si>
    <t>Higiēnas centrs</t>
  </si>
  <si>
    <t>Pašvaldību budžetā saņemtā dotācija no pašvaldību finanšu izlīdzināšanas fonda</t>
  </si>
  <si>
    <t>09.533.</t>
  </si>
  <si>
    <t>10.127.</t>
  </si>
  <si>
    <t>Vēlēšanu organizēšana</t>
  </si>
  <si>
    <t>SAISTOŠAJIEM NOTEIKUMIEM Nr.__-__</t>
  </si>
  <si>
    <t>SAISTOŠAJIEM NOTEIKUMIEM Nr.___-___</t>
  </si>
  <si>
    <t>Speciālā budžeta resursi</t>
  </si>
  <si>
    <t>Klasifikā-cijas kods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</si>
  <si>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</si>
  <si>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</si>
  <si>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</si>
  <si>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</si>
  <si>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</si>
  <si>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</si>
  <si>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Nodokļa ieņēmumi</t>
  </si>
  <si>
    <t>Dabas resursu nodokļa līdzekļi</t>
  </si>
  <si>
    <t>Mērķdotācija autoceļu (ielu) fondam</t>
  </si>
  <si>
    <t>Mērķdotācija pašvaldībām pasažieru regulārajiem pārvadājumiem</t>
  </si>
  <si>
    <t>Ziedojumu un dāvinājumu līdzekļi</t>
  </si>
  <si>
    <t>PAVISAM IZDEVUMI KOPĀ</t>
  </si>
  <si>
    <t>09.513. Jelgavas sporta skolu darbības nodrošināšana - kopsavilkums</t>
  </si>
  <si>
    <t>6.pielikums</t>
  </si>
  <si>
    <t>10.402. Sociālā palīdzība ģimenēm ar bērniem un vardarbībā cietušo bērnu rehabilitācija</t>
  </si>
  <si>
    <t>10.201. Sociālās un medicīniskās aprūpes centrs</t>
  </si>
  <si>
    <t>Valsts budžeta fonda līdzekļi</t>
  </si>
  <si>
    <t>21.400.</t>
  </si>
  <si>
    <t>06.607.</t>
  </si>
  <si>
    <t>01.332.</t>
  </si>
  <si>
    <t>04.735.</t>
  </si>
  <si>
    <t>05.600.</t>
  </si>
  <si>
    <t>05.603.</t>
  </si>
  <si>
    <t>07.452.</t>
  </si>
  <si>
    <t>08.295.</t>
  </si>
  <si>
    <t>Pārējo vispārējas nozīmes dienestu darbība un pakalpojumi</t>
  </si>
  <si>
    <t>01.331.</t>
  </si>
  <si>
    <t>Pārējā nekur citur neklasificētā vides aizsardzība</t>
  </si>
  <si>
    <t>Pašvaldības līdzfinansējums energoefektivitātes paaugstināšanas pasākumu veikšanai daudzdzīvokļu dzīvojamās mājās</t>
  </si>
  <si>
    <t>03.206.</t>
  </si>
  <si>
    <t>08.213.</t>
  </si>
  <si>
    <t>06.608.</t>
  </si>
  <si>
    <t>09.219.5.</t>
  </si>
  <si>
    <r>
      <t>Kultūras centri, nami un klubi</t>
    </r>
    <r>
      <rPr>
        <b/>
        <i/>
        <sz val="11"/>
        <rFont val="Times New Roman"/>
        <family val="1"/>
        <charset val="186"/>
      </rPr>
      <t xml:space="preserve"> </t>
    </r>
  </si>
  <si>
    <r>
      <t>Pārējā citur neklasificētā sociālā aizsardzība</t>
    </r>
    <r>
      <rPr>
        <b/>
        <i/>
        <sz val="11"/>
        <rFont val="Times New Roman"/>
        <family val="1"/>
        <charset val="186"/>
      </rPr>
      <t xml:space="preserve">  </t>
    </r>
  </si>
  <si>
    <t xml:space="preserve"> PI "Pašvaldības iestāžu centralizētā grāmatvedība" darbības nodrošināšana</t>
  </si>
  <si>
    <t>PI "Jelgavas pilsētas pašvaldības policija"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</si>
  <si>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</si>
  <si>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</si>
  <si>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</si>
  <si>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 "Jelgavas pilsētas bibliotēka" darbības nodrošināšana</t>
  </si>
  <si>
    <t>PI "Ģ.Eliasa Jelgavas Vēstures un mākslas muzejs" darbības nodrošināšana</t>
  </si>
  <si>
    <t>PI  "Kultūra" darbības nodrošināšana</t>
  </si>
  <si>
    <t>PI "Zemgales INFO" darbības nodrošināšana</t>
  </si>
  <si>
    <t>Pirmsskolas izglītības iestāžu darbības nodrošināšana</t>
  </si>
  <si>
    <t>Jelgavas vispārizglītojošo skolu darbības nodrošināšana</t>
  </si>
  <si>
    <t>Jelgavas Amatu vidusskolas darbības nodrošināšana</t>
  </si>
  <si>
    <t>Citi interešu izglītības pasākumi, t.sk. Bērnu un jauniešu izglītības centrs "Junda" darbības nodrošināšana</t>
  </si>
  <si>
    <t>Jelgavas Mākslas skolas darbības nodrošināšana</t>
  </si>
  <si>
    <t>Jelgavas sporta skolu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</si>
  <si>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</si>
  <si>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</si>
  <si>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</si>
  <si>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 projektu īstenošana</t>
  </si>
  <si>
    <t>PI "Jelgavas Izglītības pārvalde" iekļaujošas izglītības atbalsta centrs</t>
  </si>
  <si>
    <t>PI "Jelgavas pilsētas bāriņtiesa" darbības nodrošināšana</t>
  </si>
  <si>
    <t>PI "Kultūra" pasākumi</t>
  </si>
  <si>
    <t>PI "Jelgavas sociālo lietu pārvalde" darbības nodrošināšana</t>
  </si>
  <si>
    <t>Pašvaldības nodeva par būvatļaujas izdošanu vai būvniecības ieceres akceptu</t>
  </si>
  <si>
    <t xml:space="preserve">Ieņēmumi no valsts (pašvaldību) īpašuma iznomāšanas, pārdošanas un no nodokļu pamatparāda kapitalizācijas </t>
  </si>
  <si>
    <t>Pārējie  21.300 grupā neklasificētie iestāžu ieņēmumi par iestāžu sniegtajiem maksas pakalpojumiem un citi pašu ieņēmumi</t>
  </si>
  <si>
    <t>7000. Uzturēšanas izdevumu transferti, pašu resursu maksājumi, starptautiskā sadarbība</t>
  </si>
  <si>
    <t>6000. Sociālie pabalsti</t>
  </si>
  <si>
    <t>5000. Pamatkapitāla veidošana</t>
  </si>
  <si>
    <t>3000. Subsīdijas un dotācijas</t>
  </si>
  <si>
    <t>2000. Preces un pakalpojumi</t>
  </si>
  <si>
    <t>1000. Atlīdzība</t>
  </si>
  <si>
    <t>F50010000 Akcijas un cita līdzdalība komersantu pašu kapitālā</t>
  </si>
  <si>
    <t>F40320020 Saņemto ilgtermiņa aizņēmumu atmaksa</t>
  </si>
  <si>
    <t>10.911. PI 'Jelgavas sociālo lietu pārvalde' darbības nodrošināšana</t>
  </si>
  <si>
    <t>10.704. GMI pabalsts, mirušo apbedīšanas izdevumi un citi naudas maksājumi maznodrošinātām un neaizsargātām personām</t>
  </si>
  <si>
    <t>10.124. Dienas centrs 'Atbalsts'</t>
  </si>
  <si>
    <t>10.123. Dienas centrs 'Integra'</t>
  </si>
  <si>
    <t>10.121. Invalīdu rehabilitācijas pasākumi, invalīdu transporta izdevumi u.c. kompensācijas</t>
  </si>
  <si>
    <t>10.403. PI 'Jelgavas pilsētas bāriņtiesa' darbības nodrošināšana</t>
  </si>
  <si>
    <t>09.532. PI 'Zemgales reģiona kompetenču attīstības centrs' projektu īstenošana</t>
  </si>
  <si>
    <t>09.531. PI 'Zemgales reģiona kompetenču attīstības centrs' darbības nodrošināšana</t>
  </si>
  <si>
    <t>09.812.3. PI 'Jelgavas izglītības pārvalde' iekļaujošas izglītības atbalsta centrs</t>
  </si>
  <si>
    <t>09.812. PI 'Jelgavas izglītības pārvalde' projektu īstenošana</t>
  </si>
  <si>
    <t>09.811. PI 'Jelgavas izglītības pārvalde' darbības nodrošināšana</t>
  </si>
  <si>
    <t>09.518. Bērnu un jauniešu centra 'JUNDA' projektu īstenošana</t>
  </si>
  <si>
    <t>09.511. Pārējie interešu izglītības pasākumi, t.sk. BJIC 'Junda' darbības nodrošināšana</t>
  </si>
  <si>
    <t>09.219.2. Jelgavas internātpamatskolas un šo skolu projektu īstenošana - kopsavilkums</t>
  </si>
  <si>
    <t>08.331. PI 'Zemgales INFO' darbības nodrošināšana</t>
  </si>
  <si>
    <t>08.232. PI 'Kultūra' pasākumi</t>
  </si>
  <si>
    <t>08.231. PI 'Kultūra' darbības nodrošināšana</t>
  </si>
  <si>
    <t>08.221. PI 'Ģ.Eliasa Jelgavas Vēstures un mākslas muzejs' darbības nodrošināšana</t>
  </si>
  <si>
    <t>08.211. PI 'Jelgavas pilsētas bibliotēka' darbības nodrošināšana</t>
  </si>
  <si>
    <t>08.101. PI 'Sporta servisa centrs' darbības nodrošināšana</t>
  </si>
  <si>
    <t>06.601. PI 'Pilsētsaimniecība' darbības nodrošināšana</t>
  </si>
  <si>
    <t>04.733. PI 'Jelgavas reģionālais tūrisma centrs' darbības nodrošināšana</t>
  </si>
  <si>
    <t>03.111. PI 'Jelgavas pilsētas pašvaldības policija' darbības nodrošināšana</t>
  </si>
  <si>
    <t>01.123. PI 'Pašvaldības iestāžu centralizētā grāmatvedība' darbības nodrošināšana</t>
  </si>
  <si>
    <t>06.603. Pašvaldības īpašumu apsaimniekošana - finansējums SIA 'Jelgavas nekustamā īpašuma pārvalde'</t>
  </si>
  <si>
    <t>05.102.  Pilsētas sanitārā tīrīšana - SIA 'Zemgales EKO' funkcija</t>
  </si>
  <si>
    <t>04.515. Dotācija zaudējumu kompensācijai pašvaldības SIA 'Jelgavas autobusu parks'</t>
  </si>
  <si>
    <t>01.122. Nekustamā īpašuma nodokļa u.c. pašvaldības ieņēmumu administrēšana</t>
  </si>
  <si>
    <t>02. JELGAVAS PILSĒTAS DOMES FINANŠU NODAĻA</t>
  </si>
  <si>
    <t>06.607. Pašvaldības līdzfinansējums energoefektivitātes paaugstināšanas pasākumu veikšanai daudzdzīvokļu dzīvojamās mājās</t>
  </si>
  <si>
    <t>01.113. Projekts - 'Komunikācija ar sabiedrību tās iesaistei pašvaldības lēmumu pieņemšanā'</t>
  </si>
  <si>
    <t>01. JELGAVAS PILSĒTAS DOME</t>
  </si>
  <si>
    <t>4.pielikums</t>
  </si>
  <si>
    <r>
      <t>SAISTOŠAJIEM NOTEIKUMIEM Nr.__</t>
    </r>
    <r>
      <rPr>
        <u/>
        <sz val="11"/>
        <rFont val="Times New Roman"/>
        <family val="1"/>
        <charset val="186"/>
      </rPr>
      <t>-__</t>
    </r>
  </si>
  <si>
    <t>SIA "Jelgavas nekustamā īpašuma pārvalde": apsaimniekošanā esošo grodu aku dzeramā ūdens kvalitātes laboratoriskā kontrole un nodrošināšana</t>
  </si>
  <si>
    <t>7. pielikums</t>
  </si>
  <si>
    <t>SAISTOŠAJIEM NOTEIKUMIEM Nr. ___-___</t>
  </si>
  <si>
    <t>04.501. Mērķdotācija SIA 'Jelgavas autobusu parks' sabiedriskā transporta pakalpojuma nodrošināšanai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</si>
  <si>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</si>
  <si>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</si>
  <si>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</si>
  <si>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</si>
  <si>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</si>
  <si>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</si>
  <si>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</si>
  <si>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</si>
  <si>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</si>
  <si>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</si>
  <si>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</si>
  <si>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>Pamatsumma</t>
  </si>
  <si>
    <t>Valsts kase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</si>
  <si>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</si>
  <si>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</si>
  <si>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</si>
  <si>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</si>
  <si>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</si>
  <si>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</si>
  <si>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</si>
  <si>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</si>
  <si>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</si>
  <si>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</si>
  <si>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</si>
  <si>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</si>
  <si>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</si>
  <si>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</si>
  <si>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</si>
  <si>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</si>
  <si>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</si>
  <si>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</si>
  <si>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</si>
  <si>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</si>
  <si>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</si>
  <si>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</si>
  <si>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</si>
  <si>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</si>
  <si>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</si>
  <si>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</si>
  <si>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</si>
  <si>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</si>
  <si>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31.08.2017.-20.03.2047.</t>
  </si>
  <si>
    <t>A2/1/17/632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</si>
  <si>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</si>
  <si>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</si>
  <si>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</si>
  <si>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</si>
  <si>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</si>
  <si>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</si>
  <si>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A2/1/17/842</t>
  </si>
  <si>
    <t xml:space="preserve">  Kopā pamatsummas                  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</si>
  <si>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</si>
  <si>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</si>
  <si>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</si>
  <si>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</si>
  <si>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</si>
  <si>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izmaiņas pret iepriekšējo gadu</t>
  </si>
  <si>
    <t>Galvojumi:</t>
  </si>
  <si>
    <t xml:space="preserve">SIA Jelgavas ūdens - "Ūdenssaimniecības pakalpojumu attīstība Jelgavā, II kārta" </t>
  </si>
  <si>
    <t>03.12.2010. - 20.12.2030.</t>
  </si>
  <si>
    <t>A/1/10/1025</t>
  </si>
  <si>
    <t>Swdbank</t>
  </si>
  <si>
    <t>SIA Komunālie pakalpojumi</t>
  </si>
  <si>
    <t>12.09.2012. - 12.09.2019.</t>
  </si>
  <si>
    <t>12-022694-IN/1</t>
  </si>
  <si>
    <t xml:space="preserve">SIA Jelgavas ūdens - "Ūdenssaimniecības pakalpojumu attīstība Jelgavā, III kārta" </t>
  </si>
  <si>
    <t>18.12.2013. - 20.12.2030.</t>
  </si>
  <si>
    <t>G/13/1206</t>
  </si>
  <si>
    <t>Galvojumu saistības kopā</t>
  </si>
  <si>
    <t>PAVISAM KOPĀ:</t>
  </si>
  <si>
    <t xml:space="preserve"> Kopā pamatsummas                  </t>
  </si>
  <si>
    <t>Atmodas ielas posmu asfalta seguma atjaunošana</t>
  </si>
  <si>
    <t>SIA "Jelgavas ūdens" pamatkapitāla palielināšanai projekta "Ūdenssaimniecības pakalpojumu attīstība Jelgavā, V kārta" īstenošanai</t>
  </si>
  <si>
    <t>Izglītības iestāžu invest.pr. "Jelgavas PII "Rotaļa" ēkas rekonstrukcija"</t>
  </si>
  <si>
    <t xml:space="preserve">         JELGAVAS PILSĒTAS PAŠVALDĪBAS ILGTERMIŅA SAISTĪBAS</t>
  </si>
  <si>
    <t>8. pielikums</t>
  </si>
  <si>
    <t>JELGAVAS PILSĒTAS PAŠVALDĪBAS VIDĒJA TERMIŅA IELU FINANSĒŠANAI PAREDZĒTAIS AUTOCEĻU FONDS</t>
  </si>
  <si>
    <t>N.p.k.</t>
  </si>
  <si>
    <t>2019.gads</t>
  </si>
  <si>
    <t>Izdevumi - kopā</t>
  </si>
  <si>
    <t>Ielu būvniecība un rekonstrukcija</t>
  </si>
  <si>
    <t>Ietvju būvniecība un rekonstrukcija</t>
  </si>
  <si>
    <t>Ceļu un ielu atjaunošana, pārbūve un nojaukšana</t>
  </si>
  <si>
    <t>Ceļu un ielu ikdienas uzturēšana</t>
  </si>
  <si>
    <t>Pārējie izdevumi</t>
  </si>
  <si>
    <t>Finansēšana</t>
  </si>
  <si>
    <t>Naudas līdzekļi perioda sākumā</t>
  </si>
  <si>
    <t>2020.gads</t>
  </si>
  <si>
    <t>MUZEJA jumta skārda seguma nomaiņa un bēniņu pārseguma siltināšana</t>
  </si>
  <si>
    <t>Projekts "Atklātā amfiteātra tipa brīvdabas estrādes jumta pārseguma projektēšana un izbūve"</t>
  </si>
  <si>
    <t>28.02.2019.prot.Nr.__/__</t>
  </si>
  <si>
    <t>2019.gada plāns</t>
  </si>
  <si>
    <t xml:space="preserve">         JELGAVAS PILSĒTAS PAŠVALDĪBAS 2019.GADA BUDŽETS  </t>
  </si>
  <si>
    <t>Pašvaldību saņemtie valsts budžeta transferti</t>
  </si>
  <si>
    <t xml:space="preserve">JELGAVAS PILSĒTAS PAŠVALDĪBAS 2019.GADA BUDŽETS  </t>
  </si>
  <si>
    <t>Plāns 2019.gadam</t>
  </si>
  <si>
    <t>Finansēšana (naudas līdzekļu atlikums uz 31.12.2018.)</t>
  </si>
  <si>
    <t>2019.gada izdevumu plāns</t>
  </si>
  <si>
    <t>04.510.526.</t>
  </si>
  <si>
    <t>Eiropas Kohēzijas fonda projekts "Loka maģistrāles pārbūve posmā no Kalnciema ceļa līdz Jelgavas pilsētas administratīvajai robežai"</t>
  </si>
  <si>
    <t>28.02.2019.prot. Nr.___/___</t>
  </si>
  <si>
    <t>Jelgavas pilsētas pašvaldības 2019.gada speciālais budžeta kopsavilkums</t>
  </si>
  <si>
    <t>Resursu plāns 2019.gadam</t>
  </si>
  <si>
    <t>Izdevumu plāns uz 2019.gadam</t>
  </si>
  <si>
    <t>Saistību pārjaunojums investīciju projektu īstenošanai</t>
  </si>
  <si>
    <t>06.07.2018.-20.11.2034.</t>
  </si>
  <si>
    <t>A2/1/18/441</t>
  </si>
  <si>
    <t>ERAF projekts "Mācību vides uzlabošana Jelgavas Valsts ģimnāzijā un Jelgavas Tehnoloģiju vidusskolā"</t>
  </si>
  <si>
    <t>24.11.2017.-20.11.2022.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</si>
  <si>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</si>
  <si>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</si>
  <si>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</si>
  <si>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</si>
  <si>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</si>
  <si>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</si>
  <si>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</si>
  <si>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</si>
  <si>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</si>
  <si>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</si>
  <si>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</si>
  <si>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Pašvaldības izglītības iestāžu investīciju projekts "Jelgavas pilsētas pašvaldības ēkas Zemgales prospekts 7 pārbūve un jaunais būvapjoms (piebūve)", I un III kārta (BJIC "Junda" izveidošanai)</t>
  </si>
  <si>
    <t>05.07.2018.-20.03.2048.</t>
  </si>
  <si>
    <t>A2/1/18/435</t>
  </si>
  <si>
    <t>ERAF projekts "Nozīmīga kultūrvēsturiskā mantojuma saglabāšana un attīstība kultūras tūrisma piedāvājuma pilnveidošanai Zemgales reģionā"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</si>
  <si>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</si>
  <si>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</si>
  <si>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07.08.2018.-20.06.2048.</t>
  </si>
  <si>
    <t>A2/1/18/541</t>
  </si>
  <si>
    <t xml:space="preserve">ERAF projekts "Jelgavas pilsētas pašvaldības ēkas Zemgales prospekts 7 energoefektivitātes paaugstināšana", II kārta </t>
  </si>
  <si>
    <t>07.08.2018.-20.03.2048.</t>
  </si>
  <si>
    <t>A2/1/18/542</t>
  </si>
  <si>
    <t>Asfaltbetona seguma izbūve Romas ielas posmā no Zemeņu ielas līdz Turaidas ielai</t>
  </si>
  <si>
    <t>07.08.2018.-20.03.2038.</t>
  </si>
  <si>
    <t>A2/1/18/543</t>
  </si>
  <si>
    <t>Jelgavas Valsts ģimnāzijas pārbūves papilddarbi</t>
  </si>
  <si>
    <t>30.08.2018. -20.03.2038.</t>
  </si>
  <si>
    <t>A2/1/18/602</t>
  </si>
  <si>
    <t>A2/1/18/603</t>
  </si>
  <si>
    <t>Izglītības iestādes investīciju projekts "Jelgavas pilsētas pašvaldības PII "Gaismiņa" telpu vienkāršota atjaunošana"</t>
  </si>
  <si>
    <t>30.08.2018. - 20.06.2038.</t>
  </si>
  <si>
    <t>A2/1/18/604</t>
  </si>
  <si>
    <t>Prioritārais investīciju projekts "Jelgavas Kultūras nama ēkas fasādes, pamatu vertikālās hidroizolācijas atjaunošana un teritorijas sakārtošana"</t>
  </si>
  <si>
    <t>10.10.2018.-20.09.2038.</t>
  </si>
  <si>
    <t>A2/1/18/709</t>
  </si>
  <si>
    <t>22.10.2018. - 20.09.2047.</t>
  </si>
  <si>
    <t>A2/1/18/736</t>
  </si>
  <si>
    <t>Latvijas-Lietuvas pārrobežu sadarbības projekts "Tehniskās bāzes un operatīvo dienestu speciālistu fziskās kapacitātes uzlabošana Latvijas un Lietuvas pierobežas reģionā (All for safety)"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</si>
  <si>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</si>
  <si>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</si>
  <si>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</si>
  <si>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</si>
  <si>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A2/1/18/899</t>
  </si>
  <si>
    <t>04.510.527.</t>
  </si>
  <si>
    <t>ERAF projekts "Tehniskās infrastruktūras sakārtošana uzņēmējdarbības attīstībai degradētajā teritorijā, 1.kārta"</t>
  </si>
  <si>
    <t>04.510.528.</t>
  </si>
  <si>
    <t>Projekts "Miera ielas un Aizsargu ielas asfalta seguma atjaunošana un tilta pār Platones upi pārbūve"</t>
  </si>
  <si>
    <t>04.737.</t>
  </si>
  <si>
    <t>04.740.</t>
  </si>
  <si>
    <t>Vairāku mērķu attīstības projekti</t>
  </si>
  <si>
    <t>04.743.</t>
  </si>
  <si>
    <t>ERAF projekts "Jelgavas lidlauka poldera dambja pārbūve plūdu draudu novēršanai"</t>
  </si>
  <si>
    <t>Interreg V-A Latvijas - Lietuvas programmas projekts "Pilsētas iedzīvotāju kartes pieejamo pakalpojumu pilnveidošana Jelgavā un Šauļos"</t>
  </si>
  <si>
    <t>Interreg V-A Latvijas - Lietuvas programmas projekts "Civilās aizsardzības sistēmas pilnveidošana Jelgavā un Šauļos"</t>
  </si>
  <si>
    <t>Interreg V-A Latvijas - Lietuvas programmas projekts "Starptautiskais kultūras tūrisma maršruts "Baltu ceļš""</t>
  </si>
  <si>
    <t>Interreg V-A Latvijas - Lietuvas programmas projekts "Vides risku pārvaldības resursu pilnveidošana pierobežas reģionā, lai efektīvi veiktu vides aizsardzības pasākumus"</t>
  </si>
  <si>
    <t>ES Horizon 2020 programmas projekts  "THERMOS - termālās enerģijas resursu modelēšanas un optimizācijas sistēma"</t>
  </si>
  <si>
    <t>ESF projekts "Kompleksu veselības veicināšanas un slimību profilakses pasākumu īstenošana Jelgavas pilsētā, 1.kārta"</t>
  </si>
  <si>
    <t>07.623.</t>
  </si>
  <si>
    <t>Nodibinājums "Jelgavnieku veselības veicināšanas fonds"</t>
  </si>
  <si>
    <t>08.108.</t>
  </si>
  <si>
    <t>08.109.</t>
  </si>
  <si>
    <t>09.110.</t>
  </si>
  <si>
    <t>ERAF projekts "Jelgavas pilsētas pašvaldības pirmsskolas izglītības iestādes "Sprīdītis" energoefektivitātes paaugstināšana"</t>
  </si>
  <si>
    <t>Jelgavas internātpamatskolas un šo skolu projektu īstenošana</t>
  </si>
  <si>
    <t>09.219.6.</t>
  </si>
  <si>
    <t>09.222.7.</t>
  </si>
  <si>
    <t>09.519.02.</t>
  </si>
  <si>
    <t>Pašvaldības izglītības iestāžu investīciju projekts "Jelgavas pilsētas pašvaldības ēkas Zemgales prospekts 7 pārbūve un jaunais būvapjoms (piebūve)", I un III kārta</t>
  </si>
  <si>
    <t>09.519.03.</t>
  </si>
  <si>
    <t>ERAF projekts "Jelgavas pilsētas pašvaldības ēkas Zemgales prospekts 7 energoefektivitātes paaugstināšana", II kārta</t>
  </si>
  <si>
    <t>09.534.</t>
  </si>
  <si>
    <t xml:space="preserve">ESF projekts “Nodarbināto personu profesionālās kompetences pilnveide” </t>
  </si>
  <si>
    <t>ESF projekts "Proti un dari"</t>
  </si>
  <si>
    <t>Dienas centrs "Harmonija"</t>
  </si>
  <si>
    <t>ESF projekts "Atver sirdi Zemgalē"</t>
  </si>
  <si>
    <t>10.128.</t>
  </si>
  <si>
    <t>GMI pabalsts, mirušo apbedīšanas izdevumi un citi naudas maksājumi maznodrošinātām un neaizsargātām personām</t>
  </si>
  <si>
    <t>2034-2047</t>
  </si>
  <si>
    <t>Naudas līdzekļu atlikums uz 31.12.2018.</t>
  </si>
  <si>
    <t>2021.gads</t>
  </si>
  <si>
    <t>10.100.</t>
  </si>
  <si>
    <t>Naudas sodi</t>
  </si>
  <si>
    <t>13.210.</t>
  </si>
  <si>
    <t>Ieņēmumi no zemes īpašuma pārdošanas</t>
  </si>
  <si>
    <t>12.340.</t>
  </si>
  <si>
    <t>Ieņēmumi no budžeta iestāžu saņemto un iepriekšējos gados neizlietoto budžeta līdzekļu atmaksāšanas</t>
  </si>
  <si>
    <t>12.349.</t>
  </si>
  <si>
    <t xml:space="preserve">Ieņēmumi no budžeta iestādēm atmaksātiem pārējiem debitoru parādiem </t>
  </si>
  <si>
    <t>21.194.</t>
  </si>
  <si>
    <t>Ieņēmumi no vadošā partnera partneru grupas īstenotajiem ārvalstu finanšu palīdzības projektiem</t>
  </si>
  <si>
    <t>21.351.</t>
  </si>
  <si>
    <t>Mācību maksa</t>
  </si>
  <si>
    <t>21.359.</t>
  </si>
  <si>
    <t>Pārējie ieņēmumi par izglītības pakalpojumiem</t>
  </si>
  <si>
    <t>21.379.</t>
  </si>
  <si>
    <t>Ieņēmumi par pārējo dokumentu izsniegšanu un pārējiem kancelejas pakalpojumiem</t>
  </si>
  <si>
    <t>21.381.</t>
  </si>
  <si>
    <t>Ieņēmumi par telpu nomu</t>
  </si>
  <si>
    <t>21.383.</t>
  </si>
  <si>
    <t>Ieņēmumi no kustamā īpašuma iznomāšanas</t>
  </si>
  <si>
    <t>21.384.</t>
  </si>
  <si>
    <t>21.389.</t>
  </si>
  <si>
    <t>Ieņēmumi par zemes nomu</t>
  </si>
  <si>
    <t>Pārējie ieņēmumi par nomu un īri</t>
  </si>
  <si>
    <t>21.391.</t>
  </si>
  <si>
    <t>21.393.</t>
  </si>
  <si>
    <t>21.394.</t>
  </si>
  <si>
    <t>Maksa par personu uzturēšanos sociālās aprūpes iestādēs</t>
  </si>
  <si>
    <t>Ieņēmumi par biļešu realizāciju</t>
  </si>
  <si>
    <t>Ieņēmumi par komunālajiem pakalpojumiem</t>
  </si>
  <si>
    <t>21.395.</t>
  </si>
  <si>
    <t>Ieņēmumi par projektu īstenošanu</t>
  </si>
  <si>
    <t>21.399.</t>
  </si>
  <si>
    <t>Citi ieņēmumi par maksas pakalpojumiem</t>
  </si>
  <si>
    <t>21.499.</t>
  </si>
  <si>
    <t>Pārējie iepriekš neklasificētie pašu ieņēmumi</t>
  </si>
  <si>
    <t>01.721.</t>
  </si>
  <si>
    <t>Pašvaldību budžetu pārāda darījumi</t>
  </si>
  <si>
    <t>Pārējie citur neklasificētie vispārēja rakstura transferti starp dažādiem valsts pārvaldes līmeņiem</t>
  </si>
  <si>
    <t>01.891.</t>
  </si>
  <si>
    <t>03.100.</t>
  </si>
  <si>
    <t>Policija</t>
  </si>
  <si>
    <t>Nacionālās sporta bāzes SIA "Zemgales olimpiskais centrs"-uzturēšanas izdevumu segšana 2018.gadā</t>
  </si>
  <si>
    <t xml:space="preserve">PI "Jelgavas pašvaldības operatīvās informācijas centrs" darbības nodrošināšana </t>
  </si>
  <si>
    <t>04.742.</t>
  </si>
  <si>
    <t>05.200.</t>
  </si>
  <si>
    <t>06.200.</t>
  </si>
  <si>
    <t>Teritoriju attīstība</t>
  </si>
  <si>
    <t>06.400.</t>
  </si>
  <si>
    <t xml:space="preserve">Pārējā citur neklasificētā teritoriju un mājokļu apsaimniekošanas darbība </t>
  </si>
  <si>
    <t>08.330.</t>
  </si>
  <si>
    <t>Izdevniecība</t>
  </si>
  <si>
    <t>Pirmsskolas izglītība</t>
  </si>
  <si>
    <t>Vispārējā izglītība. Pamatizglītība</t>
  </si>
  <si>
    <t>Pedagogu profesionālās meistarības pilnveidošana, rezidentu apmācība un tālākizglītība, Valsts administrācijas skolas nodrošinātā apmācība</t>
  </si>
  <si>
    <t>10.500.</t>
  </si>
  <si>
    <t>10.600.</t>
  </si>
  <si>
    <t>Dzīvokļa pabalsts un pabalsts individuālās apkures nodrošināšanai</t>
  </si>
  <si>
    <t>Mājokļa atbalsts</t>
  </si>
  <si>
    <t>10.710.</t>
  </si>
  <si>
    <t>10.711.</t>
  </si>
  <si>
    <t>01.115.</t>
  </si>
  <si>
    <t>05.300.</t>
  </si>
  <si>
    <t>05.306.</t>
  </si>
  <si>
    <t>Vides piesārņojuma novēršana un samazināšana</t>
  </si>
  <si>
    <t>06.403.</t>
  </si>
  <si>
    <t xml:space="preserve">ESF projekts "Tehniskā palīdzība integrētu teritoriālo investīciju projektu iesniegumu atlašu nodrošināšanai Jelgavas pilsētas pašvaldībā" </t>
  </si>
  <si>
    <t>ESF projekts "Integrētu teritoriālo investīciju projektu iesniegumu atlases nodrošināšana Jelgavas pilsētas pašvaldībā"</t>
  </si>
  <si>
    <t>ERAF projekts "Kompleksu pasākumu īstenošana Svētes upes caurplūdes atjaunošanai un plūdu apdraudējuma samazināšanai piegulošajās teritorijās"</t>
  </si>
  <si>
    <t>Eiropas Kohēzijas fonda projekts "Videi draudzīgas sabiedriskā transporta infrastruktūras attīstība Jelgavā"</t>
  </si>
  <si>
    <t>Emisijas kvotu izsolīšanas instrumenta projekts "Siltumnīcefekta gāzu emisiju samazināšana ar viedajām pilsētvides tehnoloģijām Jelgavā"</t>
  </si>
  <si>
    <t>Pašvaldības īpašumu apsaimniekošana</t>
  </si>
  <si>
    <t>Nodibinājums "Sporta tālākizglītības atbalsta fonds"</t>
  </si>
  <si>
    <t xml:space="preserve">Projekts "Airēšanas bāzes būvniecība, I kārta "Lielupes krasta nostiprināšana Pilssalā, Jelgavā" " </t>
  </si>
  <si>
    <t>Interreg V-A Latvijas - Lietuvas programmas projekts "Inovatīvu bibliotēku darbības risinājumu izveide dažādām paaudzēm pierobežas reģionā"</t>
  </si>
  <si>
    <t>Nodibinājums "Kultūras tālākizglītības atbalsta fonds"</t>
  </si>
  <si>
    <t>Interreg V-A Latvijas - Lietuvas programmas projekts "Tehniskās bāzes un operatīvo dienestu speciālistu fiziskās kapacitātes uzlabošana Latvijas un Lietuvas pierobežas reģionā"</t>
  </si>
  <si>
    <t>Nodibinājums "Izglītības atbalsta fonds"</t>
  </si>
  <si>
    <t>Nodibinājums "J.Bisenieka fonds"</t>
  </si>
  <si>
    <t>Invalīdu rehabilitācijas pasākumi, invalīdu transports u.c. kompensācijas</t>
  </si>
  <si>
    <t>ESF projekts "Sabiedrībā balstītu sociālo pakalpojumu nodrošināšana bērniem ar funkcionāliem traucējumiem"</t>
  </si>
  <si>
    <t>Sociālo pakalpojumu centrs bērniem</t>
  </si>
  <si>
    <t>Projekts "Sabiedrībā balstītu sociālo pakalpojumu infrastruktūras izveide, Jelgavā"</t>
  </si>
  <si>
    <t>SIA "Medicīnas sabiedrība OPTIMA 1"</t>
  </si>
  <si>
    <t>SIA "Jelgavas ūdens"</t>
  </si>
  <si>
    <t>SIA "Zemgales Olimpiskais centrs"</t>
  </si>
  <si>
    <t>SIA "Jelgavas poliklīnika"</t>
  </si>
  <si>
    <t>SIA "Jelgavas pilsētas slimnīca"</t>
  </si>
  <si>
    <t>Ziedojumi/ dāvinājumi</t>
  </si>
  <si>
    <t>x</t>
  </si>
  <si>
    <t>SIA "Jelgavas ūdens": programma saimnieciski - fekālās kanalizācijas sistēmas attīstība un pārslēgumi, kanalizācijas sistēma attīstība un pārslēgumi</t>
  </si>
  <si>
    <t>Pašvaldības administrācija - dalības maksas vides aizsardzības semināriem, konferencēm, vides projektu pasākumiem, dabas resursu nodokļa ieņēmumu administrēšana</t>
  </si>
  <si>
    <t>JPPI "Pilsētsaimniecība" - lietus ūdens kanalizācijas pasākumi</t>
  </si>
  <si>
    <t>ERAF projekts "Jelgavas Amatu vidusskolas infrastruktūras uzlabošana un mācību aprīkojuma modernizācija, 2.kārta"</t>
  </si>
  <si>
    <t>Dotācijas biedrībām, nodibinājumiem</t>
  </si>
  <si>
    <t>01.114. ESF Projekts - 'Integrētu teritoriālo investīciju projektu iesniegumu atlases nodrošināšana Jelgavas pilsētas pašvaldībā'</t>
  </si>
  <si>
    <t>01.115. ESF projekts - 'Tehniskā palīdzība integrētu teritoriālo investīciju projektu iesniegumu atlašu nodrošināšanai Jelgavas pilsētas pašvaldībā'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</si>
  <si>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</si>
  <si>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</si>
  <si>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</si>
  <si>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04.510.528. Projekts - 'Miera ielas un Aizsargu ielas asfalta seguma atjaunošana un tilta pār platones upi pārbūve'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</si>
  <si>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</si>
  <si>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</si>
  <si>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</si>
  <si>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</si>
  <si>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</si>
  <si>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</si>
  <si>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08.109. Projekts - 'Airēšanas bāzes būvniecība, I kārta 'Lielupes krasta nostiprināšana Pilssalā, Jelgavā''</t>
  </si>
  <si>
    <t>08.295. Projekts- 'Atklātā amfiteātra tipa brīvdabas estrādes segtā jumta projektēšana un izbūve'</t>
  </si>
  <si>
    <t>09.110. ERAF projekts - 'Jelgavas pilsētas pašvaldības pirmsskolas izglītības iestādes 'Sprīdītis' energoefektivitātes paaugstināšana'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</si>
  <si>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</si>
  <si>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</si>
  <si>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</si>
  <si>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</si>
  <si>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</si>
  <si>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</si>
  <si>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</si>
  <si>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</si>
  <si>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07.623. Fonds 'Jelgavnieku veselības veicināšanas fonds'</t>
  </si>
  <si>
    <t>08.105. Nodibinājums 'Sporta tālākizglītības atbalsta fonds'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</si>
  <si>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</si>
  <si>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</si>
  <si>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</si>
  <si>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</si>
  <si>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</si>
  <si>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04. JELGAVAS PILSĒTAS PAŠVALDĪBAS IESTĀDE 'JELGAVAS PILSĒTAS PAŠVALDĪBAS POLICIJA'</t>
  </si>
  <si>
    <t>05. JELGAVAS PILSĒTAS PAŠVALDĪBAS IESTĀDE 'JELGAVAS PAŠVALDĪBAS OPERATĪVĀS INFORMĀCIJAS CENTRS'</t>
  </si>
  <si>
    <t>03.202. PI 'Pašvaldības operatīvās informācijas centrs' darbības nodrošināšana</t>
  </si>
  <si>
    <t>03.206. Interreg V-A Latvijas - Lietuvas programmas projekts  - 'Civilās aizsardzības saistēmas pilnveidošana Jelgavas un Šauļu pilsētās'</t>
  </si>
  <si>
    <t>06. JELGAVAS PILSĒTAS PAŠVALDĪBAS IESTĀDE 'JELGAVAS REĢIONĀLAIS TŪRISMA CENTRS'</t>
  </si>
  <si>
    <t>07. JELGAVAS PILSĒTAS PAŠVALDĪBAS IESTĀDE 'PILSĒTSAIMNIECĪBA'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</si>
  <si>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</si>
  <si>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</si>
  <si>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06.403. Emisijas kvotu izsolīšanas instrumenta projekts - 'Situmnīcefekta gāzu emisiju samazināšana ar viedajām pilsētvides tehnoloģijām Jelgavā'</t>
  </si>
  <si>
    <t>08. JELGAVAS PILSĒTAS PAŠVALDĪBAS IESTĀDE 'SPORTA SERVISA CENTRS'</t>
  </si>
  <si>
    <t>09. JELGAVAS PILSĒTAS PAŠVALDĪBAS IESTĀDE 'JELGAVAS PILSĒTAS BIBLIOTĒKA'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</si>
  <si>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</si>
  <si>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</si>
  <si>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11. JELGAVAS PILSĒTAS PAŠVALDĪBAS IESTĀDE 'KULTŪRA'</t>
  </si>
  <si>
    <t>12. JELGAVAS PILSĒTAS PAŠVALDĪBAS IESTĀDE 'ZEMGALES INFO'</t>
  </si>
  <si>
    <t>13. JELGAVAS PILSĒTAS PAŠVALDĪBAS IESTĀDE 'ZEMGALES REĢIONA KOMPETENČU ATTĪSTĪBAS CENTRS'</t>
  </si>
  <si>
    <t>14. JELGAVAS PILSĒTAS PAŠVALDĪBAS IESTĀDE 'JELGAVAS IZGLĪTĪBAS PĀRVALDE'</t>
  </si>
  <si>
    <t>09.222.3. Jelgavas Amatu vidusskolas projektu īstenošana - kopsavilkums</t>
  </si>
  <si>
    <t>15. JELGAVAS PILSĒTAS PAŠVALDIBAS IESTĀDE 'JELGAVAS PILSĒTAS BĀRIŅTIESA'</t>
  </si>
  <si>
    <t>16. JELGAVAS PILSĒTAS PAŠVALDĪBAS IESTĀDE 'JELGAVAS SOCIĀLO LIETU PĀRVALDE'</t>
  </si>
  <si>
    <t>10.122. Dienas centrs 'Harmonija'</t>
  </si>
  <si>
    <t>10.128. ESF projekts 'Sabiedrībā balstītu sociālo pakalpojumu nodrošināšana bērniem ar funkcionāliem traucējumiem'</t>
  </si>
  <si>
    <t>10.710. Sociālo pakalpojumu centrs bērniem</t>
  </si>
  <si>
    <t>F50010000. Akcijas un cita līdzdalība komersantu pašu kapitālā</t>
  </si>
  <si>
    <t>JELGAVAS PILSĒTAS PAŠVALDĪBAS 2019.GADA PAMATBUDŽETS ATŠIFRĒJUMĀ PA PROGRAMMĀM UN EKONOMISKĀS KLASIFIKĀCIJAS KODIEM</t>
  </si>
  <si>
    <t>17. FINANSĒŠANA</t>
  </si>
  <si>
    <t>28.02.2019.prot.Nr.___/___</t>
  </si>
  <si>
    <t>2019.gada projekts</t>
  </si>
  <si>
    <t>JELGAVAS PILSĒTAS PAŠVALDĪBAS 2019. GADA SPECIĀLAIS BUDŽETS ATŠIFRĒJUMĀ PA PROGRAMMĀM UN EKONOMISKĀS KLASIFIKĀCIJAS KODIEM</t>
  </si>
  <si>
    <t xml:space="preserve">05.303. Dotācija pašvaldības komersantiem </t>
  </si>
  <si>
    <t>Lat-Lit pārrobežu sadarbības programmas projekts "Civilās aizsardzības sistēmas pilnveidošana Jelgavas un Šauļu pilsētās (C-System)"</t>
  </si>
  <si>
    <t>30.08.2018. -20.06.2028.</t>
  </si>
  <si>
    <t>99 657.00+ 310 124.00= 409 781.00</t>
  </si>
  <si>
    <t>Lat-Lit pārrobežu sadarbības programmas projekts "Inovatīvu risinājumu attīstība bibliotēkās dažādu paaudžu apmeklētājiem pierobežas reģionā"</t>
  </si>
  <si>
    <t>20.03.2019.-20.11.2038.</t>
  </si>
  <si>
    <t>Projekts</t>
  </si>
  <si>
    <t>Zvērināto auditoru pakalpojumi un grāmatvedības programmu uzturēšana</t>
  </si>
  <si>
    <t>01.124. Zvērināto auditoru pakalpojumi un grāmatvedības programmu uzturēšana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</si>
</sst>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&quot;Ls&quot;_-;\-* #,##0.00\ &quot;Ls&quot;_-;_-* &quot;-&quot;??\ &quot;Ls&quot;_-;_-@_-"/>
    <numFmt numFmtId="165" formatCode="_-* #,##0.00\ _L_s_-;\-* #,##0.00\ _L_s_-;_-* &quot;-&quot;??\ _L_s_-;_-@_-"/>
    <numFmt numFmtId="166" formatCode="0.000%"/>
    <numFmt numFmtId="167" formatCode="_-* #,##0\ _L_s_-;\-* #,##0\ _L_s_-;_-* &quot;-&quot;??\ _L_s_-;_-@_-"/>
    <numFmt numFmtId="168" formatCode="#,##0.00_ ;\-#,##0.00\ "/>
  </numFmts>
  <fonts count="99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6"/>
      <name val="Times New Roman Baltic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Arial"/>
      <family val="2"/>
      <charset val="186"/>
    </font>
    <font>
      <sz val="12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name val="Arial"/>
      <family val="2"/>
      <charset val="186"/>
    </font>
    <font>
      <sz val="13"/>
      <name val="Arial"/>
      <family val="2"/>
      <charset val="186"/>
    </font>
    <font>
      <b/>
      <sz val="13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</font>
    <font>
      <sz val="10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u/>
      <sz val="11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  <charset val="186"/>
    </font>
    <font>
      <i/>
      <sz val="11"/>
      <color rgb="FFFF0000"/>
      <name val="Times New Roman Baltic"/>
      <charset val="186"/>
    </font>
    <font>
      <b/>
      <sz val="10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Arial"/>
      <family val="2"/>
      <charset val="186"/>
    </font>
    <font>
      <b/>
      <sz val="11"/>
      <name val="Times New Roman Baltic"/>
      <charset val="186"/>
    </font>
    <font>
      <i/>
      <sz val="11"/>
      <name val="Times New Roman Baltic"/>
      <charset val="186"/>
    </font>
    <font>
      <i/>
      <sz val="11"/>
      <name val="Times New Roman"/>
      <family val="1"/>
    </font>
    <font>
      <i/>
      <sz val="11"/>
      <name val="Times New Roman Baltic"/>
      <family val="1"/>
      <charset val="186"/>
    </font>
    <font>
      <sz val="11"/>
      <name val="Times New Roman"/>
      <family val="1"/>
    </font>
    <font>
      <b/>
      <sz val="16"/>
      <name val="Times New Roman"/>
      <family val="1"/>
      <charset val="186"/>
    </font>
    <font>
      <sz val="16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14"/>
      <name val="Times New Roman Baltic"/>
      <family val="1"/>
      <charset val="186"/>
    </font>
    <font>
      <b/>
      <sz val="11"/>
      <name val="Times New Roman"/>
      <family val="1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i/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 Baltic"/>
      <family val="1"/>
      <charset val="186"/>
    </font>
    <font>
      <sz val="14"/>
      <color rgb="FFFF0000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7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39" fillId="0" borderId="0"/>
    <xf numFmtId="0" fontId="39" fillId="0" borderId="0"/>
    <xf numFmtId="0" fontId="48" fillId="0" borderId="0"/>
    <xf numFmtId="0" fontId="42" fillId="0" borderId="0"/>
    <xf numFmtId="0" fontId="46" fillId="0" borderId="0"/>
    <xf numFmtId="0" fontId="39" fillId="0" borderId="0"/>
    <xf numFmtId="0" fontId="4" fillId="23" borderId="7" applyNumberFormat="0" applyFont="0" applyAlignment="0" applyProtection="0"/>
    <xf numFmtId="0" fontId="29" fillId="20" borderId="8" applyNumberFormat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76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84">
    <xf numFmtId="0" fontId="0" fillId="0" borderId="0" xfId="0"/>
    <xf numFmtId="0" fontId="5" fillId="0" borderId="0" xfId="0" applyFont="1"/>
    <xf numFmtId="0" fontId="7" fillId="0" borderId="0" xfId="0" applyFont="1" applyBorder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/>
    <xf numFmtId="0" fontId="9" fillId="0" borderId="0" xfId="0" applyFont="1" applyFill="1"/>
    <xf numFmtId="3" fontId="0" fillId="0" borderId="0" xfId="0" applyNumberFormat="1"/>
    <xf numFmtId="0" fontId="5" fillId="0" borderId="0" xfId="0" applyFont="1" applyBorder="1"/>
    <xf numFmtId="0" fontId="11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37" fillId="0" borderId="0" xfId="0" applyFont="1"/>
    <xf numFmtId="3" fontId="38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12" fillId="0" borderId="0" xfId="0" applyFont="1" applyBorder="1"/>
    <xf numFmtId="0" fontId="8" fillId="0" borderId="0" xfId="0" applyFont="1" applyBorder="1"/>
    <xf numFmtId="0" fontId="11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54" fillId="0" borderId="0" xfId="59" applyFont="1"/>
    <xf numFmtId="0" fontId="54" fillId="0" borderId="0" xfId="59" applyFont="1" applyAlignment="1">
      <alignment wrapText="1"/>
    </xf>
    <xf numFmtId="0" fontId="54" fillId="0" borderId="0" xfId="59" applyFont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51" fillId="0" borderId="0" xfId="0" applyFont="1" applyBorder="1"/>
    <xf numFmtId="0" fontId="51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/>
    </xf>
    <xf numFmtId="0" fontId="51" fillId="0" borderId="0" xfId="0" applyFont="1" applyBorder="1" applyAlignment="1">
      <alignment horizontal="left" wrapText="1" indent="2"/>
    </xf>
    <xf numFmtId="0" fontId="51" fillId="0" borderId="0" xfId="0" applyFont="1"/>
    <xf numFmtId="0" fontId="51" fillId="0" borderId="0" xfId="0" applyFont="1" applyAlignment="1">
      <alignment vertical="center" wrapText="1"/>
    </xf>
    <xf numFmtId="0" fontId="56" fillId="0" borderId="0" xfId="0" applyFont="1"/>
    <xf numFmtId="0" fontId="56" fillId="0" borderId="0" xfId="0" applyFont="1" applyAlignment="1">
      <alignment horizontal="center"/>
    </xf>
    <xf numFmtId="0" fontId="57" fillId="0" borderId="0" xfId="0" applyFont="1"/>
    <xf numFmtId="0" fontId="57" fillId="0" borderId="0" xfId="0" applyFont="1" applyAlignment="1">
      <alignment vertical="center" wrapText="1"/>
    </xf>
    <xf numFmtId="3" fontId="57" fillId="0" borderId="0" xfId="0" applyNumberFormat="1" applyFont="1"/>
    <xf numFmtId="0" fontId="5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5" fillId="0" borderId="0" xfId="59" applyFont="1"/>
    <xf numFmtId="0" fontId="55" fillId="0" borderId="0" xfId="59" applyFont="1" applyAlignment="1">
      <alignment wrapText="1"/>
    </xf>
    <xf numFmtId="0" fontId="55" fillId="0" borderId="10" xfId="59" applyFont="1" applyBorder="1"/>
    <xf numFmtId="0" fontId="60" fillId="0" borderId="10" xfId="59" applyFont="1" applyBorder="1"/>
    <xf numFmtId="0" fontId="6" fillId="0" borderId="0" xfId="59" applyFont="1"/>
    <xf numFmtId="0" fontId="6" fillId="0" borderId="0" xfId="59" applyFont="1" applyAlignment="1">
      <alignment wrapText="1"/>
    </xf>
    <xf numFmtId="0" fontId="8" fillId="0" borderId="10" xfId="59" applyFont="1" applyBorder="1"/>
    <xf numFmtId="0" fontId="8" fillId="0" borderId="10" xfId="59" applyFont="1" applyBorder="1" applyAlignment="1">
      <alignment horizontal="left"/>
    </xf>
    <xf numFmtId="0" fontId="41" fillId="0" borderId="10" xfId="59" applyFont="1" applyBorder="1" applyAlignment="1">
      <alignment horizontal="left" wrapText="1" indent="2"/>
    </xf>
    <xf numFmtId="0" fontId="6" fillId="0" borderId="10" xfId="59" applyFont="1" applyBorder="1"/>
    <xf numFmtId="3" fontId="6" fillId="0" borderId="10" xfId="59" applyNumberFormat="1" applyFont="1" applyBorder="1"/>
    <xf numFmtId="3" fontId="41" fillId="0" borderId="10" xfId="59" applyNumberFormat="1" applyFont="1" applyBorder="1"/>
    <xf numFmtId="0" fontId="8" fillId="0" borderId="10" xfId="59" applyFont="1" applyBorder="1" applyAlignment="1">
      <alignment wrapText="1"/>
    </xf>
    <xf numFmtId="0" fontId="8" fillId="0" borderId="0" xfId="59" applyFont="1"/>
    <xf numFmtId="0" fontId="62" fillId="27" borderId="10" xfId="59" applyFont="1" applyFill="1" applyBorder="1" applyAlignment="1">
      <alignment horizontal="center" vertical="center" wrapText="1"/>
    </xf>
    <xf numFmtId="0" fontId="6" fillId="0" borderId="0" xfId="59" applyFont="1" applyAlignment="1">
      <alignment horizontal="center"/>
    </xf>
    <xf numFmtId="0" fontId="43" fillId="27" borderId="10" xfId="59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25" borderId="10" xfId="0" applyFont="1" applyFill="1" applyBorder="1" applyAlignment="1">
      <alignment horizontal="center" wrapText="1"/>
    </xf>
    <xf numFmtId="0" fontId="12" fillId="25" borderId="10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/>
    </xf>
    <xf numFmtId="0" fontId="12" fillId="24" borderId="10" xfId="0" applyFont="1" applyFill="1" applyBorder="1" applyAlignment="1">
      <alignment horizontal="center" wrapText="1"/>
    </xf>
    <xf numFmtId="3" fontId="12" fillId="24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 wrapText="1"/>
    </xf>
    <xf numFmtId="3" fontId="8" fillId="24" borderId="10" xfId="0" applyNumberFormat="1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wrapText="1"/>
    </xf>
    <xf numFmtId="0" fontId="12" fillId="24" borderId="10" xfId="0" applyFont="1" applyFill="1" applyBorder="1" applyAlignment="1">
      <alignment vertical="center" wrapText="1"/>
    </xf>
    <xf numFmtId="3" fontId="12" fillId="24" borderId="1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vertical="center" wrapText="1"/>
    </xf>
    <xf numFmtId="3" fontId="12" fillId="0" borderId="10" xfId="0" applyNumberFormat="1" applyFont="1" applyBorder="1" applyAlignment="1">
      <alignment horizontal="center"/>
    </xf>
    <xf numFmtId="0" fontId="13" fillId="0" borderId="10" xfId="0" applyFont="1" applyFill="1" applyBorder="1" applyAlignment="1">
      <alignment horizontal="right" wrapText="1"/>
    </xf>
    <xf numFmtId="3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2" fillId="0" borderId="10" xfId="0" applyFont="1" applyFill="1" applyBorder="1"/>
    <xf numFmtId="0" fontId="50" fillId="0" borderId="10" xfId="0" applyFont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Border="1" applyAlignment="1">
      <alignment wrapText="1"/>
    </xf>
    <xf numFmtId="3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wrapText="1" indent="2"/>
    </xf>
    <xf numFmtId="3" fontId="11" fillId="0" borderId="10" xfId="0" applyNumberFormat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left" wrapText="1" indent="2"/>
    </xf>
    <xf numFmtId="3" fontId="11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32" borderId="10" xfId="0" applyNumberFormat="1" applyFont="1" applyFill="1" applyBorder="1" applyAlignment="1">
      <alignment horizontal="center" vertical="center"/>
    </xf>
    <xf numFmtId="0" fontId="12" fillId="24" borderId="10" xfId="0" applyFont="1" applyFill="1" applyBorder="1"/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11" fillId="0" borderId="10" xfId="0" applyFont="1" applyFill="1" applyBorder="1"/>
    <xf numFmtId="0" fontId="11" fillId="0" borderId="10" xfId="0" applyFont="1" applyFill="1" applyBorder="1" applyAlignment="1">
      <alignment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69" fillId="0" borderId="0" xfId="0" applyFont="1" applyBorder="1" applyAlignment="1"/>
    <xf numFmtId="0" fontId="70" fillId="0" borderId="0" xfId="0" applyFont="1" applyBorder="1" applyAlignment="1">
      <alignment horizontal="right"/>
    </xf>
    <xf numFmtId="0" fontId="6" fillId="0" borderId="10" xfId="0" applyFont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Border="1"/>
    <xf numFmtId="0" fontId="68" fillId="0" borderId="10" xfId="0" applyFont="1" applyFill="1" applyBorder="1" applyAlignment="1">
      <alignment vertical="center" wrapText="1"/>
    </xf>
    <xf numFmtId="0" fontId="72" fillId="26" borderId="10" xfId="0" applyFont="1" applyFill="1" applyBorder="1"/>
    <xf numFmtId="0" fontId="7" fillId="0" borderId="0" xfId="0" applyFont="1" applyBorder="1" applyAlignment="1">
      <alignment horizontal="left" wrapText="1" indent="1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73" fillId="0" borderId="0" xfId="0" applyFont="1"/>
    <xf numFmtId="3" fontId="14" fillId="0" borderId="0" xfId="0" applyNumberFormat="1" applyFont="1"/>
    <xf numFmtId="3" fontId="7" fillId="0" borderId="0" xfId="0" applyNumberFormat="1" applyFont="1" applyAlignment="1">
      <alignment horizontal="center"/>
    </xf>
    <xf numFmtId="0" fontId="73" fillId="0" borderId="0" xfId="0" applyFont="1" applyAlignment="1">
      <alignment horizontal="right"/>
    </xf>
    <xf numFmtId="0" fontId="52" fillId="32" borderId="10" xfId="0" applyFont="1" applyFill="1" applyBorder="1" applyAlignment="1">
      <alignment horizontal="left" vertical="center" wrapText="1" indent="1"/>
    </xf>
    <xf numFmtId="3" fontId="52" fillId="32" borderId="10" xfId="0" applyNumberFormat="1" applyFont="1" applyFill="1" applyBorder="1" applyAlignment="1">
      <alignment horizontal="center"/>
    </xf>
    <xf numFmtId="0" fontId="64" fillId="0" borderId="10" xfId="0" applyFont="1" applyFill="1" applyBorder="1" applyAlignment="1">
      <alignment vertical="center" wrapText="1"/>
    </xf>
    <xf numFmtId="49" fontId="52" fillId="32" borderId="10" xfId="0" applyNumberFormat="1" applyFont="1" applyFill="1" applyBorder="1" applyAlignment="1">
      <alignment horizontal="right" wrapText="1"/>
    </xf>
    <xf numFmtId="49" fontId="13" fillId="32" borderId="10" xfId="0" applyNumberFormat="1" applyFont="1" applyFill="1" applyBorder="1" applyAlignment="1">
      <alignment horizontal="right" wrapText="1"/>
    </xf>
    <xf numFmtId="3" fontId="13" fillId="32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 vertical="center" wrapText="1"/>
    </xf>
    <xf numFmtId="0" fontId="11" fillId="24" borderId="10" xfId="0" applyFont="1" applyFill="1" applyBorder="1"/>
    <xf numFmtId="0" fontId="7" fillId="0" borderId="0" xfId="0" applyFont="1"/>
    <xf numFmtId="3" fontId="6" fillId="0" borderId="0" xfId="0" applyNumberFormat="1" applyFont="1" applyAlignment="1">
      <alignment horizontal="center"/>
    </xf>
    <xf numFmtId="3" fontId="41" fillId="0" borderId="10" xfId="0" applyNumberFormat="1" applyFont="1" applyBorder="1" applyAlignment="1">
      <alignment horizontal="center"/>
    </xf>
    <xf numFmtId="0" fontId="12" fillId="25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wrapText="1"/>
    </xf>
    <xf numFmtId="0" fontId="5" fillId="31" borderId="10" xfId="59" applyFont="1" applyFill="1" applyBorder="1"/>
    <xf numFmtId="3" fontId="8" fillId="31" borderId="10" xfId="59" applyNumberFormat="1" applyFont="1" applyFill="1" applyBorder="1"/>
    <xf numFmtId="0" fontId="43" fillId="0" borderId="10" xfId="59" applyFont="1" applyBorder="1"/>
    <xf numFmtId="0" fontId="43" fillId="0" borderId="10" xfId="59" applyFont="1" applyBorder="1" applyAlignment="1">
      <alignment horizontal="left" wrapText="1"/>
    </xf>
    <xf numFmtId="3" fontId="43" fillId="0" borderId="10" xfId="59" applyNumberFormat="1" applyFont="1" applyBorder="1" applyAlignment="1">
      <alignment wrapText="1"/>
    </xf>
    <xf numFmtId="0" fontId="8" fillId="31" borderId="10" xfId="59" applyFont="1" applyFill="1" applyBorder="1" applyAlignment="1">
      <alignment wrapText="1"/>
    </xf>
    <xf numFmtId="3" fontId="8" fillId="0" borderId="10" xfId="59" applyNumberFormat="1" applyFont="1" applyBorder="1" applyAlignment="1">
      <alignment wrapText="1"/>
    </xf>
    <xf numFmtId="3" fontId="41" fillId="0" borderId="10" xfId="59" applyNumberFormat="1" applyFont="1" applyBorder="1" applyAlignment="1">
      <alignment wrapText="1"/>
    </xf>
    <xf numFmtId="0" fontId="5" fillId="0" borderId="0" xfId="59" applyFont="1"/>
    <xf numFmtId="0" fontId="5" fillId="0" borderId="0" xfId="59" applyFont="1" applyAlignment="1">
      <alignment horizontal="right"/>
    </xf>
    <xf numFmtId="0" fontId="4" fillId="0" borderId="0" xfId="60" applyFont="1"/>
    <xf numFmtId="0" fontId="15" fillId="0" borderId="0" xfId="61" applyFont="1"/>
    <xf numFmtId="0" fontId="4" fillId="0" borderId="0" xfId="62"/>
    <xf numFmtId="0" fontId="6" fillId="0" borderId="0" xfId="62" applyFont="1" applyFill="1"/>
    <xf numFmtId="0" fontId="6" fillId="0" borderId="0" xfId="62" applyFont="1" applyAlignment="1">
      <alignment vertical="center"/>
    </xf>
    <xf numFmtId="0" fontId="6" fillId="0" borderId="0" xfId="62" applyFont="1"/>
    <xf numFmtId="0" fontId="6" fillId="0" borderId="0" xfId="62" applyFont="1" applyFill="1" applyAlignment="1">
      <alignment horizontal="right"/>
    </xf>
    <xf numFmtId="0" fontId="6" fillId="0" borderId="0" xfId="63" applyFont="1" applyAlignment="1">
      <alignment horizontal="right"/>
    </xf>
    <xf numFmtId="0" fontId="11" fillId="0" borderId="0" xfId="62" applyFont="1" applyFill="1" applyBorder="1" applyAlignment="1">
      <alignment horizontal="right"/>
    </xf>
    <xf numFmtId="0" fontId="11" fillId="0" borderId="0" xfId="63" applyFont="1" applyFill="1" applyBorder="1" applyAlignment="1">
      <alignment horizontal="right"/>
    </xf>
    <xf numFmtId="0" fontId="79" fillId="0" borderId="0" xfId="62" applyFont="1"/>
    <xf numFmtId="0" fontId="80" fillId="27" borderId="17" xfId="62" applyFont="1" applyFill="1" applyBorder="1" applyAlignment="1">
      <alignment horizontal="center" vertical="center"/>
    </xf>
    <xf numFmtId="0" fontId="80" fillId="25" borderId="17" xfId="62" applyFont="1" applyFill="1" applyBorder="1" applyAlignment="1">
      <alignment vertical="center"/>
    </xf>
    <xf numFmtId="0" fontId="80" fillId="25" borderId="18" xfId="62" applyFont="1" applyFill="1" applyBorder="1" applyAlignment="1">
      <alignment vertical="center"/>
    </xf>
    <xf numFmtId="0" fontId="80" fillId="25" borderId="19" xfId="62" applyFont="1" applyFill="1" applyBorder="1" applyAlignment="1">
      <alignment horizontal="center" vertical="center"/>
    </xf>
    <xf numFmtId="0" fontId="4" fillId="0" borderId="0" xfId="62" applyAlignment="1">
      <alignment vertical="center"/>
    </xf>
    <xf numFmtId="0" fontId="80" fillId="27" borderId="22" xfId="62" applyFont="1" applyFill="1" applyBorder="1" applyAlignment="1">
      <alignment horizontal="center" vertical="center"/>
    </xf>
    <xf numFmtId="0" fontId="80" fillId="27" borderId="23" xfId="62" applyFont="1" applyFill="1" applyBorder="1" applyAlignment="1">
      <alignment horizontal="center" vertical="center"/>
    </xf>
    <xf numFmtId="0" fontId="80" fillId="25" borderId="24" xfId="62" applyFont="1" applyFill="1" applyBorder="1" applyAlignment="1">
      <alignment horizontal="center" vertical="center"/>
    </xf>
    <xf numFmtId="0" fontId="79" fillId="0" borderId="26" xfId="64" applyFont="1" applyFill="1" applyBorder="1" applyAlignment="1">
      <alignment horizontal="center" wrapText="1"/>
    </xf>
    <xf numFmtId="4" fontId="79" fillId="0" borderId="26" xfId="64" applyNumberFormat="1" applyFont="1" applyFill="1" applyBorder="1"/>
    <xf numFmtId="4" fontId="79" fillId="28" borderId="27" xfId="64" applyNumberFormat="1" applyFont="1" applyFill="1" applyBorder="1"/>
    <xf numFmtId="0" fontId="4" fillId="0" borderId="0" xfId="64" applyFill="1"/>
    <xf numFmtId="0" fontId="79" fillId="0" borderId="29" xfId="64" applyFont="1" applyFill="1" applyBorder="1" applyAlignment="1">
      <alignment horizontal="center" wrapText="1"/>
    </xf>
    <xf numFmtId="4" fontId="79" fillId="0" borderId="29" xfId="64" applyNumberFormat="1" applyFont="1" applyFill="1" applyBorder="1"/>
    <xf numFmtId="3" fontId="79" fillId="0" borderId="29" xfId="64" applyNumberFormat="1" applyFont="1" applyFill="1" applyBorder="1"/>
    <xf numFmtId="4" fontId="79" fillId="28" borderId="30" xfId="64" applyNumberFormat="1" applyFont="1" applyFill="1" applyBorder="1"/>
    <xf numFmtId="4" fontId="79" fillId="0" borderId="31" xfId="64" applyNumberFormat="1" applyFont="1" applyFill="1" applyBorder="1"/>
    <xf numFmtId="0" fontId="79" fillId="0" borderId="31" xfId="64" applyFont="1" applyFill="1" applyBorder="1" applyAlignment="1">
      <alignment horizontal="center" wrapText="1"/>
    </xf>
    <xf numFmtId="0" fontId="79" fillId="0" borderId="32" xfId="64" applyFont="1" applyFill="1" applyBorder="1" applyAlignment="1">
      <alignment horizontal="center"/>
    </xf>
    <xf numFmtId="3" fontId="79" fillId="0" borderId="32" xfId="64" applyNumberFormat="1" applyFont="1" applyFill="1" applyBorder="1"/>
    <xf numFmtId="4" fontId="81" fillId="0" borderId="26" xfId="64" applyNumberFormat="1" applyFont="1" applyFill="1" applyBorder="1"/>
    <xf numFmtId="4" fontId="81" fillId="0" borderId="29" xfId="64" applyNumberFormat="1" applyFont="1" applyFill="1" applyBorder="1"/>
    <xf numFmtId="0" fontId="79" fillId="0" borderId="31" xfId="64" applyFont="1" applyFill="1" applyBorder="1" applyAlignment="1">
      <alignment horizontal="center"/>
    </xf>
    <xf numFmtId="0" fontId="79" fillId="0" borderId="32" xfId="64" applyFont="1" applyFill="1" applyBorder="1" applyAlignment="1">
      <alignment horizontal="center" wrapText="1"/>
    </xf>
    <xf numFmtId="0" fontId="4" fillId="0" borderId="0" xfId="64" applyFont="1" applyFill="1"/>
    <xf numFmtId="4" fontId="82" fillId="0" borderId="31" xfId="64" applyNumberFormat="1" applyFont="1" applyFill="1" applyBorder="1"/>
    <xf numFmtId="10" fontId="79" fillId="0" borderId="26" xfId="64" applyNumberFormat="1" applyFont="1" applyFill="1" applyBorder="1" applyAlignment="1">
      <alignment horizontal="center"/>
    </xf>
    <xf numFmtId="10" fontId="79" fillId="0" borderId="31" xfId="64" applyNumberFormat="1" applyFont="1" applyFill="1" applyBorder="1" applyAlignment="1">
      <alignment horizontal="center"/>
    </xf>
    <xf numFmtId="3" fontId="82" fillId="0" borderId="32" xfId="64" applyNumberFormat="1" applyFont="1" applyFill="1" applyBorder="1"/>
    <xf numFmtId="4" fontId="82" fillId="0" borderId="26" xfId="64" applyNumberFormat="1" applyFont="1" applyFill="1" applyBorder="1"/>
    <xf numFmtId="4" fontId="82" fillId="0" borderId="29" xfId="64" applyNumberFormat="1" applyFont="1" applyFill="1" applyBorder="1"/>
    <xf numFmtId="3" fontId="79" fillId="0" borderId="26" xfId="64" applyNumberFormat="1" applyFont="1" applyFill="1" applyBorder="1"/>
    <xf numFmtId="0" fontId="79" fillId="0" borderId="26" xfId="62" applyFont="1" applyFill="1" applyBorder="1" applyAlignment="1">
      <alignment horizontal="center" wrapText="1"/>
    </xf>
    <xf numFmtId="0" fontId="4" fillId="0" borderId="0" xfId="62" applyFill="1"/>
    <xf numFmtId="0" fontId="79" fillId="0" borderId="29" xfId="62" applyFont="1" applyFill="1" applyBorder="1" applyAlignment="1">
      <alignment horizontal="center" wrapText="1"/>
    </xf>
    <xf numFmtId="4" fontId="79" fillId="0" borderId="26" xfId="66" applyNumberFormat="1" applyFont="1" applyFill="1" applyBorder="1"/>
    <xf numFmtId="3" fontId="79" fillId="0" borderId="29" xfId="66" applyNumberFormat="1" applyFont="1" applyFill="1" applyBorder="1"/>
    <xf numFmtId="3" fontId="79" fillId="0" borderId="31" xfId="66" applyNumberFormat="1" applyFont="1" applyFill="1" applyBorder="1"/>
    <xf numFmtId="3" fontId="79" fillId="0" borderId="32" xfId="66" applyNumberFormat="1" applyFont="1" applyFill="1" applyBorder="1"/>
    <xf numFmtId="3" fontId="79" fillId="0" borderId="31" xfId="64" applyNumberFormat="1" applyFont="1" applyFill="1" applyBorder="1"/>
    <xf numFmtId="10" fontId="79" fillId="0" borderId="26" xfId="66" applyNumberFormat="1" applyFont="1" applyFill="1" applyBorder="1" applyAlignment="1">
      <alignment horizontal="center"/>
    </xf>
    <xf numFmtId="166" fontId="79" fillId="0" borderId="29" xfId="66" applyNumberFormat="1" applyFont="1" applyFill="1" applyBorder="1" applyAlignment="1">
      <alignment horizontal="center"/>
    </xf>
    <xf numFmtId="3" fontId="81" fillId="0" borderId="31" xfId="65" applyNumberFormat="1" applyFont="1" applyFill="1" applyBorder="1" applyAlignment="1">
      <alignment horizontal="right" vertical="center"/>
    </xf>
    <xf numFmtId="3" fontId="79" fillId="0" borderId="31" xfId="65" applyNumberFormat="1" applyFont="1" applyFill="1" applyBorder="1" applyAlignment="1">
      <alignment horizontal="right" vertical="center"/>
    </xf>
    <xf numFmtId="3" fontId="79" fillId="0" borderId="32" xfId="65" applyNumberFormat="1" applyFont="1" applyFill="1" applyBorder="1" applyAlignment="1">
      <alignment horizontal="right" vertical="center"/>
    </xf>
    <xf numFmtId="4" fontId="79" fillId="0" borderId="26" xfId="65" applyNumberFormat="1" applyFont="1" applyFill="1" applyBorder="1" applyAlignment="1">
      <alignment horizontal="right" vertical="center"/>
    </xf>
    <xf numFmtId="3" fontId="79" fillId="0" borderId="29" xfId="65" applyNumberFormat="1" applyFont="1" applyFill="1" applyBorder="1" applyAlignment="1">
      <alignment horizontal="right" vertical="center"/>
    </xf>
    <xf numFmtId="4" fontId="79" fillId="0" borderId="26" xfId="62" applyNumberFormat="1" applyFont="1" applyFill="1" applyBorder="1"/>
    <xf numFmtId="3" fontId="79" fillId="0" borderId="26" xfId="62" applyNumberFormat="1" applyFont="1" applyFill="1" applyBorder="1"/>
    <xf numFmtId="3" fontId="79" fillId="0" borderId="29" xfId="62" applyNumberFormat="1" applyFont="1" applyFill="1" applyBorder="1"/>
    <xf numFmtId="166" fontId="83" fillId="0" borderId="29" xfId="66" applyNumberFormat="1" applyFont="1" applyFill="1" applyBorder="1" applyAlignment="1">
      <alignment horizontal="center"/>
    </xf>
    <xf numFmtId="0" fontId="83" fillId="0" borderId="26" xfId="64" applyFont="1" applyFill="1" applyBorder="1" applyAlignment="1">
      <alignment horizontal="center" wrapText="1"/>
    </xf>
    <xf numFmtId="4" fontId="83" fillId="0" borderId="26" xfId="62" applyNumberFormat="1" applyFont="1" applyFill="1" applyBorder="1"/>
    <xf numFmtId="4" fontId="83" fillId="0" borderId="29" xfId="62" applyNumberFormat="1" applyFont="1" applyFill="1" applyBorder="1"/>
    <xf numFmtId="3" fontId="79" fillId="0" borderId="26" xfId="66" applyNumberFormat="1" applyFont="1" applyFill="1" applyBorder="1"/>
    <xf numFmtId="10" fontId="83" fillId="0" borderId="26" xfId="66" applyNumberFormat="1" applyFont="1" applyFill="1" applyBorder="1" applyAlignment="1">
      <alignment horizontal="center"/>
    </xf>
    <xf numFmtId="4" fontId="83" fillId="28" borderId="27" xfId="64" applyNumberFormat="1" applyFont="1" applyFill="1" applyBorder="1"/>
    <xf numFmtId="0" fontId="44" fillId="0" borderId="29" xfId="62" applyFont="1" applyFill="1" applyBorder="1"/>
    <xf numFmtId="4" fontId="83" fillId="28" borderId="30" xfId="64" applyNumberFormat="1" applyFont="1" applyFill="1" applyBorder="1"/>
    <xf numFmtId="3" fontId="83" fillId="0" borderId="26" xfId="66" applyNumberFormat="1" applyFont="1" applyFill="1" applyBorder="1"/>
    <xf numFmtId="3" fontId="83" fillId="0" borderId="29" xfId="66" applyNumberFormat="1" applyFont="1" applyFill="1" applyBorder="1"/>
    <xf numFmtId="0" fontId="79" fillId="33" borderId="38" xfId="62" applyFont="1" applyFill="1" applyBorder="1" applyAlignment="1"/>
    <xf numFmtId="167" fontId="84" fillId="33" borderId="26" xfId="62" applyNumberFormat="1" applyFont="1" applyFill="1" applyBorder="1" applyAlignment="1">
      <alignment horizontal="center"/>
    </xf>
    <xf numFmtId="4" fontId="84" fillId="33" borderId="26" xfId="62" applyNumberFormat="1" applyFont="1" applyFill="1" applyBorder="1" applyAlignment="1">
      <alignment horizontal="center"/>
    </xf>
    <xf numFmtId="4" fontId="84" fillId="33" borderId="27" xfId="62" applyNumberFormat="1" applyFont="1" applyFill="1" applyBorder="1" applyAlignment="1">
      <alignment horizontal="center"/>
    </xf>
    <xf numFmtId="0" fontId="79" fillId="33" borderId="39" xfId="62" applyFont="1" applyFill="1" applyBorder="1" applyAlignment="1">
      <alignment horizontal="center"/>
    </xf>
    <xf numFmtId="0" fontId="43" fillId="33" borderId="41" xfId="62" applyFont="1" applyFill="1" applyBorder="1" applyAlignment="1">
      <alignment horizontal="right"/>
    </xf>
    <xf numFmtId="4" fontId="84" fillId="33" borderId="41" xfId="62" applyNumberFormat="1" applyFont="1" applyFill="1" applyBorder="1" applyAlignment="1">
      <alignment horizontal="center"/>
    </xf>
    <xf numFmtId="4" fontId="84" fillId="33" borderId="42" xfId="62" applyNumberFormat="1" applyFont="1" applyFill="1" applyBorder="1" applyAlignment="1">
      <alignment horizontal="center"/>
    </xf>
    <xf numFmtId="0" fontId="84" fillId="33" borderId="43" xfId="62" applyFont="1" applyFill="1" applyBorder="1" applyAlignment="1">
      <alignment horizontal="center"/>
    </xf>
    <xf numFmtId="0" fontId="84" fillId="33" borderId="44" xfId="62" applyFont="1" applyFill="1" applyBorder="1" applyAlignment="1">
      <alignment horizontal="center"/>
    </xf>
    <xf numFmtId="4" fontId="84" fillId="33" borderId="44" xfId="62" applyNumberFormat="1" applyFont="1" applyFill="1" applyBorder="1" applyAlignment="1">
      <alignment horizontal="center"/>
    </xf>
    <xf numFmtId="4" fontId="84" fillId="33" borderId="45" xfId="62" applyNumberFormat="1" applyFont="1" applyFill="1" applyBorder="1" applyAlignment="1">
      <alignment horizontal="center" vertical="center"/>
    </xf>
    <xf numFmtId="0" fontId="6" fillId="34" borderId="46" xfId="62" applyFont="1" applyFill="1" applyBorder="1" applyAlignment="1"/>
    <xf numFmtId="0" fontId="43" fillId="33" borderId="50" xfId="62" applyFont="1" applyFill="1" applyBorder="1" applyAlignment="1">
      <alignment horizontal="center"/>
    </xf>
    <xf numFmtId="10" fontId="85" fillId="33" borderId="50" xfId="67" applyNumberFormat="1" applyFont="1" applyFill="1" applyBorder="1" applyAlignment="1">
      <alignment horizontal="center"/>
    </xf>
    <xf numFmtId="10" fontId="85" fillId="33" borderId="47" xfId="67" applyNumberFormat="1" applyFont="1" applyFill="1" applyBorder="1" applyAlignment="1">
      <alignment horizontal="center"/>
    </xf>
    <xf numFmtId="10" fontId="85" fillId="33" borderId="51" xfId="67" applyNumberFormat="1" applyFont="1" applyFill="1" applyBorder="1" applyAlignment="1">
      <alignment horizontal="center"/>
    </xf>
    <xf numFmtId="4" fontId="86" fillId="0" borderId="0" xfId="62" applyNumberFormat="1" applyFont="1"/>
    <xf numFmtId="0" fontId="44" fillId="0" borderId="0" xfId="62" applyFont="1"/>
    <xf numFmtId="43" fontId="86" fillId="0" borderId="0" xfId="62" applyNumberFormat="1" applyFont="1"/>
    <xf numFmtId="0" fontId="79" fillId="0" borderId="0" xfId="62" applyFont="1" applyAlignment="1">
      <alignment vertical="center"/>
    </xf>
    <xf numFmtId="0" fontId="79" fillId="0" borderId="0" xfId="62" applyFont="1" applyFill="1" applyAlignment="1">
      <alignment vertical="center"/>
    </xf>
    <xf numFmtId="3" fontId="79" fillId="0" borderId="0" xfId="62" applyNumberFormat="1" applyFont="1" applyAlignment="1">
      <alignment vertical="center"/>
    </xf>
    <xf numFmtId="0" fontId="79" fillId="0" borderId="0" xfId="62" applyFont="1" applyAlignment="1">
      <alignment horizontal="right" vertical="center"/>
    </xf>
    <xf numFmtId="0" fontId="79" fillId="0" borderId="0" xfId="62" applyFont="1" applyFill="1"/>
    <xf numFmtId="0" fontId="79" fillId="0" borderId="0" xfId="62" applyFont="1" applyFill="1" applyAlignment="1">
      <alignment vertical="center" wrapText="1"/>
    </xf>
    <xf numFmtId="4" fontId="79" fillId="0" borderId="0" xfId="62" applyNumberFormat="1" applyFont="1"/>
    <xf numFmtId="0" fontId="79" fillId="0" borderId="0" xfId="62" applyFont="1" applyAlignment="1">
      <alignment horizontal="right"/>
    </xf>
    <xf numFmtId="4" fontId="79" fillId="0" borderId="0" xfId="62" applyNumberFormat="1" applyFont="1" applyFill="1" applyAlignment="1">
      <alignment vertical="center"/>
    </xf>
    <xf numFmtId="0" fontId="4" fillId="0" borderId="0" xfId="62" applyAlignment="1"/>
    <xf numFmtId="0" fontId="43" fillId="0" borderId="0" xfId="62" applyFont="1" applyAlignment="1"/>
    <xf numFmtId="0" fontId="87" fillId="0" borderId="0" xfId="62" applyFont="1"/>
    <xf numFmtId="167" fontId="87" fillId="0" borderId="0" xfId="62" applyNumberFormat="1" applyFont="1"/>
    <xf numFmtId="0" fontId="4" fillId="0" borderId="0" xfId="62" applyFill="1" applyBorder="1"/>
    <xf numFmtId="0" fontId="79" fillId="0" borderId="26" xfId="62" applyFont="1" applyFill="1" applyBorder="1" applyAlignment="1">
      <alignment horizontal="center" vertical="center" wrapText="1"/>
    </xf>
    <xf numFmtId="4" fontId="83" fillId="0" borderId="26" xfId="64" applyNumberFormat="1" applyFont="1" applyFill="1" applyBorder="1"/>
    <xf numFmtId="4" fontId="83" fillId="0" borderId="52" xfId="64" applyNumberFormat="1" applyFont="1" applyFill="1" applyBorder="1"/>
    <xf numFmtId="0" fontId="79" fillId="0" borderId="29" xfId="62" applyFont="1" applyFill="1" applyBorder="1" applyAlignment="1">
      <alignment horizontal="center" vertical="center" wrapText="1"/>
    </xf>
    <xf numFmtId="4" fontId="83" fillId="0" borderId="29" xfId="64" applyNumberFormat="1" applyFont="1" applyFill="1" applyBorder="1"/>
    <xf numFmtId="4" fontId="83" fillId="0" borderId="53" xfId="64" applyNumberFormat="1" applyFont="1" applyFill="1" applyBorder="1"/>
    <xf numFmtId="0" fontId="79" fillId="0" borderId="29" xfId="62" applyFont="1" applyFill="1" applyBorder="1" applyAlignment="1">
      <alignment horizontal="center"/>
    </xf>
    <xf numFmtId="10" fontId="79" fillId="0" borderId="26" xfId="62" applyNumberFormat="1" applyFont="1" applyFill="1" applyBorder="1" applyAlignment="1">
      <alignment horizontal="center"/>
    </xf>
    <xf numFmtId="4" fontId="79" fillId="0" borderId="27" xfId="64" applyNumberFormat="1" applyFont="1" applyFill="1" applyBorder="1"/>
    <xf numFmtId="166" fontId="79" fillId="0" borderId="29" xfId="62" applyNumberFormat="1" applyFont="1" applyFill="1" applyBorder="1" applyAlignment="1">
      <alignment horizontal="center"/>
    </xf>
    <xf numFmtId="4" fontId="79" fillId="0" borderId="30" xfId="64" applyNumberFormat="1" applyFont="1" applyFill="1" applyBorder="1"/>
    <xf numFmtId="0" fontId="79" fillId="33" borderId="25" xfId="62" applyFont="1" applyFill="1" applyBorder="1" applyAlignment="1"/>
    <xf numFmtId="0" fontId="79" fillId="33" borderId="40" xfId="62" applyFont="1" applyFill="1" applyBorder="1" applyAlignment="1">
      <alignment horizontal="center"/>
    </xf>
    <xf numFmtId="0" fontId="43" fillId="33" borderId="41" xfId="62" applyFont="1" applyFill="1" applyBorder="1" applyAlignment="1">
      <alignment horizontal="center"/>
    </xf>
    <xf numFmtId="0" fontId="84" fillId="33" borderId="58" xfId="62" applyFont="1" applyFill="1" applyBorder="1" applyAlignment="1">
      <alignment horizontal="center"/>
    </xf>
    <xf numFmtId="0" fontId="84" fillId="33" borderId="59" xfId="62" applyFont="1" applyFill="1" applyBorder="1" applyAlignment="1">
      <alignment horizontal="center"/>
    </xf>
    <xf numFmtId="3" fontId="84" fillId="33" borderId="59" xfId="62" applyNumberFormat="1" applyFont="1" applyFill="1" applyBorder="1" applyAlignment="1">
      <alignment horizontal="center"/>
    </xf>
    <xf numFmtId="3" fontId="84" fillId="33" borderId="60" xfId="62" applyNumberFormat="1" applyFont="1" applyFill="1" applyBorder="1" applyAlignment="1">
      <alignment horizontal="center"/>
    </xf>
    <xf numFmtId="4" fontId="4" fillId="0" borderId="0" xfId="62" applyNumberFormat="1"/>
    <xf numFmtId="0" fontId="45" fillId="0" borderId="0" xfId="62" applyFont="1" applyAlignment="1">
      <alignment vertical="center"/>
    </xf>
    <xf numFmtId="4" fontId="84" fillId="33" borderId="26" xfId="62" applyNumberFormat="1" applyFont="1" applyFill="1" applyBorder="1" applyAlignment="1">
      <alignment horizontal="center" vertical="center"/>
    </xf>
    <xf numFmtId="4" fontId="84" fillId="33" borderId="63" xfId="62" applyNumberFormat="1" applyFont="1" applyFill="1" applyBorder="1" applyAlignment="1">
      <alignment horizontal="center" vertical="center"/>
    </xf>
    <xf numFmtId="4" fontId="84" fillId="33" borderId="41" xfId="62" applyNumberFormat="1" applyFont="1" applyFill="1" applyBorder="1" applyAlignment="1">
      <alignment horizontal="center" vertical="center"/>
    </xf>
    <xf numFmtId="4" fontId="84" fillId="33" borderId="42" xfId="62" applyNumberFormat="1" applyFont="1" applyFill="1" applyBorder="1" applyAlignment="1">
      <alignment horizontal="center" vertical="center"/>
    </xf>
    <xf numFmtId="4" fontId="84" fillId="33" borderId="64" xfId="62" applyNumberFormat="1" applyFont="1" applyFill="1" applyBorder="1" applyAlignment="1">
      <alignment horizontal="center" vertical="center"/>
    </xf>
    <xf numFmtId="10" fontId="85" fillId="33" borderId="65" xfId="67" applyNumberFormat="1" applyFont="1" applyFill="1" applyBorder="1" applyAlignment="1">
      <alignment horizontal="center"/>
    </xf>
    <xf numFmtId="0" fontId="86" fillId="0" borderId="0" xfId="68" applyFont="1" applyProtection="1">
      <protection locked="0"/>
    </xf>
    <xf numFmtId="0" fontId="4" fillId="0" borderId="0" xfId="63"/>
    <xf numFmtId="0" fontId="5" fillId="0" borderId="0" xfId="68" applyFont="1" applyProtection="1">
      <protection locked="0"/>
    </xf>
    <xf numFmtId="0" fontId="7" fillId="0" borderId="0" xfId="63" applyFont="1" applyBorder="1"/>
    <xf numFmtId="3" fontId="7" fillId="0" borderId="0" xfId="63" applyNumberFormat="1" applyFont="1"/>
    <xf numFmtId="0" fontId="7" fillId="0" borderId="0" xfId="63" applyFont="1" applyAlignment="1">
      <alignment horizontal="center"/>
    </xf>
    <xf numFmtId="0" fontId="7" fillId="0" borderId="0" xfId="63" applyFont="1" applyAlignment="1">
      <alignment horizontal="right"/>
    </xf>
    <xf numFmtId="0" fontId="7" fillId="0" borderId="0" xfId="62" applyFont="1" applyAlignment="1">
      <alignment horizontal="right"/>
    </xf>
    <xf numFmtId="0" fontId="11" fillId="0" borderId="0" xfId="62" applyFont="1"/>
    <xf numFmtId="0" fontId="41" fillId="0" borderId="0" xfId="62" applyFont="1"/>
    <xf numFmtId="0" fontId="5" fillId="0" borderId="0" xfId="68" applyFont="1" applyBorder="1" applyProtection="1">
      <protection locked="0"/>
    </xf>
    <xf numFmtId="3" fontId="11" fillId="0" borderId="0" xfId="62" applyNumberFormat="1" applyFont="1"/>
    <xf numFmtId="14" fontId="6" fillId="0" borderId="0" xfId="68" applyNumberFormat="1" applyFont="1" applyProtection="1"/>
    <xf numFmtId="10" fontId="79" fillId="0" borderId="29" xfId="64" applyNumberFormat="1" applyFont="1" applyFill="1" applyBorder="1" applyAlignment="1">
      <alignment horizontal="center"/>
    </xf>
    <xf numFmtId="4" fontId="79" fillId="0" borderId="26" xfId="0" applyNumberFormat="1" applyFont="1" applyFill="1" applyBorder="1"/>
    <xf numFmtId="3" fontId="79" fillId="0" borderId="29" xfId="0" applyNumberFormat="1" applyFont="1" applyFill="1" applyBorder="1"/>
    <xf numFmtId="4" fontId="79" fillId="0" borderId="31" xfId="0" applyNumberFormat="1" applyFont="1" applyFill="1" applyBorder="1"/>
    <xf numFmtId="3" fontId="79" fillId="0" borderId="31" xfId="0" applyNumberFormat="1" applyFont="1" applyFill="1" applyBorder="1"/>
    <xf numFmtId="3" fontId="79" fillId="0" borderId="32" xfId="0" applyNumberFormat="1" applyFont="1" applyFill="1" applyBorder="1"/>
    <xf numFmtId="3" fontId="79" fillId="0" borderId="26" xfId="0" applyNumberFormat="1" applyFont="1" applyFill="1" applyBorder="1"/>
    <xf numFmtId="3" fontId="43" fillId="34" borderId="49" xfId="64" applyNumberFormat="1" applyFont="1" applyFill="1" applyBorder="1" applyAlignment="1"/>
    <xf numFmtId="0" fontId="5" fillId="0" borderId="0" xfId="64" applyFont="1" applyBorder="1"/>
    <xf numFmtId="0" fontId="4" fillId="0" borderId="0" xfId="64"/>
    <xf numFmtId="0" fontId="5" fillId="0" borderId="0" xfId="64" applyFont="1" applyFill="1" applyAlignment="1">
      <alignment horizontal="right"/>
    </xf>
    <xf numFmtId="0" fontId="11" fillId="0" borderId="0" xfId="64" applyFont="1" applyFill="1" applyBorder="1" applyAlignment="1">
      <alignment horizontal="right"/>
    </xf>
    <xf numFmtId="0" fontId="90" fillId="0" borderId="0" xfId="64" applyFont="1" applyAlignment="1">
      <alignment vertical="center" wrapText="1"/>
    </xf>
    <xf numFmtId="0" fontId="91" fillId="0" borderId="0" xfId="64" applyFont="1"/>
    <xf numFmtId="0" fontId="91" fillId="0" borderId="0" xfId="64" applyFont="1" applyAlignment="1">
      <alignment horizontal="right"/>
    </xf>
    <xf numFmtId="0" fontId="50" fillId="27" borderId="10" xfId="64" applyFont="1" applyFill="1" applyBorder="1" applyAlignment="1">
      <alignment horizontal="center" vertical="center"/>
    </xf>
    <xf numFmtId="0" fontId="91" fillId="27" borderId="10" xfId="64" applyFont="1" applyFill="1" applyBorder="1" applyAlignment="1">
      <alignment horizontal="center" vertical="center"/>
    </xf>
    <xf numFmtId="0" fontId="8" fillId="26" borderId="0" xfId="64" applyFont="1" applyFill="1" applyAlignment="1">
      <alignment horizontal="center"/>
    </xf>
    <xf numFmtId="0" fontId="50" fillId="26" borderId="10" xfId="64" applyFont="1" applyFill="1" applyBorder="1" applyAlignment="1">
      <alignment horizontal="center" vertical="center" wrapText="1"/>
    </xf>
    <xf numFmtId="0" fontId="50" fillId="0" borderId="0" xfId="64" applyFont="1"/>
    <xf numFmtId="0" fontId="91" fillId="0" borderId="10" xfId="64" applyFont="1" applyBorder="1"/>
    <xf numFmtId="0" fontId="91" fillId="0" borderId="10" xfId="64" applyFont="1" applyBorder="1" applyAlignment="1">
      <alignment vertical="center" wrapText="1"/>
    </xf>
    <xf numFmtId="3" fontId="11" fillId="0" borderId="10" xfId="64" applyNumberFormat="1" applyFont="1" applyBorder="1" applyAlignment="1">
      <alignment horizontal="right" vertical="center" wrapText="1"/>
    </xf>
    <xf numFmtId="0" fontId="50" fillId="26" borderId="10" xfId="64" applyFont="1" applyFill="1" applyBorder="1" applyAlignment="1">
      <alignment horizontal="center"/>
    </xf>
    <xf numFmtId="3" fontId="12" fillId="26" borderId="10" xfId="64" applyNumberFormat="1" applyFont="1" applyFill="1" applyBorder="1" applyAlignment="1">
      <alignment horizontal="right" vertical="center" wrapText="1"/>
    </xf>
    <xf numFmtId="3" fontId="12" fillId="26" borderId="10" xfId="64" applyNumberFormat="1" applyFont="1" applyFill="1" applyBorder="1"/>
    <xf numFmtId="0" fontId="91" fillId="0" borderId="10" xfId="64" applyFont="1" applyFill="1" applyBorder="1" applyAlignment="1">
      <alignment vertical="center" wrapText="1"/>
    </xf>
    <xf numFmtId="3" fontId="11" fillId="0" borderId="10" xfId="64" applyNumberFormat="1" applyFont="1" applyBorder="1"/>
    <xf numFmtId="0" fontId="5" fillId="0" borderId="0" xfId="64" applyFont="1"/>
    <xf numFmtId="0" fontId="5" fillId="0" borderId="0" xfId="64" applyFont="1" applyAlignment="1">
      <alignment horizontal="right"/>
    </xf>
    <xf numFmtId="3" fontId="4" fillId="0" borderId="0" xfId="64" applyNumberFormat="1"/>
    <xf numFmtId="4" fontId="79" fillId="0" borderId="52" xfId="0" applyNumberFormat="1" applyFont="1" applyFill="1" applyBorder="1"/>
    <xf numFmtId="4" fontId="79" fillId="0" borderId="68" xfId="0" applyNumberFormat="1" applyFont="1" applyFill="1" applyBorder="1"/>
    <xf numFmtId="3" fontId="79" fillId="0" borderId="68" xfId="0" applyNumberFormat="1" applyFont="1" applyFill="1" applyBorder="1"/>
    <xf numFmtId="3" fontId="79" fillId="0" borderId="69" xfId="0" applyNumberFormat="1" applyFont="1" applyFill="1" applyBorder="1"/>
    <xf numFmtId="3" fontId="79" fillId="0" borderId="53" xfId="0" applyNumberFormat="1" applyFont="1" applyFill="1" applyBorder="1"/>
    <xf numFmtId="3" fontId="79" fillId="0" borderId="68" xfId="65" applyNumberFormat="1" applyFont="1" applyFill="1" applyBorder="1" applyAlignment="1">
      <alignment horizontal="right" vertical="center"/>
    </xf>
    <xf numFmtId="3" fontId="79" fillId="0" borderId="69" xfId="65" applyNumberFormat="1" applyFont="1" applyFill="1" applyBorder="1" applyAlignment="1">
      <alignment horizontal="right" vertical="center"/>
    </xf>
    <xf numFmtId="3" fontId="79" fillId="0" borderId="52" xfId="62" applyNumberFormat="1" applyFont="1" applyFill="1" applyBorder="1"/>
    <xf numFmtId="4" fontId="79" fillId="0" borderId="52" xfId="62" applyNumberFormat="1" applyFont="1" applyFill="1" applyBorder="1"/>
    <xf numFmtId="3" fontId="79" fillId="0" borderId="53" xfId="62" applyNumberFormat="1" applyFont="1" applyFill="1" applyBorder="1"/>
    <xf numFmtId="4" fontId="79" fillId="0" borderId="52" xfId="65" applyNumberFormat="1" applyFont="1" applyFill="1" applyBorder="1" applyAlignment="1">
      <alignment horizontal="right" vertical="center"/>
    </xf>
    <xf numFmtId="3" fontId="11" fillId="0" borderId="10" xfId="64" applyNumberFormat="1" applyFont="1" applyFill="1" applyBorder="1" applyAlignment="1">
      <alignment horizontal="right" vertical="center"/>
    </xf>
    <xf numFmtId="3" fontId="11" fillId="0" borderId="10" xfId="64" applyNumberFormat="1" applyFont="1" applyFill="1" applyBorder="1" applyAlignment="1">
      <alignment horizontal="right" vertical="center" wrapText="1"/>
    </xf>
    <xf numFmtId="3" fontId="11" fillId="0" borderId="10" xfId="64" applyNumberFormat="1" applyFont="1" applyFill="1" applyBorder="1" applyAlignment="1">
      <alignment horizontal="right"/>
    </xf>
    <xf numFmtId="0" fontId="79" fillId="0" borderId="26" xfId="64" applyFont="1" applyFill="1" applyBorder="1" applyAlignment="1">
      <alignment horizontal="center" wrapText="1"/>
    </xf>
    <xf numFmtId="0" fontId="79" fillId="0" borderId="29" xfId="64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0" fontId="79" fillId="0" borderId="26" xfId="64" applyFont="1" applyFill="1" applyBorder="1" applyAlignment="1">
      <alignment horizontal="center" vertical="center" wrapText="1"/>
    </xf>
    <xf numFmtId="0" fontId="79" fillId="0" borderId="29" xfId="64" applyFont="1" applyFill="1" applyBorder="1" applyAlignment="1">
      <alignment horizontal="center" vertical="center" wrapText="1"/>
    </xf>
    <xf numFmtId="0" fontId="79" fillId="0" borderId="31" xfId="64" applyFont="1" applyFill="1" applyBorder="1" applyAlignment="1">
      <alignment horizontal="center" vertical="center" wrapText="1"/>
    </xf>
    <xf numFmtId="0" fontId="79" fillId="0" borderId="32" xfId="64" applyFont="1" applyFill="1" applyBorder="1" applyAlignment="1">
      <alignment horizontal="center" vertical="center" wrapText="1"/>
    </xf>
    <xf numFmtId="0" fontId="80" fillId="27" borderId="22" xfId="62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right" vertical="center" wrapText="1"/>
    </xf>
    <xf numFmtId="0" fontId="74" fillId="0" borderId="10" xfId="0" applyFont="1" applyFill="1" applyBorder="1" applyAlignment="1">
      <alignment horizontal="left" vertical="center" wrapText="1"/>
    </xf>
    <xf numFmtId="0" fontId="66" fillId="0" borderId="10" xfId="0" applyFont="1" applyFill="1" applyBorder="1" applyAlignment="1">
      <alignment horizontal="right" vertical="center" wrapText="1"/>
    </xf>
    <xf numFmtId="49" fontId="13" fillId="0" borderId="10" xfId="0" applyNumberFormat="1" applyFont="1" applyFill="1" applyBorder="1" applyAlignment="1">
      <alignment horizontal="right" vertical="center" wrapText="1"/>
    </xf>
    <xf numFmtId="0" fontId="13" fillId="32" borderId="10" xfId="0" applyFont="1" applyFill="1" applyBorder="1" applyAlignment="1">
      <alignment horizontal="right" vertical="center" wrapText="1"/>
    </xf>
    <xf numFmtId="0" fontId="66" fillId="0" borderId="10" xfId="0" applyFont="1" applyBorder="1" applyAlignment="1">
      <alignment horizontal="right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36" fillId="0" borderId="10" xfId="0" applyNumberFormat="1" applyFont="1" applyFill="1" applyBorder="1" applyAlignment="1">
      <alignment horizontal="center" vertical="center"/>
    </xf>
    <xf numFmtId="3" fontId="13" fillId="30" borderId="10" xfId="0" applyNumberFormat="1" applyFont="1" applyFill="1" applyBorder="1" applyAlignment="1">
      <alignment horizontal="center" vertical="center"/>
    </xf>
    <xf numFmtId="3" fontId="52" fillId="32" borderId="10" xfId="0" applyNumberFormat="1" applyFont="1" applyFill="1" applyBorder="1" applyAlignment="1">
      <alignment horizontal="center" vertical="center"/>
    </xf>
    <xf numFmtId="3" fontId="64" fillId="0" borderId="10" xfId="0" applyNumberFormat="1" applyFont="1" applyFill="1" applyBorder="1" applyAlignment="1">
      <alignment horizontal="center" vertical="center"/>
    </xf>
    <xf numFmtId="3" fontId="65" fillId="0" borderId="10" xfId="0" applyNumberFormat="1" applyFont="1" applyFill="1" applyBorder="1" applyAlignment="1">
      <alignment horizontal="center" vertical="center"/>
    </xf>
    <xf numFmtId="3" fontId="58" fillId="32" borderId="10" xfId="0" applyNumberFormat="1" applyFont="1" applyFill="1" applyBorder="1" applyAlignment="1">
      <alignment horizontal="center" vertical="center"/>
    </xf>
    <xf numFmtId="3" fontId="79" fillId="0" borderId="52" xfId="0" applyNumberFormat="1" applyFont="1" applyFill="1" applyBorder="1"/>
    <xf numFmtId="10" fontId="79" fillId="0" borderId="26" xfId="66" applyNumberFormat="1" applyFont="1" applyFill="1" applyBorder="1" applyAlignment="1">
      <alignment horizontal="center" vertical="center"/>
    </xf>
    <xf numFmtId="10" fontId="79" fillId="0" borderId="29" xfId="64" applyNumberFormat="1" applyFont="1" applyFill="1" applyBorder="1" applyAlignment="1">
      <alignment horizontal="center" vertical="center"/>
    </xf>
    <xf numFmtId="0" fontId="79" fillId="0" borderId="29" xfId="62" applyFont="1" applyFill="1" applyBorder="1" applyAlignment="1">
      <alignment horizontal="center" vertical="center"/>
    </xf>
    <xf numFmtId="3" fontId="79" fillId="0" borderId="53" xfId="66" applyNumberFormat="1" applyFont="1" applyFill="1" applyBorder="1"/>
    <xf numFmtId="3" fontId="79" fillId="0" borderId="52" xfId="66" applyNumberFormat="1" applyFont="1" applyFill="1" applyBorder="1"/>
    <xf numFmtId="4" fontId="79" fillId="0" borderId="31" xfId="65" applyNumberFormat="1" applyFont="1" applyFill="1" applyBorder="1" applyAlignment="1">
      <alignment horizontal="right" vertical="center"/>
    </xf>
    <xf numFmtId="3" fontId="79" fillId="0" borderId="53" xfId="65" applyNumberFormat="1" applyFont="1" applyFill="1" applyBorder="1" applyAlignment="1">
      <alignment horizontal="right" vertical="center"/>
    </xf>
    <xf numFmtId="0" fontId="79" fillId="0" borderId="0" xfId="0" applyFont="1" applyFill="1"/>
    <xf numFmtId="0" fontId="93" fillId="0" borderId="10" xfId="0" applyFont="1" applyFill="1" applyBorder="1" applyAlignment="1">
      <alignment horizontal="right" vertical="center"/>
    </xf>
    <xf numFmtId="0" fontId="75" fillId="0" borderId="10" xfId="0" applyFont="1" applyFill="1" applyBorder="1" applyAlignment="1">
      <alignment horizontal="left" vertical="center" wrapText="1"/>
    </xf>
    <xf numFmtId="3" fontId="12" fillId="30" borderId="10" xfId="0" applyNumberFormat="1" applyFont="1" applyFill="1" applyBorder="1" applyAlignment="1">
      <alignment horizontal="center" vertical="center"/>
    </xf>
    <xf numFmtId="0" fontId="43" fillId="0" borderId="10" xfId="0" applyFont="1" applyBorder="1"/>
    <xf numFmtId="0" fontId="6" fillId="0" borderId="10" xfId="0" applyFont="1" applyFill="1" applyBorder="1"/>
    <xf numFmtId="0" fontId="71" fillId="26" borderId="10" xfId="0" applyFont="1" applyFill="1" applyBorder="1" applyAlignment="1">
      <alignment horizontal="center" vertical="center" wrapText="1"/>
    </xf>
    <xf numFmtId="3" fontId="71" fillId="26" borderId="10" xfId="0" applyNumberFormat="1" applyFont="1" applyFill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 wrapText="1"/>
    </xf>
    <xf numFmtId="3" fontId="71" fillId="0" borderId="10" xfId="0" applyNumberFormat="1" applyFont="1" applyBorder="1" applyAlignment="1">
      <alignment horizontal="center" vertical="center"/>
    </xf>
    <xf numFmtId="3" fontId="7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2" fillId="27" borderId="67" xfId="64" applyFont="1" applyFill="1" applyBorder="1" applyAlignment="1">
      <alignment horizontal="center" vertical="center"/>
    </xf>
    <xf numFmtId="0" fontId="91" fillId="0" borderId="10" xfId="64" applyFont="1" applyBorder="1" applyAlignment="1">
      <alignment vertical="center"/>
    </xf>
    <xf numFmtId="0" fontId="4" fillId="0" borderId="0" xfId="62" applyFill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wrapText="1"/>
    </xf>
    <xf numFmtId="0" fontId="12" fillId="32" borderId="10" xfId="0" applyFont="1" applyFill="1" applyBorder="1" applyAlignment="1">
      <alignment horizontal="left" vertical="center" wrapText="1"/>
    </xf>
    <xf numFmtId="3" fontId="36" fillId="32" borderId="10" xfId="0" applyNumberFormat="1" applyFont="1" applyFill="1" applyBorder="1" applyAlignment="1">
      <alignment horizontal="center" vertical="center"/>
    </xf>
    <xf numFmtId="0" fontId="13" fillId="32" borderId="10" xfId="0" applyFont="1" applyFill="1" applyBorder="1" applyAlignment="1">
      <alignment horizontal="right" wrapText="1"/>
    </xf>
    <xf numFmtId="3" fontId="36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10" xfId="0" applyFont="1" applyBorder="1" applyAlignment="1">
      <alignment horizontal="left" vertical="center" wrapText="1" indent="2"/>
    </xf>
    <xf numFmtId="0" fontId="13" fillId="0" borderId="10" xfId="0" applyFont="1" applyFill="1" applyBorder="1" applyAlignment="1">
      <alignment horizontal="left" vertical="center" wrapText="1" indent="2"/>
    </xf>
    <xf numFmtId="0" fontId="94" fillId="0" borderId="0" xfId="0" applyFont="1"/>
    <xf numFmtId="0" fontId="8" fillId="0" borderId="0" xfId="0" applyFont="1" applyAlignment="1">
      <alignment vertical="center"/>
    </xf>
    <xf numFmtId="3" fontId="58" fillId="32" borderId="10" xfId="0" applyNumberFormat="1" applyFont="1" applyFill="1" applyBorder="1" applyAlignment="1">
      <alignment horizontal="center"/>
    </xf>
    <xf numFmtId="3" fontId="36" fillId="32" borderId="10" xfId="0" applyNumberFormat="1" applyFont="1" applyFill="1" applyBorder="1" applyAlignment="1">
      <alignment horizontal="center"/>
    </xf>
    <xf numFmtId="3" fontId="95" fillId="0" borderId="10" xfId="0" applyNumberFormat="1" applyFont="1" applyFill="1" applyBorder="1" applyAlignment="1">
      <alignment horizontal="center" vertical="center"/>
    </xf>
    <xf numFmtId="3" fontId="96" fillId="0" borderId="0" xfId="0" applyNumberFormat="1" applyFont="1"/>
    <xf numFmtId="3" fontId="53" fillId="0" borderId="0" xfId="0" applyNumberFormat="1" applyFont="1"/>
    <xf numFmtId="3" fontId="61" fillId="0" borderId="0" xfId="0" applyNumberFormat="1" applyFont="1"/>
    <xf numFmtId="3" fontId="12" fillId="0" borderId="0" xfId="0" applyNumberFormat="1" applyFont="1"/>
    <xf numFmtId="3" fontId="8" fillId="0" borderId="0" xfId="0" applyNumberFormat="1" applyFont="1"/>
    <xf numFmtId="49" fontId="13" fillId="0" borderId="10" xfId="0" applyNumberFormat="1" applyFont="1" applyFill="1" applyBorder="1" applyAlignment="1">
      <alignment horizontal="left" vertical="center" wrapText="1" indent="2"/>
    </xf>
    <xf numFmtId="0" fontId="52" fillId="0" borderId="10" xfId="0" applyFont="1" applyFill="1" applyBorder="1" applyAlignment="1">
      <alignment horizontal="left" vertical="center" wrapText="1" indent="2"/>
    </xf>
    <xf numFmtId="0" fontId="53" fillId="32" borderId="10" xfId="0" applyFont="1" applyFill="1" applyBorder="1" applyAlignment="1">
      <alignment vertical="center" wrapText="1"/>
    </xf>
    <xf numFmtId="0" fontId="52" fillId="32" borderId="10" xfId="0" applyFont="1" applyFill="1" applyBorder="1" applyAlignment="1">
      <alignment horizontal="left" vertical="center" wrapText="1" indent="2"/>
    </xf>
    <xf numFmtId="0" fontId="98" fillId="0" borderId="0" xfId="0" applyFont="1" applyAlignment="1">
      <alignment vertical="center" wrapText="1"/>
    </xf>
    <xf numFmtId="0" fontId="52" fillId="32" borderId="10" xfId="0" applyFont="1" applyFill="1" applyBorder="1" applyAlignment="1">
      <alignment horizontal="right" vertical="center" wrapText="1"/>
    </xf>
    <xf numFmtId="0" fontId="59" fillId="32" borderId="10" xfId="0" applyFont="1" applyFill="1" applyBorder="1" applyAlignment="1">
      <alignment horizontal="left" vertical="center" wrapText="1" indent="1"/>
    </xf>
    <xf numFmtId="0" fontId="66" fillId="32" borderId="10" xfId="0" applyFont="1" applyFill="1" applyBorder="1" applyAlignment="1">
      <alignment horizontal="right" vertical="center" wrapText="1"/>
    </xf>
    <xf numFmtId="49" fontId="13" fillId="32" borderId="10" xfId="0" applyNumberFormat="1" applyFont="1" applyFill="1" applyBorder="1" applyAlignment="1">
      <alignment horizontal="right" vertical="center" wrapText="1"/>
    </xf>
    <xf numFmtId="0" fontId="97" fillId="32" borderId="10" xfId="0" applyFont="1" applyFill="1" applyBorder="1" applyAlignment="1">
      <alignment horizontal="left" vertical="center" wrapText="1" indent="2"/>
    </xf>
    <xf numFmtId="0" fontId="75" fillId="0" borderId="10" xfId="0" applyFont="1" applyFill="1" applyBorder="1" applyAlignment="1">
      <alignment horizontal="left" vertical="center" wrapText="1" indent="1"/>
    </xf>
    <xf numFmtId="0" fontId="52" fillId="32" borderId="10" xfId="0" applyFont="1" applyFill="1" applyBorder="1" applyAlignment="1">
      <alignment horizontal="left" wrapText="1" indent="2"/>
    </xf>
    <xf numFmtId="0" fontId="65" fillId="0" borderId="10" xfId="0" applyFont="1" applyFill="1" applyBorder="1" applyAlignment="1">
      <alignment horizontal="left" vertical="center" wrapText="1" indent="2"/>
    </xf>
    <xf numFmtId="0" fontId="67" fillId="0" borderId="10" xfId="0" applyFont="1" applyFill="1" applyBorder="1" applyAlignment="1">
      <alignment horizontal="left" vertical="center" wrapText="1" indent="2"/>
    </xf>
    <xf numFmtId="0" fontId="41" fillId="0" borderId="10" xfId="0" applyFont="1" applyFill="1" applyBorder="1" applyAlignment="1">
      <alignment horizontal="left" vertical="center" wrapText="1" indent="2"/>
    </xf>
    <xf numFmtId="0" fontId="12" fillId="0" borderId="48" xfId="0" applyFont="1" applyBorder="1"/>
    <xf numFmtId="0" fontId="62" fillId="27" borderId="10" xfId="0" applyFont="1" applyFill="1" applyBorder="1" applyAlignment="1">
      <alignment horizontal="center" vertical="center" wrapText="1"/>
    </xf>
    <xf numFmtId="3" fontId="77" fillId="0" borderId="10" xfId="59" applyNumberFormat="1" applyFont="1" applyBorder="1" applyAlignment="1">
      <alignment horizontal="center"/>
    </xf>
    <xf numFmtId="3" fontId="41" fillId="0" borderId="10" xfId="59" applyNumberFormat="1" applyFont="1" applyBorder="1" applyAlignment="1">
      <alignment horizontal="center"/>
    </xf>
    <xf numFmtId="3" fontId="41" fillId="0" borderId="10" xfId="59" applyNumberFormat="1" applyFont="1" applyFill="1" applyBorder="1" applyAlignment="1">
      <alignment horizontal="center"/>
    </xf>
    <xf numFmtId="0" fontId="83" fillId="0" borderId="26" xfId="64" applyFont="1" applyFill="1" applyBorder="1" applyAlignment="1">
      <alignment horizontal="center" vertical="center" wrapText="1"/>
    </xf>
    <xf numFmtId="0" fontId="4" fillId="0" borderId="0" xfId="64" applyFont="1"/>
    <xf numFmtId="0" fontId="5" fillId="29" borderId="0" xfId="64" applyFont="1" applyFill="1" applyAlignment="1">
      <alignment horizontal="right" vertical="top" wrapText="1"/>
    </xf>
    <xf numFmtId="0" fontId="45" fillId="0" borderId="0" xfId="64" applyFont="1"/>
    <xf numFmtId="0" fontId="78" fillId="0" borderId="0" xfId="64" applyFont="1"/>
    <xf numFmtId="0" fontId="36" fillId="29" borderId="0" xfId="64" applyFont="1" applyFill="1" applyAlignment="1">
      <alignment horizontal="left" vertical="top" wrapText="1"/>
    </xf>
    <xf numFmtId="3" fontId="36" fillId="29" borderId="0" xfId="64" applyNumberFormat="1" applyFont="1" applyFill="1" applyAlignment="1">
      <alignment horizontal="right" vertical="top" wrapText="1"/>
    </xf>
    <xf numFmtId="0" fontId="11" fillId="29" borderId="0" xfId="64" applyFont="1" applyFill="1" applyAlignment="1">
      <alignment horizontal="left" vertical="top" wrapText="1"/>
    </xf>
    <xf numFmtId="3" fontId="11" fillId="29" borderId="0" xfId="64" applyNumberFormat="1" applyFont="1" applyFill="1" applyAlignment="1">
      <alignment horizontal="right" vertical="top" wrapText="1"/>
    </xf>
    <xf numFmtId="0" fontId="15" fillId="0" borderId="0" xfId="69" applyFont="1"/>
    <xf numFmtId="0" fontId="5" fillId="0" borderId="0" xfId="64" applyFont="1" applyAlignment="1">
      <alignment horizontal="center" vertical="center"/>
    </xf>
    <xf numFmtId="0" fontId="15" fillId="0" borderId="0" xfId="64" applyFont="1"/>
    <xf numFmtId="0" fontId="4" fillId="0" borderId="0" xfId="64" applyFont="1" applyAlignment="1">
      <alignment vertical="center"/>
    </xf>
    <xf numFmtId="0" fontId="14" fillId="0" borderId="0" xfId="61" applyFont="1"/>
    <xf numFmtId="0" fontId="7" fillId="0" borderId="0" xfId="0" applyFont="1" applyAlignment="1">
      <alignment horizontal="center" vertical="center"/>
    </xf>
    <xf numFmtId="0" fontId="14" fillId="0" borderId="0" xfId="60" applyFont="1"/>
    <xf numFmtId="10" fontId="83" fillId="0" borderId="26" xfId="66" applyNumberFormat="1" applyFont="1" applyFill="1" applyBorder="1" applyAlignment="1">
      <alignment horizontal="center" vertical="center"/>
    </xf>
    <xf numFmtId="4" fontId="83" fillId="0" borderId="26" xfId="66" applyNumberFormat="1" applyFont="1" applyFill="1" applyBorder="1"/>
    <xf numFmtId="3" fontId="83" fillId="0" borderId="52" xfId="66" applyNumberFormat="1" applyFont="1" applyFill="1" applyBorder="1"/>
    <xf numFmtId="0" fontId="83" fillId="0" borderId="29" xfId="62" applyFont="1" applyFill="1" applyBorder="1" applyAlignment="1">
      <alignment horizontal="center" vertical="center"/>
    </xf>
    <xf numFmtId="10" fontId="83" fillId="0" borderId="29" xfId="64" applyNumberFormat="1" applyFont="1" applyFill="1" applyBorder="1" applyAlignment="1">
      <alignment horizontal="center" vertical="center"/>
    </xf>
    <xf numFmtId="3" fontId="83" fillId="0" borderId="53" xfId="66" applyNumberFormat="1" applyFont="1" applyFill="1" applyBorder="1"/>
    <xf numFmtId="4" fontId="88" fillId="0" borderId="26" xfId="62" applyNumberFormat="1" applyFont="1" applyFill="1" applyBorder="1"/>
    <xf numFmtId="3" fontId="83" fillId="0" borderId="29" xfId="62" applyNumberFormat="1" applyFont="1" applyFill="1" applyBorder="1"/>
    <xf numFmtId="3" fontId="83" fillId="0" borderId="26" xfId="0" applyNumberFormat="1" applyFont="1" applyFill="1" applyBorder="1"/>
    <xf numFmtId="3" fontId="83" fillId="0" borderId="52" xfId="0" applyNumberFormat="1" applyFont="1" applyFill="1" applyBorder="1"/>
    <xf numFmtId="3" fontId="83" fillId="0" borderId="29" xfId="0" applyNumberFormat="1" applyFont="1" applyFill="1" applyBorder="1"/>
    <xf numFmtId="3" fontId="83" fillId="0" borderId="53" xfId="0" applyNumberFormat="1" applyFont="1" applyFill="1" applyBorder="1"/>
    <xf numFmtId="0" fontId="83" fillId="0" borderId="29" xfId="64" applyFont="1" applyFill="1" applyBorder="1" applyAlignment="1">
      <alignment horizontal="center" wrapText="1"/>
    </xf>
    <xf numFmtId="3" fontId="83" fillId="0" borderId="29" xfId="64" applyNumberFormat="1" applyFont="1" applyFill="1" applyBorder="1"/>
    <xf numFmtId="3" fontId="83" fillId="0" borderId="26" xfId="64" applyNumberFormat="1" applyFont="1" applyFill="1" applyBorder="1"/>
    <xf numFmtId="0" fontId="92" fillId="0" borderId="0" xfId="62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12" fillId="24" borderId="10" xfId="0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25" borderId="10" xfId="0" applyFont="1" applyFill="1" applyBorder="1" applyAlignment="1">
      <alignment horizontal="center" vertical="center"/>
    </xf>
    <xf numFmtId="0" fontId="63" fillId="25" borderId="10" xfId="0" applyFont="1" applyFill="1" applyBorder="1" applyAlignment="1">
      <alignment horizontal="center" vertical="center"/>
    </xf>
    <xf numFmtId="0" fontId="12" fillId="25" borderId="10" xfId="0" applyFont="1" applyFill="1" applyBorder="1" applyAlignment="1">
      <alignment horizontal="center" vertical="center" wrapText="1"/>
    </xf>
    <xf numFmtId="0" fontId="63" fillId="25" borderId="10" xfId="0" applyFont="1" applyFill="1" applyBorder="1" applyAlignment="1">
      <alignment vertical="center"/>
    </xf>
    <xf numFmtId="0" fontId="63" fillId="25" borderId="10" xfId="0" applyFont="1" applyFill="1" applyBorder="1" applyAlignment="1">
      <alignment horizontal="center" vertical="center" wrapText="1"/>
    </xf>
    <xf numFmtId="0" fontId="6" fillId="29" borderId="0" xfId="64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5" fillId="29" borderId="0" xfId="64" applyFont="1" applyFill="1" applyAlignment="1">
      <alignment horizontal="right" vertical="top" wrapText="1"/>
    </xf>
    <xf numFmtId="0" fontId="12" fillId="29" borderId="0" xfId="64" applyFont="1" applyFill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3" fontId="12" fillId="29" borderId="0" xfId="64" applyNumberFormat="1" applyFont="1" applyFill="1" applyAlignment="1">
      <alignment horizontal="right" vertical="top" wrapText="1"/>
    </xf>
    <xf numFmtId="0" fontId="45" fillId="0" borderId="0" xfId="0" applyFont="1" applyAlignment="1">
      <alignment horizontal="right" vertical="top" wrapText="1"/>
    </xf>
    <xf numFmtId="0" fontId="11" fillId="29" borderId="0" xfId="64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1" fillId="29" borderId="0" xfId="64" applyNumberFormat="1" applyFont="1" applyFill="1" applyAlignment="1">
      <alignment horizontal="right" vertical="top" wrapText="1"/>
    </xf>
    <xf numFmtId="0" fontId="8" fillId="29" borderId="0" xfId="64" applyFont="1" applyFill="1" applyAlignment="1">
      <alignment horizontal="left" vertical="top" wrapText="1"/>
    </xf>
    <xf numFmtId="0" fontId="36" fillId="29" borderId="0" xfId="64" applyFont="1" applyFill="1" applyAlignment="1">
      <alignment horizontal="left" vertical="top" wrapText="1"/>
    </xf>
    <xf numFmtId="0" fontId="78" fillId="0" borderId="0" xfId="0" applyFont="1" applyAlignment="1">
      <alignment horizontal="left" vertical="top" wrapText="1"/>
    </xf>
    <xf numFmtId="3" fontId="36" fillId="29" borderId="0" xfId="64" applyNumberFormat="1" applyFont="1" applyFill="1" applyAlignment="1">
      <alignment horizontal="right" vertical="top" wrapText="1"/>
    </xf>
    <xf numFmtId="0" fontId="78" fillId="0" borderId="0" xfId="0" applyFont="1" applyAlignment="1">
      <alignment horizontal="right" vertical="top" wrapText="1"/>
    </xf>
    <xf numFmtId="0" fontId="77" fillId="29" borderId="0" xfId="64" applyFont="1" applyFill="1" applyAlignment="1">
      <alignment horizontal="left" vertical="top" wrapText="1"/>
    </xf>
    <xf numFmtId="0" fontId="61" fillId="29" borderId="0" xfId="64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8" fillId="29" borderId="10" xfId="64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3" fillId="0" borderId="26" xfId="64" applyFont="1" applyFill="1" applyBorder="1" applyAlignment="1">
      <alignment horizontal="center" vertical="center" wrapText="1"/>
    </xf>
    <xf numFmtId="0" fontId="83" fillId="0" borderId="29" xfId="64" applyFont="1" applyFill="1" applyBorder="1" applyAlignment="1">
      <alignment horizontal="center" vertical="center" wrapText="1"/>
    </xf>
    <xf numFmtId="0" fontId="83" fillId="0" borderId="33" xfId="64" applyFont="1" applyFill="1" applyBorder="1" applyAlignment="1">
      <alignment horizontal="center" vertical="center"/>
    </xf>
    <xf numFmtId="0" fontId="83" fillId="0" borderId="34" xfId="64" applyFont="1" applyFill="1" applyBorder="1" applyAlignment="1">
      <alignment horizontal="center" vertical="center"/>
    </xf>
    <xf numFmtId="0" fontId="43" fillId="34" borderId="48" xfId="62" applyFont="1" applyFill="1" applyBorder="1" applyAlignment="1">
      <alignment horizontal="center"/>
    </xf>
    <xf numFmtId="0" fontId="79" fillId="0" borderId="26" xfId="64" applyFont="1" applyFill="1" applyBorder="1" applyAlignment="1">
      <alignment horizontal="center" vertical="center" wrapText="1"/>
    </xf>
    <xf numFmtId="0" fontId="79" fillId="0" borderId="29" xfId="64" applyFont="1" applyFill="1" applyBorder="1" applyAlignment="1">
      <alignment horizontal="center" vertical="center" wrapText="1"/>
    </xf>
    <xf numFmtId="0" fontId="79" fillId="0" borderId="33" xfId="64" applyFont="1" applyFill="1" applyBorder="1" applyAlignment="1">
      <alignment horizontal="center" vertical="center" wrapText="1"/>
    </xf>
    <xf numFmtId="0" fontId="79" fillId="0" borderId="34" xfId="64" applyFont="1" applyFill="1" applyBorder="1" applyAlignment="1">
      <alignment horizontal="center" vertical="center" wrapText="1"/>
    </xf>
    <xf numFmtId="167" fontId="43" fillId="33" borderId="41" xfId="62" applyNumberFormat="1" applyFont="1" applyFill="1" applyBorder="1" applyAlignment="1">
      <alignment horizontal="left"/>
    </xf>
    <xf numFmtId="167" fontId="84" fillId="33" borderId="44" xfId="62" applyNumberFormat="1" applyFont="1" applyFill="1" applyBorder="1" applyAlignment="1">
      <alignment horizontal="left"/>
    </xf>
    <xf numFmtId="0" fontId="84" fillId="33" borderId="44" xfId="62" applyFont="1" applyFill="1" applyBorder="1" applyAlignment="1">
      <alignment horizontal="left"/>
    </xf>
    <xf numFmtId="0" fontId="43" fillId="34" borderId="47" xfId="62" applyFont="1" applyFill="1" applyBorder="1" applyAlignment="1">
      <alignment horizontal="left"/>
    </xf>
    <xf numFmtId="0" fontId="43" fillId="34" borderId="48" xfId="62" applyFont="1" applyFill="1" applyBorder="1" applyAlignment="1">
      <alignment horizontal="left"/>
    </xf>
    <xf numFmtId="0" fontId="43" fillId="33" borderId="26" xfId="62" applyFont="1" applyFill="1" applyBorder="1" applyAlignment="1">
      <alignment horizontal="left"/>
    </xf>
    <xf numFmtId="0" fontId="43" fillId="33" borderId="56" xfId="62" applyFont="1" applyFill="1" applyBorder="1" applyAlignment="1">
      <alignment horizontal="left"/>
    </xf>
    <xf numFmtId="0" fontId="43" fillId="33" borderId="57" xfId="62" applyFont="1" applyFill="1" applyBorder="1" applyAlignment="1">
      <alignment horizontal="left"/>
    </xf>
    <xf numFmtId="167" fontId="84" fillId="33" borderId="59" xfId="62" applyNumberFormat="1" applyFont="1" applyFill="1" applyBorder="1" applyAlignment="1">
      <alignment horizontal="left"/>
    </xf>
    <xf numFmtId="0" fontId="84" fillId="33" borderId="59" xfId="62" applyFont="1" applyFill="1" applyBorder="1" applyAlignment="1">
      <alignment horizontal="left"/>
    </xf>
    <xf numFmtId="0" fontId="79" fillId="0" borderId="61" xfId="62" applyFont="1" applyBorder="1" applyAlignment="1">
      <alignment horizontal="right"/>
    </xf>
    <xf numFmtId="0" fontId="43" fillId="0" borderId="62" xfId="62" applyFont="1" applyBorder="1" applyAlignment="1">
      <alignment horizontal="left" vertical="center"/>
    </xf>
    <xf numFmtId="0" fontId="79" fillId="0" borderId="31" xfId="64" applyFont="1" applyFill="1" applyBorder="1" applyAlignment="1">
      <alignment horizontal="center" wrapText="1"/>
    </xf>
    <xf numFmtId="0" fontId="79" fillId="0" borderId="32" xfId="64" applyFont="1" applyFill="1" applyBorder="1" applyAlignment="1">
      <alignment horizontal="center" wrapText="1"/>
    </xf>
    <xf numFmtId="0" fontId="79" fillId="0" borderId="26" xfId="64" applyFont="1" applyFill="1" applyBorder="1" applyAlignment="1">
      <alignment horizontal="center" wrapText="1"/>
    </xf>
    <xf numFmtId="0" fontId="79" fillId="0" borderId="29" xfId="64" applyFont="1" applyFill="1" applyBorder="1" applyAlignment="1">
      <alignment horizontal="center" wrapText="1"/>
    </xf>
    <xf numFmtId="0" fontId="79" fillId="0" borderId="31" xfId="64" applyFont="1" applyFill="1" applyBorder="1" applyAlignment="1">
      <alignment horizontal="center" vertical="center" wrapText="1"/>
    </xf>
    <xf numFmtId="0" fontId="79" fillId="0" borderId="32" xfId="64" applyFont="1" applyFill="1" applyBorder="1" applyAlignment="1">
      <alignment horizontal="center" vertical="center" wrapText="1"/>
    </xf>
    <xf numFmtId="0" fontId="79" fillId="0" borderId="54" xfId="62" applyFont="1" applyFill="1" applyBorder="1" applyAlignment="1">
      <alignment horizontal="right"/>
    </xf>
    <xf numFmtId="0" fontId="79" fillId="0" borderId="55" xfId="62" applyFont="1" applyFill="1" applyBorder="1" applyAlignment="1">
      <alignment horizontal="right"/>
    </xf>
    <xf numFmtId="0" fontId="79" fillId="0" borderId="26" xfId="62" applyFont="1" applyFill="1" applyBorder="1" applyAlignment="1">
      <alignment horizontal="center" vertical="center" wrapText="1"/>
    </xf>
    <xf numFmtId="0" fontId="79" fillId="0" borderId="29" xfId="62" applyFont="1" applyFill="1" applyBorder="1" applyAlignment="1">
      <alignment horizontal="center" vertical="center" wrapText="1"/>
    </xf>
    <xf numFmtId="168" fontId="79" fillId="0" borderId="26" xfId="65" applyNumberFormat="1" applyFont="1" applyFill="1" applyBorder="1" applyAlignment="1">
      <alignment horizontal="center" vertical="center"/>
    </xf>
    <xf numFmtId="168" fontId="79" fillId="0" borderId="29" xfId="65" applyNumberFormat="1" applyFont="1" applyFill="1" applyBorder="1" applyAlignment="1">
      <alignment horizontal="center" vertical="center"/>
    </xf>
    <xf numFmtId="0" fontId="79" fillId="0" borderId="26" xfId="66" applyFont="1" applyFill="1" applyBorder="1" applyAlignment="1">
      <alignment horizontal="center" wrapText="1"/>
    </xf>
    <xf numFmtId="0" fontId="79" fillId="0" borderId="29" xfId="66" applyFont="1" applyFill="1" applyBorder="1" applyAlignment="1">
      <alignment horizontal="center" wrapText="1"/>
    </xf>
    <xf numFmtId="0" fontId="79" fillId="0" borderId="26" xfId="62" applyFont="1" applyFill="1" applyBorder="1" applyAlignment="1">
      <alignment horizontal="center" wrapText="1"/>
    </xf>
    <xf numFmtId="0" fontId="79" fillId="0" borderId="29" xfId="62" applyFont="1" applyFill="1" applyBorder="1" applyAlignment="1">
      <alignment horizontal="center" wrapText="1"/>
    </xf>
    <xf numFmtId="0" fontId="79" fillId="0" borderId="25" xfId="62" applyFont="1" applyFill="1" applyBorder="1" applyAlignment="1"/>
    <xf numFmtId="0" fontId="79" fillId="0" borderId="28" xfId="62" applyFont="1" applyFill="1" applyBorder="1" applyAlignment="1"/>
    <xf numFmtId="167" fontId="43" fillId="33" borderId="40" xfId="62" applyNumberFormat="1" applyFont="1" applyFill="1" applyBorder="1" applyAlignment="1">
      <alignment horizontal="left"/>
    </xf>
    <xf numFmtId="0" fontId="79" fillId="0" borderId="0" xfId="62" applyFont="1" applyAlignment="1">
      <alignment horizontal="right" vertical="center" wrapText="1"/>
    </xf>
    <xf numFmtId="0" fontId="83" fillId="0" borderId="25" xfId="64" applyFont="1" applyFill="1" applyBorder="1" applyAlignment="1"/>
    <xf numFmtId="0" fontId="83" fillId="0" borderId="28" xfId="64" applyFont="1" applyFill="1" applyBorder="1" applyAlignment="1"/>
    <xf numFmtId="0" fontId="83" fillId="0" borderId="26" xfId="62" applyFont="1" applyFill="1" applyBorder="1" applyAlignment="1">
      <alignment horizontal="center" vertical="center" wrapText="1"/>
    </xf>
    <xf numFmtId="0" fontId="83" fillId="0" borderId="29" xfId="62" applyFont="1" applyFill="1" applyBorder="1" applyAlignment="1">
      <alignment horizontal="center" vertical="center" wrapText="1"/>
    </xf>
    <xf numFmtId="4" fontId="83" fillId="0" borderId="26" xfId="65" applyNumberFormat="1" applyFont="1" applyFill="1" applyBorder="1" applyAlignment="1">
      <alignment horizontal="center" vertical="center"/>
    </xf>
    <xf numFmtId="4" fontId="83" fillId="0" borderId="29" xfId="65" applyNumberFormat="1" applyFont="1" applyFill="1" applyBorder="1" applyAlignment="1">
      <alignment horizontal="center" vertical="center"/>
    </xf>
    <xf numFmtId="0" fontId="43" fillId="33" borderId="25" xfId="62" applyFont="1" applyFill="1" applyBorder="1" applyAlignment="1">
      <alignment horizontal="left"/>
    </xf>
    <xf numFmtId="0" fontId="79" fillId="0" borderId="25" xfId="64" applyFont="1" applyFill="1" applyBorder="1" applyAlignment="1"/>
    <xf numFmtId="0" fontId="79" fillId="0" borderId="28" xfId="64" applyFont="1" applyFill="1" applyBorder="1" applyAlignment="1"/>
    <xf numFmtId="4" fontId="79" fillId="0" borderId="26" xfId="65" applyNumberFormat="1" applyFont="1" applyFill="1" applyBorder="1" applyAlignment="1">
      <alignment horizontal="center" vertical="center"/>
    </xf>
    <xf numFmtId="4" fontId="79" fillId="0" borderId="29" xfId="65" applyNumberFormat="1" applyFont="1" applyFill="1" applyBorder="1" applyAlignment="1">
      <alignment horizontal="center" vertical="center"/>
    </xf>
    <xf numFmtId="0" fontId="79" fillId="0" borderId="66" xfId="64" applyFont="1" applyFill="1" applyBorder="1" applyAlignment="1"/>
    <xf numFmtId="0" fontId="79" fillId="0" borderId="35" xfId="64" applyFont="1" applyFill="1" applyBorder="1" applyAlignment="1"/>
    <xf numFmtId="4" fontId="79" fillId="0" borderId="31" xfId="65" applyNumberFormat="1" applyFont="1" applyFill="1" applyBorder="1" applyAlignment="1">
      <alignment horizontal="center" vertical="center"/>
    </xf>
    <xf numFmtId="4" fontId="79" fillId="0" borderId="32" xfId="65" applyNumberFormat="1" applyFont="1" applyFill="1" applyBorder="1" applyAlignment="1">
      <alignment horizontal="center" vertical="center"/>
    </xf>
    <xf numFmtId="0" fontId="83" fillId="0" borderId="54" xfId="64" applyFont="1" applyFill="1" applyBorder="1" applyAlignment="1"/>
    <xf numFmtId="0" fontId="83" fillId="0" borderId="55" xfId="64" applyFont="1" applyFill="1" applyBorder="1" applyAlignment="1"/>
    <xf numFmtId="4" fontId="83" fillId="0" borderId="26" xfId="65" applyNumberFormat="1" applyFont="1" applyFill="1" applyBorder="1" applyAlignment="1">
      <alignment horizontal="center" vertical="center" wrapText="1"/>
    </xf>
    <xf numFmtId="4" fontId="83" fillId="0" borderId="29" xfId="65" applyNumberFormat="1" applyFont="1" applyFill="1" applyBorder="1" applyAlignment="1">
      <alignment horizontal="center" vertical="center" wrapText="1"/>
    </xf>
    <xf numFmtId="0" fontId="79" fillId="0" borderId="33" xfId="62" applyFont="1" applyFill="1" applyBorder="1" applyAlignment="1">
      <alignment horizontal="center" vertical="center" wrapText="1"/>
    </xf>
    <xf numFmtId="0" fontId="79" fillId="0" borderId="34" xfId="62" applyFont="1" applyFill="1" applyBorder="1" applyAlignment="1">
      <alignment horizontal="center" vertical="center" wrapText="1"/>
    </xf>
    <xf numFmtId="4" fontId="79" fillId="0" borderId="33" xfId="65" applyNumberFormat="1" applyFont="1" applyFill="1" applyBorder="1" applyAlignment="1">
      <alignment horizontal="center" vertical="center"/>
    </xf>
    <xf numFmtId="4" fontId="79" fillId="0" borderId="34" xfId="65" applyNumberFormat="1" applyFont="1" applyFill="1" applyBorder="1" applyAlignment="1">
      <alignment horizontal="center" vertical="center"/>
    </xf>
    <xf numFmtId="0" fontId="83" fillId="0" borderId="66" xfId="64" applyFont="1" applyFill="1" applyBorder="1" applyAlignment="1"/>
    <xf numFmtId="0" fontId="83" fillId="0" borderId="35" xfId="64" applyFont="1" applyFill="1" applyBorder="1" applyAlignment="1"/>
    <xf numFmtId="4" fontId="79" fillId="0" borderId="37" xfId="65" applyNumberFormat="1" applyFont="1" applyFill="1" applyBorder="1" applyAlignment="1">
      <alignment horizontal="center" vertical="center"/>
    </xf>
    <xf numFmtId="4" fontId="79" fillId="0" borderId="36" xfId="65" applyNumberFormat="1" applyFont="1" applyFill="1" applyBorder="1" applyAlignment="1">
      <alignment horizontal="center" vertical="center"/>
    </xf>
    <xf numFmtId="3" fontId="79" fillId="0" borderId="26" xfId="62" applyNumberFormat="1" applyFont="1" applyFill="1" applyBorder="1" applyAlignment="1">
      <alignment horizontal="center" vertical="center" wrapText="1"/>
    </xf>
    <xf numFmtId="0" fontId="8" fillId="0" borderId="0" xfId="62" applyFont="1" applyBorder="1" applyAlignment="1">
      <alignment horizontal="center"/>
    </xf>
    <xf numFmtId="0" fontId="80" fillId="25" borderId="15" xfId="62" applyFont="1" applyFill="1" applyBorder="1" applyAlignment="1">
      <alignment horizontal="center" vertical="center" wrapText="1"/>
    </xf>
    <xf numFmtId="0" fontId="80" fillId="25" borderId="20" xfId="62" applyFont="1" applyFill="1" applyBorder="1" applyAlignment="1">
      <alignment horizontal="center" vertical="center" wrapText="1"/>
    </xf>
    <xf numFmtId="0" fontId="80" fillId="25" borderId="16" xfId="62" applyFont="1" applyFill="1" applyBorder="1" applyAlignment="1">
      <alignment horizontal="center" vertical="center" wrapText="1"/>
    </xf>
    <xf numFmtId="0" fontId="80" fillId="25" borderId="21" xfId="62" applyFont="1" applyFill="1" applyBorder="1" applyAlignment="1">
      <alignment horizontal="center" vertical="center" wrapText="1"/>
    </xf>
    <xf numFmtId="0" fontId="80" fillId="27" borderId="17" xfId="62" applyFont="1" applyFill="1" applyBorder="1" applyAlignment="1">
      <alignment horizontal="center" vertical="center"/>
    </xf>
    <xf numFmtId="0" fontId="80" fillId="27" borderId="22" xfId="62" applyFont="1" applyFill="1" applyBorder="1" applyAlignment="1">
      <alignment horizontal="center" vertical="center"/>
    </xf>
    <xf numFmtId="14" fontId="79" fillId="0" borderId="31" xfId="64" applyNumberFormat="1" applyFont="1" applyFill="1" applyBorder="1" applyAlignment="1">
      <alignment horizontal="center" wrapText="1"/>
    </xf>
    <xf numFmtId="0" fontId="5" fillId="0" borderId="0" xfId="59" applyFont="1" applyAlignment="1">
      <alignment horizontal="left" wrapText="1"/>
    </xf>
    <xf numFmtId="0" fontId="61" fillId="0" borderId="0" xfId="59" applyFont="1" applyAlignment="1">
      <alignment horizontal="center"/>
    </xf>
    <xf numFmtId="0" fontId="43" fillId="27" borderId="10" xfId="59" applyFont="1" applyFill="1" applyBorder="1" applyAlignment="1">
      <alignment horizontal="center" vertical="center" wrapText="1"/>
    </xf>
    <xf numFmtId="0" fontId="6" fillId="0" borderId="10" xfId="59" applyFont="1" applyBorder="1" applyAlignment="1">
      <alignment horizontal="left" wrapText="1"/>
    </xf>
    <xf numFmtId="0" fontId="8" fillId="31" borderId="10" xfId="59" applyFont="1" applyFill="1" applyBorder="1" applyAlignment="1">
      <alignment horizontal="left" wrapText="1"/>
    </xf>
    <xf numFmtId="0" fontId="43" fillId="27" borderId="10" xfId="59" applyFont="1" applyFill="1" applyBorder="1" applyAlignment="1">
      <alignment horizontal="center" wrapText="1"/>
    </xf>
    <xf numFmtId="0" fontId="61" fillId="29" borderId="14" xfId="64" applyFont="1" applyFill="1" applyBorder="1" applyAlignment="1">
      <alignment horizontal="center" vertical="top" wrapText="1"/>
    </xf>
    <xf numFmtId="0" fontId="8" fillId="29" borderId="13" xfId="64" applyFont="1" applyFill="1" applyBorder="1" applyAlignment="1">
      <alignment horizontal="center" vertical="center" wrapText="1"/>
    </xf>
    <xf numFmtId="0" fontId="8" fillId="29" borderId="12" xfId="64" applyFont="1" applyFill="1" applyBorder="1" applyAlignment="1">
      <alignment horizontal="center" vertical="center" wrapText="1"/>
    </xf>
    <xf numFmtId="0" fontId="8" fillId="29" borderId="11" xfId="64" applyFont="1" applyFill="1" applyBorder="1" applyAlignment="1">
      <alignment horizontal="center" vertical="center" wrapText="1"/>
    </xf>
    <xf numFmtId="0" fontId="89" fillId="0" borderId="0" xfId="64" applyFont="1" applyAlignment="1">
      <alignment horizontal="center" vertical="center" wrapText="1"/>
    </xf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29"/>
    <cellStyle name="Comma_Pašvaldības saistības 2" xfId="65"/>
    <cellStyle name="Currency 2" xfId="30"/>
    <cellStyle name="Currency 2 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2 2" xfId="42"/>
    <cellStyle name="Normal 2 2 2" xfId="64"/>
    <cellStyle name="Normal 3" xfId="43"/>
    <cellStyle name="Normal 3 2" xfId="63"/>
    <cellStyle name="Normal 4" xfId="44"/>
    <cellStyle name="Normal 5" xfId="45"/>
    <cellStyle name="Normal 5 2" xfId="46"/>
    <cellStyle name="Normal 5 2 2" xfId="62"/>
    <cellStyle name="Normal 6" xfId="58"/>
    <cellStyle name="Normal 6 2" xfId="66"/>
    <cellStyle name="Normal 7" xfId="59"/>
    <cellStyle name="Normal 8" xfId="60"/>
    <cellStyle name="Normal 9" xfId="61"/>
    <cellStyle name="Normal 9 2" xfId="69"/>
    <cellStyle name="Normal_Pamatformas 2" xfId="68"/>
    <cellStyle name="Note" xfId="47" builtinId="10" customBuiltin="1"/>
    <cellStyle name="Output" xfId="48" builtinId="21" customBuiltin="1"/>
    <cellStyle name="Percent 2" xfId="49"/>
    <cellStyle name="Percent 2 2" xfId="50"/>
    <cellStyle name="Percent 3" xfId="51"/>
    <cellStyle name="Percent 3 2" xfId="52"/>
    <cellStyle name="Percent 4" xfId="53"/>
    <cellStyle name="Percent 4 2" xfId="67"/>
    <cellStyle name="Percent 5" xfId="54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6"/>
  <sheetViews>
    <sheetView zoomScale="90" zoomScaleNormal="90" workbookViewId="0">
      <selection activeCell="B20" sqref="B20"/>
    </sheetView>
  </sheetViews>
  <sheetFormatPr defaultRowHeight="15" x14ac:dyDescent="0.25"/>
  <cols>
    <col min="1" max="1" width="12.140625" style="11" customWidth="1"/>
    <col min="2" max="2" width="62.42578125" style="11" customWidth="1"/>
    <col min="3" max="3" width="13.7109375" style="31" customWidth="1"/>
    <col min="4" max="16384" width="9.140625" style="11"/>
  </cols>
  <sheetData>
    <row r="1" spans="1:3" x14ac:dyDescent="0.25">
      <c r="A1" s="30" t="s">
        <v>153</v>
      </c>
      <c r="B1" s="30"/>
      <c r="C1" s="36" t="s">
        <v>82</v>
      </c>
    </row>
    <row r="2" spans="1:3" x14ac:dyDescent="0.25">
      <c r="A2" s="37"/>
      <c r="B2" s="463" t="s">
        <v>484</v>
      </c>
      <c r="C2" s="463"/>
    </row>
    <row r="3" spans="1:3" x14ac:dyDescent="0.25">
      <c r="A3" s="37"/>
      <c r="B3" s="463" t="s">
        <v>579</v>
      </c>
      <c r="C3" s="463"/>
    </row>
    <row r="4" spans="1:3" x14ac:dyDescent="0.25">
      <c r="A4" s="37"/>
      <c r="B4" s="37"/>
      <c r="C4" s="38"/>
    </row>
    <row r="5" spans="1:3" x14ac:dyDescent="0.25">
      <c r="A5" s="464" t="s">
        <v>581</v>
      </c>
      <c r="B5" s="464"/>
      <c r="C5" s="464"/>
    </row>
    <row r="6" spans="1:3" x14ac:dyDescent="0.25">
      <c r="A6" s="37"/>
      <c r="B6" s="67" t="s">
        <v>19</v>
      </c>
      <c r="C6" s="38"/>
    </row>
    <row r="7" spans="1:3" x14ac:dyDescent="0.25">
      <c r="A7" s="37"/>
      <c r="B7" s="39"/>
      <c r="C7" s="134" t="s">
        <v>287</v>
      </c>
    </row>
    <row r="8" spans="1:3" ht="29.25" x14ac:dyDescent="0.25">
      <c r="A8" s="68" t="s">
        <v>208</v>
      </c>
      <c r="B8" s="133" t="s">
        <v>125</v>
      </c>
      <c r="C8" s="69" t="s">
        <v>580</v>
      </c>
    </row>
    <row r="9" spans="1:3" x14ac:dyDescent="0.25">
      <c r="A9" s="70"/>
      <c r="B9" s="71" t="s">
        <v>163</v>
      </c>
      <c r="C9" s="72">
        <f>C10+C19+C43+C51</f>
        <v>76205176</v>
      </c>
    </row>
    <row r="10" spans="1:3" x14ac:dyDescent="0.25">
      <c r="A10" s="70"/>
      <c r="B10" s="71" t="s">
        <v>159</v>
      </c>
      <c r="C10" s="72">
        <f>C11+C14+C18</f>
        <v>42957012</v>
      </c>
    </row>
    <row r="11" spans="1:3" x14ac:dyDescent="0.25">
      <c r="A11" s="344" t="s">
        <v>39</v>
      </c>
      <c r="B11" s="92" t="s">
        <v>20</v>
      </c>
      <c r="C11" s="93">
        <f>C12+C13</f>
        <v>38802915</v>
      </c>
    </row>
    <row r="12" spans="1:3" ht="30" customHeight="1" x14ac:dyDescent="0.25">
      <c r="A12" s="345" t="s">
        <v>189</v>
      </c>
      <c r="B12" s="94" t="s">
        <v>147</v>
      </c>
      <c r="C12" s="98">
        <v>179779</v>
      </c>
    </row>
    <row r="13" spans="1:3" ht="30" x14ac:dyDescent="0.25">
      <c r="A13" s="345" t="s">
        <v>192</v>
      </c>
      <c r="B13" s="94" t="s">
        <v>148</v>
      </c>
      <c r="C13" s="98">
        <v>38623136</v>
      </c>
    </row>
    <row r="14" spans="1:3" x14ac:dyDescent="0.25">
      <c r="A14" s="346" t="s">
        <v>209</v>
      </c>
      <c r="B14" s="92" t="s">
        <v>21</v>
      </c>
      <c r="C14" s="93">
        <f>C15+C16+C17</f>
        <v>3720000</v>
      </c>
    </row>
    <row r="15" spans="1:3" x14ac:dyDescent="0.25">
      <c r="A15" s="345" t="s">
        <v>210</v>
      </c>
      <c r="B15" s="94" t="s">
        <v>22</v>
      </c>
      <c r="C15" s="98">
        <v>1433561</v>
      </c>
    </row>
    <row r="16" spans="1:3" x14ac:dyDescent="0.25">
      <c r="A16" s="347" t="s">
        <v>211</v>
      </c>
      <c r="B16" s="96" t="s">
        <v>126</v>
      </c>
      <c r="C16" s="358">
        <v>1435393</v>
      </c>
    </row>
    <row r="17" spans="1:3" x14ac:dyDescent="0.25">
      <c r="A17" s="347" t="s">
        <v>212</v>
      </c>
      <c r="B17" s="96" t="s">
        <v>188</v>
      </c>
      <c r="C17" s="358">
        <v>851046</v>
      </c>
    </row>
    <row r="18" spans="1:3" x14ac:dyDescent="0.25">
      <c r="A18" s="344" t="s">
        <v>213</v>
      </c>
      <c r="B18" s="92" t="s">
        <v>0</v>
      </c>
      <c r="C18" s="93">
        <v>434097</v>
      </c>
    </row>
    <row r="19" spans="1:3" x14ac:dyDescent="0.25">
      <c r="A19" s="70"/>
      <c r="B19" s="71" t="s">
        <v>160</v>
      </c>
      <c r="C19" s="72">
        <f>C20+C33+C37+C40</f>
        <v>262936</v>
      </c>
    </row>
    <row r="20" spans="1:3" x14ac:dyDescent="0.25">
      <c r="A20" s="346" t="s">
        <v>35</v>
      </c>
      <c r="B20" s="92" t="s">
        <v>23</v>
      </c>
      <c r="C20" s="93">
        <f>C21+C25</f>
        <v>59200</v>
      </c>
    </row>
    <row r="21" spans="1:3" x14ac:dyDescent="0.25">
      <c r="A21" s="348" t="s">
        <v>214</v>
      </c>
      <c r="B21" s="83" t="s">
        <v>1</v>
      </c>
      <c r="C21" s="93">
        <f>SUM(C23+C24+C22)</f>
        <v>16900</v>
      </c>
    </row>
    <row r="22" spans="1:3" ht="30" x14ac:dyDescent="0.25">
      <c r="A22" s="345" t="s">
        <v>215</v>
      </c>
      <c r="B22" s="94" t="s">
        <v>256</v>
      </c>
      <c r="C22" s="95">
        <v>2500</v>
      </c>
    </row>
    <row r="23" spans="1:3" ht="45" x14ac:dyDescent="0.25">
      <c r="A23" s="345" t="s">
        <v>216</v>
      </c>
      <c r="B23" s="94" t="s">
        <v>295</v>
      </c>
      <c r="C23" s="98">
        <v>9400</v>
      </c>
    </row>
    <row r="24" spans="1:3" ht="15" customHeight="1" x14ac:dyDescent="0.25">
      <c r="A24" s="345" t="s">
        <v>217</v>
      </c>
      <c r="B24" s="94" t="s">
        <v>149</v>
      </c>
      <c r="C24" s="98">
        <v>5000</v>
      </c>
    </row>
    <row r="25" spans="1:3" x14ac:dyDescent="0.25">
      <c r="A25" s="348" t="s">
        <v>218</v>
      </c>
      <c r="B25" s="83" t="s">
        <v>2</v>
      </c>
      <c r="C25" s="93">
        <f>SUM(C26:C32)</f>
        <v>42300</v>
      </c>
    </row>
    <row r="26" spans="1:3" ht="30" x14ac:dyDescent="0.25">
      <c r="A26" s="345" t="s">
        <v>88</v>
      </c>
      <c r="B26" s="94" t="s">
        <v>296</v>
      </c>
      <c r="C26" s="98">
        <v>10300</v>
      </c>
    </row>
    <row r="27" spans="1:3" ht="30" x14ac:dyDescent="0.25">
      <c r="A27" s="345" t="s">
        <v>89</v>
      </c>
      <c r="B27" s="94" t="s">
        <v>127</v>
      </c>
      <c r="C27" s="98">
        <v>500</v>
      </c>
    </row>
    <row r="28" spans="1:3" x14ac:dyDescent="0.25">
      <c r="A28" s="345" t="s">
        <v>107</v>
      </c>
      <c r="B28" s="94" t="s">
        <v>128</v>
      </c>
      <c r="C28" s="98">
        <v>2200</v>
      </c>
    </row>
    <row r="29" spans="1:3" x14ac:dyDescent="0.25">
      <c r="A29" s="345" t="s">
        <v>219</v>
      </c>
      <c r="B29" s="94" t="s">
        <v>129</v>
      </c>
      <c r="C29" s="98">
        <v>2300</v>
      </c>
    </row>
    <row r="30" spans="1:3" ht="30" x14ac:dyDescent="0.25">
      <c r="A30" s="345" t="s">
        <v>220</v>
      </c>
      <c r="B30" s="94" t="s">
        <v>130</v>
      </c>
      <c r="C30" s="98">
        <v>8000</v>
      </c>
    </row>
    <row r="31" spans="1:3" ht="30" x14ac:dyDescent="0.25">
      <c r="A31" s="345" t="s">
        <v>206</v>
      </c>
      <c r="B31" s="94" t="s">
        <v>440</v>
      </c>
      <c r="C31" s="98">
        <v>15000</v>
      </c>
    </row>
    <row r="32" spans="1:3" x14ac:dyDescent="0.25">
      <c r="A32" s="345" t="s">
        <v>257</v>
      </c>
      <c r="B32" s="94" t="s">
        <v>278</v>
      </c>
      <c r="C32" s="98">
        <v>4000</v>
      </c>
    </row>
    <row r="33" spans="1:3" x14ac:dyDescent="0.25">
      <c r="A33" s="346" t="s">
        <v>36</v>
      </c>
      <c r="B33" s="92" t="s">
        <v>3</v>
      </c>
      <c r="C33" s="93">
        <f>C34</f>
        <v>135500</v>
      </c>
    </row>
    <row r="34" spans="1:3" x14ac:dyDescent="0.25">
      <c r="A34" s="348" t="s">
        <v>679</v>
      </c>
      <c r="B34" s="92" t="s">
        <v>680</v>
      </c>
      <c r="C34" s="93">
        <f>C35+C36</f>
        <v>135500</v>
      </c>
    </row>
    <row r="35" spans="1:3" x14ac:dyDescent="0.25">
      <c r="A35" s="345" t="s">
        <v>221</v>
      </c>
      <c r="B35" s="94" t="s">
        <v>131</v>
      </c>
      <c r="C35" s="95">
        <v>62500</v>
      </c>
    </row>
    <row r="36" spans="1:3" ht="30" x14ac:dyDescent="0.25">
      <c r="A36" s="345" t="s">
        <v>302</v>
      </c>
      <c r="B36" s="94" t="s">
        <v>321</v>
      </c>
      <c r="C36" s="98">
        <v>73000</v>
      </c>
    </row>
    <row r="37" spans="1:3" x14ac:dyDescent="0.25">
      <c r="A37" s="389" t="s">
        <v>222</v>
      </c>
      <c r="B37" s="390" t="s">
        <v>4</v>
      </c>
      <c r="C37" s="357">
        <f>C38</f>
        <v>6050</v>
      </c>
    </row>
    <row r="38" spans="1:3" ht="29.25" x14ac:dyDescent="0.25">
      <c r="A38" s="391" t="s">
        <v>683</v>
      </c>
      <c r="B38" s="392" t="s">
        <v>684</v>
      </c>
      <c r="C38" s="357">
        <f>C39</f>
        <v>6050</v>
      </c>
    </row>
    <row r="39" spans="1:3" ht="30" x14ac:dyDescent="0.25">
      <c r="A39" s="347" t="s">
        <v>685</v>
      </c>
      <c r="B39" s="96" t="s">
        <v>686</v>
      </c>
      <c r="C39" s="358">
        <v>6050</v>
      </c>
    </row>
    <row r="40" spans="1:3" ht="29.25" x14ac:dyDescent="0.25">
      <c r="A40" s="346" t="s">
        <v>223</v>
      </c>
      <c r="B40" s="92" t="s">
        <v>441</v>
      </c>
      <c r="C40" s="93">
        <f>C41+C42</f>
        <v>62186</v>
      </c>
    </row>
    <row r="41" spans="1:3" x14ac:dyDescent="0.25">
      <c r="A41" s="345" t="s">
        <v>224</v>
      </c>
      <c r="B41" s="94" t="s">
        <v>5</v>
      </c>
      <c r="C41" s="98">
        <v>41050</v>
      </c>
    </row>
    <row r="42" spans="1:3" x14ac:dyDescent="0.25">
      <c r="A42" s="345" t="s">
        <v>681</v>
      </c>
      <c r="B42" s="94" t="s">
        <v>682</v>
      </c>
      <c r="C42" s="98">
        <v>21136</v>
      </c>
    </row>
    <row r="43" spans="1:3" x14ac:dyDescent="0.25">
      <c r="A43" s="70"/>
      <c r="B43" s="71" t="s">
        <v>161</v>
      </c>
      <c r="C43" s="72">
        <f>C44+C49</f>
        <v>31218603</v>
      </c>
    </row>
    <row r="44" spans="1:3" x14ac:dyDescent="0.25">
      <c r="A44" s="346" t="s">
        <v>225</v>
      </c>
      <c r="B44" s="92" t="s">
        <v>24</v>
      </c>
      <c r="C44" s="93">
        <f>C45</f>
        <v>30517110</v>
      </c>
    </row>
    <row r="45" spans="1:3" x14ac:dyDescent="0.25">
      <c r="A45" s="348" t="s">
        <v>226</v>
      </c>
      <c r="B45" s="83" t="s">
        <v>248</v>
      </c>
      <c r="C45" s="93">
        <f>C46+C47+C48</f>
        <v>30517110</v>
      </c>
    </row>
    <row r="46" spans="1:3" x14ac:dyDescent="0.25">
      <c r="A46" s="349" t="s">
        <v>227</v>
      </c>
      <c r="B46" s="94" t="s">
        <v>582</v>
      </c>
      <c r="C46" s="98">
        <f>10614455-1471671</f>
        <v>9142784</v>
      </c>
    </row>
    <row r="47" spans="1:3" ht="45" x14ac:dyDescent="0.25">
      <c r="A47" s="349" t="s">
        <v>228</v>
      </c>
      <c r="B47" s="94" t="s">
        <v>249</v>
      </c>
      <c r="C47" s="358">
        <f>15326702-385808+61179</f>
        <v>15002073</v>
      </c>
    </row>
    <row r="48" spans="1:3" ht="30" x14ac:dyDescent="0.25">
      <c r="A48" s="349" t="s">
        <v>297</v>
      </c>
      <c r="B48" s="94" t="s">
        <v>374</v>
      </c>
      <c r="C48" s="98">
        <f>4900582+1471671</f>
        <v>6372253</v>
      </c>
    </row>
    <row r="49" spans="1:5" x14ac:dyDescent="0.25">
      <c r="A49" s="350" t="s">
        <v>229</v>
      </c>
      <c r="B49" s="92" t="s">
        <v>132</v>
      </c>
      <c r="C49" s="93">
        <f>SUM(C50)</f>
        <v>701493</v>
      </c>
    </row>
    <row r="50" spans="1:5" x14ac:dyDescent="0.25">
      <c r="A50" s="349" t="s">
        <v>230</v>
      </c>
      <c r="B50" s="94" t="s">
        <v>250</v>
      </c>
      <c r="C50" s="98">
        <v>701493</v>
      </c>
    </row>
    <row r="51" spans="1:5" s="7" customFormat="1" ht="14.25" x14ac:dyDescent="0.2">
      <c r="A51" s="71"/>
      <c r="B51" s="71" t="s">
        <v>165</v>
      </c>
      <c r="C51" s="72">
        <f>SUM(C52)</f>
        <v>1766625</v>
      </c>
      <c r="D51" s="23"/>
      <c r="E51" s="23"/>
    </row>
    <row r="52" spans="1:5" x14ac:dyDescent="0.25">
      <c r="A52" s="346" t="s">
        <v>231</v>
      </c>
      <c r="B52" s="92" t="s">
        <v>298</v>
      </c>
      <c r="C52" s="93">
        <f>C53+C55+C72</f>
        <v>1766625</v>
      </c>
      <c r="D52" s="30"/>
      <c r="E52" s="30"/>
    </row>
    <row r="53" spans="1:5" x14ac:dyDescent="0.25">
      <c r="A53" s="391" t="s">
        <v>292</v>
      </c>
      <c r="B53" s="392" t="s">
        <v>299</v>
      </c>
      <c r="C53" s="357">
        <f>C54</f>
        <v>53597</v>
      </c>
      <c r="D53" s="30"/>
      <c r="E53" s="30"/>
    </row>
    <row r="54" spans="1:5" ht="30" x14ac:dyDescent="0.25">
      <c r="A54" s="349" t="s">
        <v>687</v>
      </c>
      <c r="B54" s="94" t="s">
        <v>688</v>
      </c>
      <c r="C54" s="358">
        <f>40089+13508</f>
        <v>53597</v>
      </c>
      <c r="D54" s="30"/>
      <c r="E54" s="30"/>
    </row>
    <row r="55" spans="1:5" ht="29.25" x14ac:dyDescent="0.25">
      <c r="A55" s="348" t="s">
        <v>232</v>
      </c>
      <c r="B55" s="83" t="s">
        <v>300</v>
      </c>
      <c r="C55" s="93">
        <f>C56+C59+C61+C66</f>
        <v>1663498</v>
      </c>
      <c r="D55" s="30"/>
      <c r="E55" s="30"/>
    </row>
    <row r="56" spans="1:5" x14ac:dyDescent="0.25">
      <c r="A56" s="348" t="s">
        <v>233</v>
      </c>
      <c r="B56" s="92" t="s">
        <v>6</v>
      </c>
      <c r="C56" s="93">
        <f>C57+C58</f>
        <v>298122</v>
      </c>
      <c r="D56" s="30"/>
      <c r="E56" s="30"/>
    </row>
    <row r="57" spans="1:5" x14ac:dyDescent="0.25">
      <c r="A57" s="345" t="s">
        <v>689</v>
      </c>
      <c r="B57" s="94" t="s">
        <v>690</v>
      </c>
      <c r="C57" s="98">
        <f>116000+14433</f>
        <v>130433</v>
      </c>
      <c r="D57" s="30"/>
      <c r="E57" s="30"/>
    </row>
    <row r="58" spans="1:5" x14ac:dyDescent="0.25">
      <c r="A58" s="345" t="s">
        <v>691</v>
      </c>
      <c r="B58" s="94" t="s">
        <v>692</v>
      </c>
      <c r="C58" s="358">
        <f>167689</f>
        <v>167689</v>
      </c>
      <c r="D58" s="30"/>
      <c r="E58" s="30"/>
    </row>
    <row r="59" spans="1:5" ht="17.25" customHeight="1" x14ac:dyDescent="0.25">
      <c r="A59" s="348" t="s">
        <v>234</v>
      </c>
      <c r="B59" s="92" t="s">
        <v>7</v>
      </c>
      <c r="C59" s="93">
        <f>C60</f>
        <v>500</v>
      </c>
      <c r="D59" s="30"/>
      <c r="E59" s="30"/>
    </row>
    <row r="60" spans="1:5" ht="30" x14ac:dyDescent="0.25">
      <c r="A60" s="345" t="s">
        <v>693</v>
      </c>
      <c r="B60" s="94" t="s">
        <v>694</v>
      </c>
      <c r="C60" s="95">
        <v>500</v>
      </c>
      <c r="D60" s="30"/>
      <c r="E60" s="30"/>
    </row>
    <row r="61" spans="1:5" x14ac:dyDescent="0.25">
      <c r="A61" s="348" t="s">
        <v>235</v>
      </c>
      <c r="B61" s="92" t="s">
        <v>8</v>
      </c>
      <c r="C61" s="93">
        <f>SUM(C62:C65)</f>
        <v>548577</v>
      </c>
      <c r="D61" s="30"/>
      <c r="E61" s="30"/>
    </row>
    <row r="62" spans="1:5" x14ac:dyDescent="0.25">
      <c r="A62" s="345" t="s">
        <v>695</v>
      </c>
      <c r="B62" s="94" t="s">
        <v>696</v>
      </c>
      <c r="C62" s="98">
        <v>387511</v>
      </c>
      <c r="D62" s="30"/>
      <c r="E62" s="30"/>
    </row>
    <row r="63" spans="1:5" x14ac:dyDescent="0.25">
      <c r="A63" s="345" t="s">
        <v>697</v>
      </c>
      <c r="B63" s="94" t="s">
        <v>698</v>
      </c>
      <c r="C63" s="358">
        <v>48965</v>
      </c>
      <c r="D63" s="30"/>
      <c r="E63" s="30"/>
    </row>
    <row r="64" spans="1:5" x14ac:dyDescent="0.25">
      <c r="A64" s="345" t="s">
        <v>699</v>
      </c>
      <c r="B64" s="94" t="s">
        <v>701</v>
      </c>
      <c r="C64" s="358">
        <v>59020</v>
      </c>
      <c r="D64" s="30"/>
      <c r="E64" s="30"/>
    </row>
    <row r="65" spans="1:5" x14ac:dyDescent="0.25">
      <c r="A65" s="345" t="s">
        <v>700</v>
      </c>
      <c r="B65" s="94" t="s">
        <v>702</v>
      </c>
      <c r="C65" s="358">
        <v>53081</v>
      </c>
      <c r="D65" s="30"/>
      <c r="E65" s="30"/>
    </row>
    <row r="66" spans="1:5" ht="16.5" customHeight="1" x14ac:dyDescent="0.25">
      <c r="A66" s="348" t="s">
        <v>236</v>
      </c>
      <c r="B66" s="83" t="s">
        <v>301</v>
      </c>
      <c r="C66" s="93">
        <f>SUM(C67:C71)</f>
        <v>816299</v>
      </c>
      <c r="D66" s="30"/>
      <c r="E66" s="30"/>
    </row>
    <row r="67" spans="1:5" ht="16.5" customHeight="1" x14ac:dyDescent="0.25">
      <c r="A67" s="345" t="s">
        <v>703</v>
      </c>
      <c r="B67" s="94" t="s">
        <v>706</v>
      </c>
      <c r="C67" s="98">
        <v>14815</v>
      </c>
      <c r="D67" s="30"/>
      <c r="E67" s="30"/>
    </row>
    <row r="68" spans="1:5" ht="16.5" customHeight="1" x14ac:dyDescent="0.25">
      <c r="A68" s="345" t="s">
        <v>704</v>
      </c>
      <c r="B68" s="94" t="s">
        <v>707</v>
      </c>
      <c r="C68" s="358">
        <v>398413</v>
      </c>
      <c r="D68" s="30"/>
      <c r="E68" s="30"/>
    </row>
    <row r="69" spans="1:5" ht="16.5" customHeight="1" x14ac:dyDescent="0.25">
      <c r="A69" s="345" t="s">
        <v>705</v>
      </c>
      <c r="B69" s="94" t="s">
        <v>708</v>
      </c>
      <c r="C69" s="358">
        <v>165025</v>
      </c>
      <c r="D69" s="30"/>
      <c r="E69" s="30"/>
    </row>
    <row r="70" spans="1:5" ht="16.5" customHeight="1" x14ac:dyDescent="0.25">
      <c r="A70" s="345" t="s">
        <v>709</v>
      </c>
      <c r="B70" s="94" t="s">
        <v>710</v>
      </c>
      <c r="C70" s="358">
        <v>27929</v>
      </c>
      <c r="D70" s="30"/>
      <c r="E70" s="30"/>
    </row>
    <row r="71" spans="1:5" ht="16.5" customHeight="1" x14ac:dyDescent="0.25">
      <c r="A71" s="345" t="s">
        <v>711</v>
      </c>
      <c r="B71" s="94" t="s">
        <v>712</v>
      </c>
      <c r="C71" s="358">
        <v>210117</v>
      </c>
      <c r="D71" s="30"/>
      <c r="E71" s="30"/>
    </row>
    <row r="72" spans="1:5" ht="30.75" customHeight="1" x14ac:dyDescent="0.25">
      <c r="A72" s="348" t="s">
        <v>399</v>
      </c>
      <c r="B72" s="83" t="s">
        <v>442</v>
      </c>
      <c r="C72" s="93">
        <f>C73</f>
        <v>49530</v>
      </c>
      <c r="D72" s="30"/>
      <c r="E72" s="30"/>
    </row>
    <row r="73" spans="1:5" x14ac:dyDescent="0.25">
      <c r="A73" s="345" t="s">
        <v>713</v>
      </c>
      <c r="B73" s="94" t="s">
        <v>714</v>
      </c>
      <c r="C73" s="358">
        <f>63038-13508</f>
        <v>49530</v>
      </c>
      <c r="D73" s="30"/>
      <c r="E73" s="30"/>
    </row>
    <row r="74" spans="1:5" x14ac:dyDescent="0.25">
      <c r="A74" s="100"/>
      <c r="B74" s="71" t="s">
        <v>162</v>
      </c>
      <c r="C74" s="72">
        <f>SUM(C75:C76)</f>
        <v>20181071</v>
      </c>
    </row>
    <row r="75" spans="1:5" x14ac:dyDescent="0.25">
      <c r="A75" s="101" t="s">
        <v>166</v>
      </c>
      <c r="B75" s="102" t="s">
        <v>313</v>
      </c>
      <c r="C75" s="97">
        <v>8463898</v>
      </c>
    </row>
    <row r="76" spans="1:5" x14ac:dyDescent="0.25">
      <c r="A76" s="103" t="s">
        <v>17</v>
      </c>
      <c r="B76" s="104" t="s">
        <v>18</v>
      </c>
      <c r="C76" s="97">
        <v>11717173</v>
      </c>
    </row>
    <row r="77" spans="1:5" x14ac:dyDescent="0.25">
      <c r="A77" s="100"/>
      <c r="B77" s="71" t="s">
        <v>164</v>
      </c>
      <c r="C77" s="72">
        <f>C9+C74</f>
        <v>96386247</v>
      </c>
    </row>
    <row r="78" spans="1:5" x14ac:dyDescent="0.25">
      <c r="A78" s="37"/>
      <c r="B78" s="40"/>
      <c r="C78" s="38"/>
    </row>
    <row r="79" spans="1:5" ht="15.75" x14ac:dyDescent="0.25">
      <c r="A79" s="10" t="s">
        <v>25</v>
      </c>
      <c r="B79" s="10"/>
      <c r="C79" s="75" t="s">
        <v>26</v>
      </c>
    </row>
    <row r="86" spans="2:3" x14ac:dyDescent="0.25">
      <c r="B86" s="16"/>
      <c r="C86" s="32"/>
    </row>
  </sheetData>
  <mergeCells count="3">
    <mergeCell ref="B2:C2"/>
    <mergeCell ref="B3:C3"/>
    <mergeCell ref="A5:C5"/>
  </mergeCells>
  <printOptions horizontalCentered="1"/>
  <pageMargins left="0.98425196850393704" right="0.39370078740157483" top="0.39370078740157483" bottom="0.39370078740157483" header="0.19685039370078741" footer="0.19685039370078741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2"/>
  <sheetViews>
    <sheetView zoomScale="90" zoomScaleNormal="90" workbookViewId="0">
      <selection activeCell="N28" sqref="M28:N28"/>
    </sheetView>
  </sheetViews>
  <sheetFormatPr defaultRowHeight="12.75" x14ac:dyDescent="0.2"/>
  <cols>
    <col min="1" max="1" width="10.7109375" customWidth="1"/>
    <col min="2" max="2" width="60.7109375" customWidth="1"/>
    <col min="3" max="3" width="13" customWidth="1"/>
    <col min="4" max="4" width="14.7109375" customWidth="1"/>
    <col min="5" max="5" width="12" customWidth="1"/>
    <col min="6" max="6" width="14.140625" customWidth="1"/>
    <col min="7" max="7" width="12" customWidth="1"/>
    <col min="8" max="8" width="13" customWidth="1"/>
    <col min="9" max="9" width="14.42578125" customWidth="1"/>
  </cols>
  <sheetData>
    <row r="1" spans="1:10" ht="15.75" x14ac:dyDescent="0.25">
      <c r="A1" s="105" t="s">
        <v>153</v>
      </c>
      <c r="B1" s="105"/>
      <c r="C1" s="105"/>
      <c r="D1" s="105"/>
      <c r="E1" s="105"/>
      <c r="F1" s="105"/>
      <c r="G1" s="105"/>
      <c r="H1" s="106" t="s">
        <v>155</v>
      </c>
    </row>
    <row r="2" spans="1:10" ht="15" x14ac:dyDescent="0.25">
      <c r="A2" s="105"/>
      <c r="B2" s="105"/>
      <c r="C2" s="105"/>
      <c r="D2" s="105"/>
      <c r="E2" s="105"/>
      <c r="F2" s="105"/>
      <c r="G2" s="105"/>
      <c r="H2" s="107" t="s">
        <v>378</v>
      </c>
    </row>
    <row r="3" spans="1:10" ht="15" x14ac:dyDescent="0.25">
      <c r="A3" s="105"/>
      <c r="B3" s="105"/>
      <c r="C3" s="105"/>
      <c r="D3" s="105"/>
      <c r="E3" s="105"/>
      <c r="F3" s="105"/>
      <c r="G3" s="105"/>
      <c r="H3" s="25" t="s">
        <v>579</v>
      </c>
    </row>
    <row r="4" spans="1:10" ht="20.25" x14ac:dyDescent="0.3">
      <c r="A4" s="465" t="s">
        <v>583</v>
      </c>
      <c r="B4" s="465"/>
      <c r="C4" s="465"/>
      <c r="D4" s="465"/>
      <c r="E4" s="465"/>
      <c r="F4" s="465"/>
      <c r="G4" s="465"/>
      <c r="H4" s="465"/>
    </row>
    <row r="5" spans="1:10" ht="20.25" x14ac:dyDescent="0.3">
      <c r="A5" s="468" t="s">
        <v>289</v>
      </c>
      <c r="B5" s="468"/>
      <c r="C5" s="468"/>
      <c r="D5" s="468"/>
      <c r="E5" s="468"/>
      <c r="F5" s="468"/>
      <c r="G5" s="468"/>
      <c r="H5" s="468"/>
    </row>
    <row r="6" spans="1:10" ht="20.25" x14ac:dyDescent="0.3">
      <c r="A6" s="108"/>
      <c r="B6" s="108"/>
      <c r="C6" s="108"/>
      <c r="D6" s="108"/>
      <c r="E6" s="108"/>
      <c r="F6" s="108"/>
      <c r="G6" s="108"/>
      <c r="H6" s="109" t="s">
        <v>287</v>
      </c>
    </row>
    <row r="7" spans="1:10" s="12" customFormat="1" ht="14.25" x14ac:dyDescent="0.2">
      <c r="A7" s="467" t="s">
        <v>208</v>
      </c>
      <c r="B7" s="467" t="s">
        <v>28</v>
      </c>
      <c r="C7" s="467" t="s">
        <v>584</v>
      </c>
      <c r="D7" s="466" t="s">
        <v>52</v>
      </c>
      <c r="E7" s="466"/>
      <c r="F7" s="466"/>
      <c r="G7" s="466"/>
      <c r="H7" s="466"/>
    </row>
    <row r="8" spans="1:10" s="12" customFormat="1" ht="71.25" x14ac:dyDescent="0.2">
      <c r="A8" s="467"/>
      <c r="B8" s="467"/>
      <c r="C8" s="467"/>
      <c r="D8" s="135" t="s">
        <v>238</v>
      </c>
      <c r="E8" s="135" t="s">
        <v>239</v>
      </c>
      <c r="F8" s="135" t="s">
        <v>24</v>
      </c>
      <c r="G8" s="135" t="s">
        <v>241</v>
      </c>
      <c r="H8" s="135" t="s">
        <v>585</v>
      </c>
    </row>
    <row r="9" spans="1:10" s="13" customFormat="1" ht="16.5" x14ac:dyDescent="0.25">
      <c r="A9" s="381"/>
      <c r="B9" s="382" t="s">
        <v>27</v>
      </c>
      <c r="C9" s="383">
        <f t="shared" ref="C9:H9" si="0">C10+C11+C12+C13+C14+C16+C17+C18+C15</f>
        <v>88706106</v>
      </c>
      <c r="D9" s="383">
        <f t="shared" si="0"/>
        <v>53372632</v>
      </c>
      <c r="E9" s="384">
        <f t="shared" si="0"/>
        <v>1826625</v>
      </c>
      <c r="F9" s="384">
        <f t="shared" si="0"/>
        <v>25200766</v>
      </c>
      <c r="G9" s="384">
        <f t="shared" si="0"/>
        <v>701493</v>
      </c>
      <c r="H9" s="384">
        <f t="shared" si="0"/>
        <v>7604590</v>
      </c>
    </row>
    <row r="10" spans="1:10" ht="15" x14ac:dyDescent="0.25">
      <c r="A10" s="110" t="s">
        <v>29</v>
      </c>
      <c r="B10" s="102" t="s">
        <v>9</v>
      </c>
      <c r="C10" s="85">
        <f>D10+E10+F10+G10+H10</f>
        <v>6901814</v>
      </c>
      <c r="D10" s="88">
        <f>'3.pielikums'!D10</f>
        <v>5444940</v>
      </c>
      <c r="E10" s="88">
        <f>'3.pielikums'!E10</f>
        <v>99500</v>
      </c>
      <c r="F10" s="88">
        <f>'3.pielikums'!F10</f>
        <v>28697</v>
      </c>
      <c r="G10" s="88">
        <f>'3.pielikums'!G10</f>
        <v>655518</v>
      </c>
      <c r="H10" s="88">
        <f>'3.pielikums'!H10</f>
        <v>673159</v>
      </c>
      <c r="J10" s="9"/>
    </row>
    <row r="11" spans="1:10" ht="15" x14ac:dyDescent="0.25">
      <c r="A11" s="110" t="s">
        <v>30</v>
      </c>
      <c r="B11" s="102" t="s">
        <v>11</v>
      </c>
      <c r="C11" s="85">
        <f t="shared" ref="C11:C24" si="1">D11+E11+F11+G11+H11</f>
        <v>3764535</v>
      </c>
      <c r="D11" s="88">
        <f>'3.pielikums'!D32</f>
        <v>3498955</v>
      </c>
      <c r="E11" s="88">
        <f>'3.pielikums'!E32</f>
        <v>168389</v>
      </c>
      <c r="F11" s="88">
        <f>'3.pielikums'!F32</f>
        <v>0</v>
      </c>
      <c r="G11" s="87">
        <f>'3.pielikums'!G32</f>
        <v>0</v>
      </c>
      <c r="H11" s="88">
        <f>'3.pielikums'!H32</f>
        <v>97191</v>
      </c>
    </row>
    <row r="12" spans="1:10" ht="15" x14ac:dyDescent="0.25">
      <c r="A12" s="110" t="s">
        <v>31</v>
      </c>
      <c r="B12" s="102" t="s">
        <v>12</v>
      </c>
      <c r="C12" s="85">
        <f t="shared" si="1"/>
        <v>16407273</v>
      </c>
      <c r="D12" s="88">
        <f>'3.pielikums'!D38</f>
        <v>5673738</v>
      </c>
      <c r="E12" s="88">
        <f>'3.pielikums'!E38</f>
        <v>57300</v>
      </c>
      <c r="F12" s="88">
        <f>'3.pielikums'!F38</f>
        <v>7724199</v>
      </c>
      <c r="G12" s="87">
        <f>'3.pielikums'!G38</f>
        <v>19012</v>
      </c>
      <c r="H12" s="88">
        <f>'3.pielikums'!H38</f>
        <v>2933024</v>
      </c>
    </row>
    <row r="13" spans="1:10" ht="15" x14ac:dyDescent="0.25">
      <c r="A13" s="110" t="s">
        <v>32</v>
      </c>
      <c r="B13" s="102" t="s">
        <v>13</v>
      </c>
      <c r="C13" s="85">
        <f t="shared" si="1"/>
        <v>3771593</v>
      </c>
      <c r="D13" s="88">
        <f>'3.pielikums'!D64</f>
        <v>1766767</v>
      </c>
      <c r="E13" s="88">
        <f>'3.pielikums'!E64</f>
        <v>0</v>
      </c>
      <c r="F13" s="88">
        <f>'3.pielikums'!F64</f>
        <v>1531117</v>
      </c>
      <c r="G13" s="87">
        <f>'3.pielikums'!G64</f>
        <v>0</v>
      </c>
      <c r="H13" s="88">
        <f>'3.pielikums'!H64</f>
        <v>473709</v>
      </c>
    </row>
    <row r="14" spans="1:10" ht="15" x14ac:dyDescent="0.25">
      <c r="A14" s="110" t="s">
        <v>33</v>
      </c>
      <c r="B14" s="102" t="s">
        <v>167</v>
      </c>
      <c r="C14" s="85">
        <f t="shared" si="1"/>
        <v>4588978</v>
      </c>
      <c r="D14" s="88">
        <f>'3.pielikums'!D76</f>
        <v>3893466</v>
      </c>
      <c r="E14" s="88">
        <f>'3.pielikums'!E76</f>
        <v>109000</v>
      </c>
      <c r="F14" s="88">
        <f>'3.pielikums'!F76</f>
        <v>320357</v>
      </c>
      <c r="G14" s="87">
        <f>'3.pielikums'!G76</f>
        <v>0</v>
      </c>
      <c r="H14" s="88">
        <f>'3.pielikums'!H76</f>
        <v>266155</v>
      </c>
    </row>
    <row r="15" spans="1:10" ht="15" x14ac:dyDescent="0.25">
      <c r="A15" s="110" t="s">
        <v>151</v>
      </c>
      <c r="B15" s="102" t="s">
        <v>152</v>
      </c>
      <c r="C15" s="85">
        <f t="shared" si="1"/>
        <v>356967</v>
      </c>
      <c r="D15" s="88">
        <f>'3.pielikums'!D90</f>
        <v>134550</v>
      </c>
      <c r="E15" s="88">
        <f>'3.pielikums'!E90</f>
        <v>0</v>
      </c>
      <c r="F15" s="88">
        <f>'3.pielikums'!F90</f>
        <v>95000</v>
      </c>
      <c r="G15" s="87">
        <f>'3.pielikums'!G90</f>
        <v>0</v>
      </c>
      <c r="H15" s="88">
        <f>'3.pielikums'!H90</f>
        <v>127417</v>
      </c>
    </row>
    <row r="16" spans="1:10" ht="15" x14ac:dyDescent="0.25">
      <c r="A16" s="110" t="s">
        <v>34</v>
      </c>
      <c r="B16" s="102" t="s">
        <v>14</v>
      </c>
      <c r="C16" s="85">
        <f t="shared" si="1"/>
        <v>7696520</v>
      </c>
      <c r="D16" s="88">
        <f>'3.pielikums'!D97</f>
        <v>6668857</v>
      </c>
      <c r="E16" s="88">
        <f>'3.pielikums'!E97</f>
        <v>570488</v>
      </c>
      <c r="F16" s="88">
        <f>'3.pielikums'!F97</f>
        <v>115963</v>
      </c>
      <c r="G16" s="87">
        <f>'3.pielikums'!G97</f>
        <v>19764</v>
      </c>
      <c r="H16" s="88">
        <f>'3.pielikums'!H97</f>
        <v>321448</v>
      </c>
    </row>
    <row r="17" spans="1:9" ht="15" x14ac:dyDescent="0.25">
      <c r="A17" s="110" t="s">
        <v>35</v>
      </c>
      <c r="B17" s="102" t="s">
        <v>15</v>
      </c>
      <c r="C17" s="85">
        <f t="shared" si="1"/>
        <v>40353366</v>
      </c>
      <c r="D17" s="88">
        <f>'3.pielikums'!D130</f>
        <v>22084497</v>
      </c>
      <c r="E17" s="88">
        <f>'3.pielikums'!E130</f>
        <v>778272</v>
      </c>
      <c r="F17" s="88">
        <f>'3.pielikums'!F130</f>
        <v>14868212</v>
      </c>
      <c r="G17" s="88">
        <f>'3.pielikums'!G130</f>
        <v>0</v>
      </c>
      <c r="H17" s="88">
        <f>'3.pielikums'!H130</f>
        <v>2622385</v>
      </c>
    </row>
    <row r="18" spans="1:9" ht="15" x14ac:dyDescent="0.25">
      <c r="A18" s="111" t="s">
        <v>36</v>
      </c>
      <c r="B18" s="104" t="s">
        <v>16</v>
      </c>
      <c r="C18" s="85">
        <f t="shared" si="1"/>
        <v>4865060</v>
      </c>
      <c r="D18" s="87">
        <f>'3.pielikums'!D168</f>
        <v>4206862</v>
      </c>
      <c r="E18" s="87">
        <f>'3.pielikums'!E168</f>
        <v>43676</v>
      </c>
      <c r="F18" s="87">
        <f>'3.pielikums'!F168</f>
        <v>517221</v>
      </c>
      <c r="G18" s="87">
        <f>'3.pielikums'!G168</f>
        <v>7199</v>
      </c>
      <c r="H18" s="87">
        <f>'3.pielikums'!H168</f>
        <v>90102</v>
      </c>
    </row>
    <row r="19" spans="1:9" s="13" customFormat="1" ht="16.5" x14ac:dyDescent="0.25">
      <c r="A19" s="381"/>
      <c r="B19" s="381" t="s">
        <v>51</v>
      </c>
      <c r="C19" s="383">
        <f t="shared" ref="C19:H19" si="2">C20+C21+C27</f>
        <v>7680141</v>
      </c>
      <c r="D19" s="383">
        <f t="shared" si="2"/>
        <v>1504489</v>
      </c>
      <c r="E19" s="383">
        <f t="shared" si="2"/>
        <v>0</v>
      </c>
      <c r="F19" s="383">
        <f t="shared" si="2"/>
        <v>5316344</v>
      </c>
      <c r="G19" s="383">
        <f t="shared" si="2"/>
        <v>0</v>
      </c>
      <c r="H19" s="383">
        <f t="shared" si="2"/>
        <v>859308</v>
      </c>
    </row>
    <row r="20" spans="1:9" ht="16.5" customHeight="1" x14ac:dyDescent="0.25">
      <c r="A20" s="112" t="s">
        <v>168</v>
      </c>
      <c r="B20" s="101" t="s">
        <v>169</v>
      </c>
      <c r="C20" s="85">
        <f t="shared" si="1"/>
        <v>5162310</v>
      </c>
      <c r="D20" s="88">
        <f>'3.pielikums'!D204</f>
        <v>0</v>
      </c>
      <c r="E20" s="88">
        <f>'3.pielikums'!E204</f>
        <v>0</v>
      </c>
      <c r="F20" s="88">
        <f>'3.pielikums'!F204</f>
        <v>4303002</v>
      </c>
      <c r="G20" s="88">
        <f>'3.pielikums'!G204</f>
        <v>0</v>
      </c>
      <c r="H20" s="88">
        <f>'3.pielikums'!H204</f>
        <v>859308</v>
      </c>
    </row>
    <row r="21" spans="1:9" ht="17.25" customHeight="1" x14ac:dyDescent="0.25">
      <c r="A21" s="112" t="s">
        <v>96</v>
      </c>
      <c r="B21" s="102" t="s">
        <v>154</v>
      </c>
      <c r="C21" s="85">
        <f>D21+E21+F21+G21+H21</f>
        <v>1271178</v>
      </c>
      <c r="D21" s="88">
        <f>'3.pielikums'!D205</f>
        <v>1271178</v>
      </c>
      <c r="E21" s="88">
        <f>'3.pielikums'!E205</f>
        <v>0</v>
      </c>
      <c r="F21" s="88">
        <f>'3.pielikums'!F205</f>
        <v>0</v>
      </c>
      <c r="G21" s="88">
        <f>'3.pielikums'!G205</f>
        <v>0</v>
      </c>
      <c r="H21" s="88">
        <f>'3.pielikums'!H205</f>
        <v>0</v>
      </c>
    </row>
    <row r="22" spans="1:9" ht="15.75" hidden="1" customHeight="1" x14ac:dyDescent="0.2">
      <c r="A22" s="112"/>
      <c r="B22" s="425" t="s">
        <v>762</v>
      </c>
      <c r="C22" s="132">
        <f t="shared" si="1"/>
        <v>0</v>
      </c>
      <c r="D22" s="132">
        <f>'3.pielikums'!D206</f>
        <v>0</v>
      </c>
      <c r="E22" s="132">
        <f>'3.pielikums'!E206</f>
        <v>0</v>
      </c>
      <c r="F22" s="132">
        <f>'3.pielikums'!F206</f>
        <v>0</v>
      </c>
      <c r="G22" s="132">
        <f>'3.pielikums'!G206</f>
        <v>0</v>
      </c>
      <c r="H22" s="132">
        <f>'3.pielikums'!H206</f>
        <v>0</v>
      </c>
    </row>
    <row r="23" spans="1:9" x14ac:dyDescent="0.2">
      <c r="A23" s="112"/>
      <c r="B23" s="425" t="s">
        <v>763</v>
      </c>
      <c r="C23" s="132">
        <f t="shared" si="1"/>
        <v>720697</v>
      </c>
      <c r="D23" s="132">
        <f>'3.pielikums'!D207</f>
        <v>720697</v>
      </c>
      <c r="E23" s="132">
        <f>'3.pielikums'!E207</f>
        <v>0</v>
      </c>
      <c r="F23" s="132">
        <f>'3.pielikums'!F207</f>
        <v>0</v>
      </c>
      <c r="G23" s="132">
        <f>'3.pielikums'!G207</f>
        <v>0</v>
      </c>
      <c r="H23" s="132">
        <f>'3.pielikums'!H207</f>
        <v>0</v>
      </c>
    </row>
    <row r="24" spans="1:9" ht="15" x14ac:dyDescent="0.2">
      <c r="A24" s="377"/>
      <c r="B24" s="425" t="s">
        <v>764</v>
      </c>
      <c r="C24" s="132">
        <f t="shared" si="1"/>
        <v>550481</v>
      </c>
      <c r="D24" s="132">
        <f>'3.pielikums'!D208</f>
        <v>550481</v>
      </c>
      <c r="E24" s="132">
        <f>'3.pielikums'!E208</f>
        <v>0</v>
      </c>
      <c r="F24" s="132">
        <f>'3.pielikums'!F208</f>
        <v>0</v>
      </c>
      <c r="G24" s="132">
        <f>'3.pielikums'!G208</f>
        <v>0</v>
      </c>
      <c r="H24" s="132">
        <f>'3.pielikums'!H208</f>
        <v>0</v>
      </c>
      <c r="I24" s="6"/>
    </row>
    <row r="25" spans="1:9" ht="15" hidden="1" x14ac:dyDescent="0.2">
      <c r="A25" s="377"/>
      <c r="B25" s="425" t="s">
        <v>765</v>
      </c>
      <c r="C25" s="132">
        <f>D25+E25+F25+G25+H25</f>
        <v>0</v>
      </c>
      <c r="D25" s="132">
        <f>'3.pielikums'!D209</f>
        <v>0</v>
      </c>
      <c r="E25" s="132">
        <f>'3.pielikums'!E209</f>
        <v>0</v>
      </c>
      <c r="F25" s="132">
        <f>'3.pielikums'!F209</f>
        <v>0</v>
      </c>
      <c r="G25" s="132">
        <f>'3.pielikums'!G209</f>
        <v>0</v>
      </c>
      <c r="H25" s="132">
        <f>'3.pielikums'!H209</f>
        <v>0</v>
      </c>
      <c r="I25" s="6"/>
    </row>
    <row r="26" spans="1:9" ht="15" hidden="1" x14ac:dyDescent="0.2">
      <c r="A26" s="377"/>
      <c r="B26" s="425" t="s">
        <v>766</v>
      </c>
      <c r="C26" s="132">
        <f>D26+E26+F26+G26+H26</f>
        <v>0</v>
      </c>
      <c r="D26" s="132">
        <f>'3.pielikums'!D210</f>
        <v>0</v>
      </c>
      <c r="E26" s="132">
        <f>'3.pielikums'!E210</f>
        <v>0</v>
      </c>
      <c r="F26" s="132">
        <f>'3.pielikums'!F210</f>
        <v>0</v>
      </c>
      <c r="G26" s="132">
        <f>'3.pielikums'!G210</f>
        <v>0</v>
      </c>
      <c r="H26" s="132">
        <f>'3.pielikums'!H210</f>
        <v>0</v>
      </c>
      <c r="I26" s="6"/>
    </row>
    <row r="27" spans="1:9" ht="15.75" x14ac:dyDescent="0.25">
      <c r="A27" s="378" t="s">
        <v>166</v>
      </c>
      <c r="B27" s="113" t="s">
        <v>312</v>
      </c>
      <c r="C27" s="85">
        <f>'3.pielikums'!C211</f>
        <v>1246653</v>
      </c>
      <c r="D27" s="88">
        <f>'3.pielikums'!D211</f>
        <v>233311</v>
      </c>
      <c r="E27" s="88">
        <f>'3.pielikums'!E211</f>
        <v>0</v>
      </c>
      <c r="F27" s="88">
        <f>'3.pielikums'!F211</f>
        <v>1013342</v>
      </c>
      <c r="G27" s="88">
        <f>'3.pielikums'!G211</f>
        <v>0</v>
      </c>
      <c r="H27" s="88">
        <f>'3.pielikums'!H211</f>
        <v>0</v>
      </c>
      <c r="I27" s="6"/>
    </row>
    <row r="28" spans="1:9" s="14" customFormat="1" ht="21.75" customHeight="1" x14ac:dyDescent="0.25">
      <c r="A28" s="114"/>
      <c r="B28" s="379" t="s">
        <v>80</v>
      </c>
      <c r="C28" s="380">
        <f t="shared" ref="C28:H28" si="3">C9+C19</f>
        <v>96386247</v>
      </c>
      <c r="D28" s="380">
        <f t="shared" si="3"/>
        <v>54877121</v>
      </c>
      <c r="E28" s="380">
        <f t="shared" si="3"/>
        <v>1826625</v>
      </c>
      <c r="F28" s="380">
        <f t="shared" si="3"/>
        <v>30517110</v>
      </c>
      <c r="G28" s="380">
        <f t="shared" si="3"/>
        <v>701493</v>
      </c>
      <c r="H28" s="380">
        <f t="shared" si="3"/>
        <v>8463898</v>
      </c>
    </row>
    <row r="29" spans="1:9" s="5" customFormat="1" ht="18.75" x14ac:dyDescent="0.3">
      <c r="A29" s="2"/>
      <c r="B29" s="115"/>
      <c r="C29" s="116"/>
      <c r="D29" s="117"/>
    </row>
    <row r="30" spans="1:9" ht="18.75" x14ac:dyDescent="0.3">
      <c r="A30" s="118" t="s">
        <v>25</v>
      </c>
      <c r="B30" s="118"/>
      <c r="C30" s="119"/>
      <c r="D30" s="120"/>
      <c r="E30" s="119"/>
      <c r="F30" s="5"/>
      <c r="G30" s="5"/>
      <c r="H30" s="121" t="s">
        <v>26</v>
      </c>
    </row>
    <row r="31" spans="1:9" x14ac:dyDescent="0.2">
      <c r="C31" s="9"/>
    </row>
    <row r="32" spans="1:9" s="4" customFormat="1" ht="20.25" x14ac:dyDescent="0.3">
      <c r="C32" s="20"/>
    </row>
  </sheetData>
  <mergeCells count="6">
    <mergeCell ref="A4:H4"/>
    <mergeCell ref="D7:H7"/>
    <mergeCell ref="C7:C8"/>
    <mergeCell ref="A7:A8"/>
    <mergeCell ref="B7:B8"/>
    <mergeCell ref="A5:H5"/>
  </mergeCells>
  <phoneticPr fontId="0" type="noConversion"/>
  <printOptions horizontalCentered="1"/>
  <pageMargins left="0.78740157480314965" right="0.78740157480314965" top="0.78740157480314965" bottom="0.78740157480314965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9"/>
  <sheetViews>
    <sheetView zoomScaleNormal="100" workbookViewId="0">
      <pane ySplit="8" topLeftCell="A18" activePane="bottomLeft" state="frozen"/>
      <selection pane="bottomLeft" activeCell="B19" sqref="B19"/>
    </sheetView>
  </sheetViews>
  <sheetFormatPr defaultRowHeight="15.75" x14ac:dyDescent="0.25"/>
  <cols>
    <col min="1" max="1" width="11.5703125" style="11" customWidth="1"/>
    <col min="2" max="2" width="55" style="42" customWidth="1"/>
    <col min="3" max="3" width="14.5703125" style="17" customWidth="1"/>
    <col min="4" max="4" width="13.7109375" style="15" customWidth="1"/>
    <col min="5" max="5" width="12.140625" style="1" customWidth="1"/>
    <col min="6" max="6" width="13.28515625" style="1" customWidth="1"/>
    <col min="7" max="7" width="11.7109375" style="1" customWidth="1"/>
    <col min="8" max="8" width="13.5703125" style="1" customWidth="1"/>
    <col min="9" max="16384" width="9.140625" style="1"/>
  </cols>
  <sheetData>
    <row r="1" spans="1:8" x14ac:dyDescent="0.25">
      <c r="A1" s="11" t="s">
        <v>153</v>
      </c>
      <c r="C1" s="401"/>
      <c r="D1" s="44"/>
      <c r="E1" s="43"/>
      <c r="H1" s="338" t="s">
        <v>78</v>
      </c>
    </row>
    <row r="2" spans="1:8" x14ac:dyDescent="0.25">
      <c r="A2" s="41"/>
      <c r="C2" s="401"/>
      <c r="D2" s="44"/>
      <c r="E2" s="43"/>
      <c r="H2" s="25" t="s">
        <v>378</v>
      </c>
    </row>
    <row r="3" spans="1:8" x14ac:dyDescent="0.25">
      <c r="A3" s="41"/>
      <c r="C3" s="401"/>
      <c r="D3" s="44"/>
      <c r="E3" s="43"/>
      <c r="H3" s="25" t="s">
        <v>579</v>
      </c>
    </row>
    <row r="4" spans="1:8" x14ac:dyDescent="0.25">
      <c r="A4" s="469" t="s">
        <v>583</v>
      </c>
      <c r="B4" s="470"/>
      <c r="C4" s="470"/>
      <c r="D4" s="470"/>
      <c r="E4" s="470"/>
      <c r="F4" s="470"/>
      <c r="G4" s="470"/>
      <c r="H4" s="470"/>
    </row>
    <row r="5" spans="1:8" x14ac:dyDescent="0.25">
      <c r="A5" s="469" t="s">
        <v>79</v>
      </c>
      <c r="B5" s="470"/>
      <c r="C5" s="470"/>
      <c r="D5" s="470"/>
      <c r="E5" s="470"/>
      <c r="F5" s="470"/>
      <c r="G5" s="470"/>
      <c r="H5" s="470"/>
    </row>
    <row r="6" spans="1:8" x14ac:dyDescent="0.25">
      <c r="A6" s="73"/>
      <c r="C6" s="402"/>
      <c r="D6" s="75"/>
      <c r="E6" s="74"/>
      <c r="F6" s="74"/>
      <c r="G6" s="74"/>
      <c r="H6" s="76" t="s">
        <v>287</v>
      </c>
    </row>
    <row r="7" spans="1:8" x14ac:dyDescent="0.25">
      <c r="A7" s="473" t="s">
        <v>190</v>
      </c>
      <c r="B7" s="473" t="s">
        <v>28</v>
      </c>
      <c r="C7" s="473" t="s">
        <v>586</v>
      </c>
      <c r="D7" s="471" t="s">
        <v>52</v>
      </c>
      <c r="E7" s="472"/>
      <c r="F7" s="472"/>
      <c r="G7" s="472"/>
      <c r="H7" s="472"/>
    </row>
    <row r="8" spans="1:8" s="16" customFormat="1" ht="71.25" x14ac:dyDescent="0.25">
      <c r="A8" s="474"/>
      <c r="B8" s="475"/>
      <c r="C8" s="474"/>
      <c r="D8" s="69" t="s">
        <v>238</v>
      </c>
      <c r="E8" s="69" t="s">
        <v>239</v>
      </c>
      <c r="F8" s="69" t="s">
        <v>240</v>
      </c>
      <c r="G8" s="69" t="s">
        <v>241</v>
      </c>
      <c r="H8" s="69" t="s">
        <v>585</v>
      </c>
    </row>
    <row r="9" spans="1:8" s="17" customFormat="1" x14ac:dyDescent="0.25">
      <c r="A9" s="77"/>
      <c r="B9" s="78" t="s">
        <v>27</v>
      </c>
      <c r="C9" s="79">
        <f>SUM(D9+E9+F9+G9+H9)</f>
        <v>88706106</v>
      </c>
      <c r="D9" s="79">
        <f>SUM(D10+D32+D38+D64+D76+D97+D130+D168+D90)</f>
        <v>53372632</v>
      </c>
      <c r="E9" s="79">
        <f>SUM(E10+E32+E38+E64+E76+E97+E130+E168+E90)</f>
        <v>1826625</v>
      </c>
      <c r="F9" s="79">
        <f>SUM(F10+F32+F38+F64+F76+F97+F130+F168+F90)</f>
        <v>25200766</v>
      </c>
      <c r="G9" s="79">
        <f>SUM(G10+G32+G38+G64+G76+G97+G130+G168+G90)</f>
        <v>701493</v>
      </c>
      <c r="H9" s="79">
        <f>SUM(H10+H32+H38+H64+H76+H97+H130+H168+H90)</f>
        <v>7604590</v>
      </c>
    </row>
    <row r="10" spans="1:8" s="17" customFormat="1" x14ac:dyDescent="0.25">
      <c r="A10" s="80" t="s">
        <v>29</v>
      </c>
      <c r="B10" s="81" t="s">
        <v>9</v>
      </c>
      <c r="C10" s="82">
        <f>SUM(D10+E10+F10+G10+H10)</f>
        <v>6901814</v>
      </c>
      <c r="D10" s="82">
        <f>SUM(D11+D16+D20+D23+D24+D26+D30)</f>
        <v>5444940</v>
      </c>
      <c r="E10" s="82">
        <f>SUM(E11+E16+E20+E23+E24+E26+E30)</f>
        <v>99500</v>
      </c>
      <c r="F10" s="82">
        <f>SUM(F11+F16+F20+F23+F24+F26+F30)</f>
        <v>28697</v>
      </c>
      <c r="G10" s="82">
        <f>SUM(G11+G16+G20+G23+G24+G26+G30)</f>
        <v>655518</v>
      </c>
      <c r="H10" s="82">
        <f>SUM(H11+H16+H20+H23+H24+H26+H30)</f>
        <v>673159</v>
      </c>
    </row>
    <row r="11" spans="1:8" x14ac:dyDescent="0.25">
      <c r="A11" s="83" t="s">
        <v>39</v>
      </c>
      <c r="B11" s="84" t="s">
        <v>242</v>
      </c>
      <c r="C11" s="93">
        <f>SUM(D11+E11+F11+G11+H11)</f>
        <v>4040865</v>
      </c>
      <c r="D11" s="362">
        <f>D12+D13+D14+D15</f>
        <v>3847106</v>
      </c>
      <c r="E11" s="362">
        <f>E12+E13+E14+E15</f>
        <v>99500</v>
      </c>
      <c r="F11" s="362">
        <f>F12+F13+F14+F15</f>
        <v>15314</v>
      </c>
      <c r="G11" s="362">
        <f>G12+G13+G14+G15</f>
        <v>0</v>
      </c>
      <c r="H11" s="362">
        <f>H12+H13+H14+H15</f>
        <v>78945</v>
      </c>
    </row>
    <row r="12" spans="1:8" s="3" customFormat="1" x14ac:dyDescent="0.25">
      <c r="A12" s="349" t="s">
        <v>189</v>
      </c>
      <c r="B12" s="399" t="s">
        <v>191</v>
      </c>
      <c r="C12" s="359">
        <f>SUM(D12:H12)</f>
        <v>3906465</v>
      </c>
      <c r="D12" s="363">
        <v>3806641</v>
      </c>
      <c r="E12" s="358">
        <v>99500</v>
      </c>
      <c r="F12" s="98">
        <v>0</v>
      </c>
      <c r="G12" s="98">
        <v>0</v>
      </c>
      <c r="H12" s="98">
        <v>324</v>
      </c>
    </row>
    <row r="13" spans="1:8" s="3" customFormat="1" ht="30" x14ac:dyDescent="0.25">
      <c r="A13" s="351" t="s">
        <v>303</v>
      </c>
      <c r="B13" s="400" t="s">
        <v>304</v>
      </c>
      <c r="C13" s="359">
        <f>SUM(D13:H13)</f>
        <v>102364</v>
      </c>
      <c r="D13" s="363">
        <v>25465</v>
      </c>
      <c r="E13" s="358">
        <v>0</v>
      </c>
      <c r="F13" s="98">
        <v>0</v>
      </c>
      <c r="G13" s="98">
        <v>0</v>
      </c>
      <c r="H13" s="98">
        <v>76899</v>
      </c>
    </row>
    <row r="14" spans="1:8" s="3" customFormat="1" ht="45" x14ac:dyDescent="0.25">
      <c r="A14" s="351" t="s">
        <v>305</v>
      </c>
      <c r="B14" s="400" t="s">
        <v>746</v>
      </c>
      <c r="C14" s="359">
        <f>SUM(D14:H14)</f>
        <v>1722</v>
      </c>
      <c r="D14" s="363">
        <v>0</v>
      </c>
      <c r="E14" s="358">
        <v>0</v>
      </c>
      <c r="F14" s="98">
        <v>0</v>
      </c>
      <c r="G14" s="98">
        <v>0</v>
      </c>
      <c r="H14" s="98">
        <v>1722</v>
      </c>
    </row>
    <row r="15" spans="1:8" s="3" customFormat="1" ht="45" x14ac:dyDescent="0.25">
      <c r="A15" s="351" t="s">
        <v>740</v>
      </c>
      <c r="B15" s="400" t="s">
        <v>745</v>
      </c>
      <c r="C15" s="359">
        <f>SUM(D15:H15)</f>
        <v>30314</v>
      </c>
      <c r="D15" s="363">
        <v>15000</v>
      </c>
      <c r="E15" s="358">
        <v>0</v>
      </c>
      <c r="F15" s="98">
        <v>15314</v>
      </c>
      <c r="G15" s="98">
        <v>0</v>
      </c>
      <c r="H15" s="98">
        <v>0</v>
      </c>
    </row>
    <row r="16" spans="1:8" x14ac:dyDescent="0.25">
      <c r="A16" s="83" t="s">
        <v>37</v>
      </c>
      <c r="B16" s="84" t="s">
        <v>63</v>
      </c>
      <c r="C16" s="357">
        <f>SUM(C17:C19)</f>
        <v>419000</v>
      </c>
      <c r="D16" s="93">
        <f>D17+D19+D18</f>
        <v>374370</v>
      </c>
      <c r="E16" s="93">
        <f>E17+E19+E18</f>
        <v>0</v>
      </c>
      <c r="F16" s="93">
        <f>F17+F19+F18</f>
        <v>0</v>
      </c>
      <c r="G16" s="93">
        <f>G17+G19+G18</f>
        <v>0</v>
      </c>
      <c r="H16" s="93">
        <f>H17+H19+H18</f>
        <v>44630</v>
      </c>
    </row>
    <row r="17" spans="1:8" s="3" customFormat="1" ht="30" x14ac:dyDescent="0.25">
      <c r="A17" s="351" t="s">
        <v>139</v>
      </c>
      <c r="B17" s="400" t="s">
        <v>372</v>
      </c>
      <c r="C17" s="359">
        <f t="shared" ref="C17:C117" si="0">SUM(D17+E17+F17+G17+H17)</f>
        <v>44630</v>
      </c>
      <c r="D17" s="98">
        <v>0</v>
      </c>
      <c r="E17" s="98">
        <v>0</v>
      </c>
      <c r="F17" s="98">
        <v>0</v>
      </c>
      <c r="G17" s="98">
        <v>0</v>
      </c>
      <c r="H17" s="358">
        <v>44630</v>
      </c>
    </row>
    <row r="18" spans="1:8" s="3" customFormat="1" ht="30" x14ac:dyDescent="0.25">
      <c r="A18" s="349" t="s">
        <v>140</v>
      </c>
      <c r="B18" s="399" t="s">
        <v>417</v>
      </c>
      <c r="C18" s="359">
        <f t="shared" si="0"/>
        <v>280895</v>
      </c>
      <c r="D18" s="358">
        <v>280895</v>
      </c>
      <c r="E18" s="98">
        <v>0</v>
      </c>
      <c r="F18" s="98">
        <v>0</v>
      </c>
      <c r="G18" s="98">
        <v>0</v>
      </c>
      <c r="H18" s="98">
        <v>0</v>
      </c>
    </row>
    <row r="19" spans="1:8" s="3" customFormat="1" ht="31.5" customHeight="1" x14ac:dyDescent="0.25">
      <c r="A19" s="349" t="s">
        <v>237</v>
      </c>
      <c r="B19" s="400" t="s">
        <v>840</v>
      </c>
      <c r="C19" s="359">
        <f>SUM(D19+E19+F19+G19+H19)</f>
        <v>93475</v>
      </c>
      <c r="D19" s="358">
        <v>93475</v>
      </c>
      <c r="E19" s="98">
        <v>0</v>
      </c>
      <c r="F19" s="98">
        <v>0</v>
      </c>
      <c r="G19" s="98">
        <v>0</v>
      </c>
      <c r="H19" s="98">
        <v>0</v>
      </c>
    </row>
    <row r="20" spans="1:8" s="398" customFormat="1" ht="28.5" x14ac:dyDescent="0.2">
      <c r="A20" s="90" t="s">
        <v>46</v>
      </c>
      <c r="B20" s="397" t="s">
        <v>407</v>
      </c>
      <c r="C20" s="357">
        <f>SUM(D20:H20)</f>
        <v>717130</v>
      </c>
      <c r="D20" s="357">
        <f>D21+D22</f>
        <v>613557</v>
      </c>
      <c r="E20" s="357">
        <f>E21+E22</f>
        <v>0</v>
      </c>
      <c r="F20" s="357">
        <f>F21+F22</f>
        <v>13383</v>
      </c>
      <c r="G20" s="357">
        <f>G21+G22</f>
        <v>0</v>
      </c>
      <c r="H20" s="357">
        <f>H21+H22</f>
        <v>90190</v>
      </c>
    </row>
    <row r="21" spans="1:8" x14ac:dyDescent="0.25">
      <c r="A21" s="351" t="s">
        <v>408</v>
      </c>
      <c r="B21" s="400" t="s">
        <v>317</v>
      </c>
      <c r="C21" s="359">
        <f t="shared" si="0"/>
        <v>578910</v>
      </c>
      <c r="D21" s="358">
        <v>578910</v>
      </c>
      <c r="E21" s="98">
        <v>0</v>
      </c>
      <c r="F21" s="98">
        <v>0</v>
      </c>
      <c r="G21" s="98">
        <v>0</v>
      </c>
      <c r="H21" s="98">
        <v>0</v>
      </c>
    </row>
    <row r="22" spans="1:8" ht="45" x14ac:dyDescent="0.25">
      <c r="A22" s="351" t="s">
        <v>401</v>
      </c>
      <c r="B22" s="400" t="s">
        <v>650</v>
      </c>
      <c r="C22" s="359">
        <f t="shared" si="0"/>
        <v>138220</v>
      </c>
      <c r="D22" s="358">
        <f>4645+30002</f>
        <v>34647</v>
      </c>
      <c r="E22" s="98">
        <v>0</v>
      </c>
      <c r="F22" s="98">
        <v>13383</v>
      </c>
      <c r="G22" s="98">
        <v>0</v>
      </c>
      <c r="H22" s="358">
        <v>90190</v>
      </c>
    </row>
    <row r="23" spans="1:8" hidden="1" x14ac:dyDescent="0.25">
      <c r="A23" s="393" t="s">
        <v>260</v>
      </c>
      <c r="B23" s="413" t="s">
        <v>377</v>
      </c>
      <c r="C23" s="394">
        <f t="shared" si="0"/>
        <v>0</v>
      </c>
      <c r="D23" s="394"/>
      <c r="E23" s="394"/>
      <c r="F23" s="394"/>
      <c r="G23" s="394"/>
      <c r="H23" s="394"/>
    </row>
    <row r="24" spans="1:8" x14ac:dyDescent="0.25">
      <c r="A24" s="350" t="s">
        <v>38</v>
      </c>
      <c r="B24" s="84" t="s">
        <v>716</v>
      </c>
      <c r="C24" s="357">
        <f>SUM(D24+E24+F24+G24+H24)</f>
        <v>206594</v>
      </c>
      <c r="D24" s="357">
        <f>D25</f>
        <v>0</v>
      </c>
      <c r="E24" s="357">
        <f>E25</f>
        <v>0</v>
      </c>
      <c r="F24" s="357">
        <f>F25</f>
        <v>0</v>
      </c>
      <c r="G24" s="357">
        <f>G25</f>
        <v>0</v>
      </c>
      <c r="H24" s="357">
        <f>H25</f>
        <v>206594</v>
      </c>
    </row>
    <row r="25" spans="1:8" x14ac:dyDescent="0.25">
      <c r="A25" s="349" t="s">
        <v>715</v>
      </c>
      <c r="B25" s="399" t="s">
        <v>318</v>
      </c>
      <c r="C25" s="359">
        <f t="shared" si="0"/>
        <v>206594</v>
      </c>
      <c r="D25" s="358">
        <v>0</v>
      </c>
      <c r="E25" s="98">
        <v>0</v>
      </c>
      <c r="F25" s="98">
        <v>0</v>
      </c>
      <c r="G25" s="358">
        <v>0</v>
      </c>
      <c r="H25" s="358">
        <v>206594</v>
      </c>
    </row>
    <row r="26" spans="1:8" ht="28.5" x14ac:dyDescent="0.25">
      <c r="A26" s="128" t="s">
        <v>40</v>
      </c>
      <c r="B26" s="91" t="s">
        <v>10</v>
      </c>
      <c r="C26" s="357">
        <f t="shared" si="0"/>
        <v>1265425</v>
      </c>
      <c r="D26" s="357">
        <f>D27+D28+D29</f>
        <v>609907</v>
      </c>
      <c r="E26" s="357">
        <f>E27+E28+E29</f>
        <v>0</v>
      </c>
      <c r="F26" s="357">
        <f>F27+F28+F29</f>
        <v>0</v>
      </c>
      <c r="G26" s="357">
        <f>G27+G28+G29</f>
        <v>655518</v>
      </c>
      <c r="H26" s="357">
        <f>H27+H28+H29</f>
        <v>0</v>
      </c>
    </row>
    <row r="27" spans="1:8" s="8" customFormat="1" ht="30" x14ac:dyDescent="0.25">
      <c r="A27" s="351" t="s">
        <v>64</v>
      </c>
      <c r="B27" s="400" t="s">
        <v>67</v>
      </c>
      <c r="C27" s="359">
        <f>SUM(D27+E27+F27+G27+H27)</f>
        <v>732940</v>
      </c>
      <c r="D27" s="358">
        <v>77422</v>
      </c>
      <c r="E27" s="358">
        <v>0</v>
      </c>
      <c r="F27" s="358">
        <v>0</v>
      </c>
      <c r="G27" s="358">
        <v>655518</v>
      </c>
      <c r="H27" s="358">
        <v>0</v>
      </c>
    </row>
    <row r="28" spans="1:8" s="3" customFormat="1" ht="30" x14ac:dyDescent="0.25">
      <c r="A28" s="351" t="s">
        <v>65</v>
      </c>
      <c r="B28" s="400" t="s">
        <v>68</v>
      </c>
      <c r="C28" s="359">
        <f>SUM(D28+E28+F28+G28+H28)</f>
        <v>532485</v>
      </c>
      <c r="D28" s="358">
        <v>532485</v>
      </c>
      <c r="E28" s="358">
        <v>0</v>
      </c>
      <c r="F28" s="358">
        <v>0</v>
      </c>
      <c r="G28" s="358">
        <v>0</v>
      </c>
      <c r="H28" s="358">
        <v>0</v>
      </c>
    </row>
    <row r="29" spans="1:8" s="3" customFormat="1" ht="16.5" hidden="1" customHeight="1" x14ac:dyDescent="0.25">
      <c r="A29" s="395" t="s">
        <v>66</v>
      </c>
      <c r="B29" s="414" t="s">
        <v>133</v>
      </c>
      <c r="C29" s="394">
        <f t="shared" si="0"/>
        <v>0</v>
      </c>
      <c r="D29" s="99"/>
      <c r="E29" s="99"/>
      <c r="F29" s="99"/>
      <c r="G29" s="99"/>
      <c r="H29" s="99"/>
    </row>
    <row r="30" spans="1:8" ht="28.5" x14ac:dyDescent="0.25">
      <c r="A30" s="392" t="s">
        <v>41</v>
      </c>
      <c r="B30" s="91" t="s">
        <v>717</v>
      </c>
      <c r="C30" s="357">
        <f t="shared" si="0"/>
        <v>252800</v>
      </c>
      <c r="D30" s="357">
        <f>D31</f>
        <v>0</v>
      </c>
      <c r="E30" s="357">
        <f>E31</f>
        <v>0</v>
      </c>
      <c r="F30" s="357">
        <f>F31</f>
        <v>0</v>
      </c>
      <c r="G30" s="357">
        <f>G31</f>
        <v>0</v>
      </c>
      <c r="H30" s="357">
        <f>H31</f>
        <v>252800</v>
      </c>
    </row>
    <row r="31" spans="1:8" x14ac:dyDescent="0.25">
      <c r="A31" s="86" t="s">
        <v>718</v>
      </c>
      <c r="B31" s="400" t="s">
        <v>319</v>
      </c>
      <c r="C31" s="359">
        <f>SUM(D31+E31+F31+G31+H31)</f>
        <v>252800</v>
      </c>
      <c r="D31" s="358">
        <v>0</v>
      </c>
      <c r="E31" s="358">
        <v>0</v>
      </c>
      <c r="F31" s="358">
        <v>0</v>
      </c>
      <c r="G31" s="358">
        <v>0</v>
      </c>
      <c r="H31" s="358">
        <v>252800</v>
      </c>
    </row>
    <row r="32" spans="1:8" s="17" customFormat="1" x14ac:dyDescent="0.25">
      <c r="A32" s="80" t="s">
        <v>30</v>
      </c>
      <c r="B32" s="81" t="s">
        <v>11</v>
      </c>
      <c r="C32" s="82">
        <f t="shared" si="0"/>
        <v>3764535</v>
      </c>
      <c r="D32" s="82">
        <f>D33+D35</f>
        <v>3498955</v>
      </c>
      <c r="E32" s="82">
        <f>E33+E35</f>
        <v>168389</v>
      </c>
      <c r="F32" s="82">
        <f>F33+F35</f>
        <v>0</v>
      </c>
      <c r="G32" s="82">
        <f>G33+G35</f>
        <v>0</v>
      </c>
      <c r="H32" s="82">
        <f>H33+H35</f>
        <v>97191</v>
      </c>
    </row>
    <row r="33" spans="1:8" s="17" customFormat="1" x14ac:dyDescent="0.25">
      <c r="A33" s="128" t="s">
        <v>719</v>
      </c>
      <c r="B33" s="91" t="s">
        <v>720</v>
      </c>
      <c r="C33" s="357">
        <f>SUM(D33+E33+F33+G33+H33)</f>
        <v>2872256</v>
      </c>
      <c r="D33" s="357">
        <f>D34</f>
        <v>2667367</v>
      </c>
      <c r="E33" s="357">
        <f>E34</f>
        <v>128300</v>
      </c>
      <c r="F33" s="357">
        <f>F34</f>
        <v>0</v>
      </c>
      <c r="G33" s="357">
        <f>G34</f>
        <v>0</v>
      </c>
      <c r="H33" s="357">
        <f>H34</f>
        <v>76589</v>
      </c>
    </row>
    <row r="34" spans="1:8" ht="30" x14ac:dyDescent="0.25">
      <c r="A34" s="351" t="s">
        <v>42</v>
      </c>
      <c r="B34" s="400" t="s">
        <v>418</v>
      </c>
      <c r="C34" s="359">
        <f t="shared" si="0"/>
        <v>2872256</v>
      </c>
      <c r="D34" s="358">
        <v>2667367</v>
      </c>
      <c r="E34" s="358">
        <v>128300</v>
      </c>
      <c r="F34" s="358">
        <v>0</v>
      </c>
      <c r="G34" s="358">
        <v>0</v>
      </c>
      <c r="H34" s="358">
        <v>76589</v>
      </c>
    </row>
    <row r="35" spans="1:8" ht="28.5" x14ac:dyDescent="0.25">
      <c r="A35" s="128" t="s">
        <v>43</v>
      </c>
      <c r="B35" s="91" t="s">
        <v>69</v>
      </c>
      <c r="C35" s="357">
        <f t="shared" si="0"/>
        <v>892279</v>
      </c>
      <c r="D35" s="357">
        <f>D36+D37</f>
        <v>831588</v>
      </c>
      <c r="E35" s="357">
        <f>E36+E37</f>
        <v>40089</v>
      </c>
      <c r="F35" s="93">
        <f>F36+F37</f>
        <v>0</v>
      </c>
      <c r="G35" s="93">
        <f>G36+G37</f>
        <v>0</v>
      </c>
      <c r="H35" s="93">
        <f>H36+H37</f>
        <v>20602</v>
      </c>
    </row>
    <row r="36" spans="1:8" s="3" customFormat="1" ht="30" x14ac:dyDescent="0.25">
      <c r="A36" s="351" t="s">
        <v>87</v>
      </c>
      <c r="B36" s="411" t="s">
        <v>722</v>
      </c>
      <c r="C36" s="359">
        <f>SUM(D36+E36+F36+G36+H36)</f>
        <v>521514</v>
      </c>
      <c r="D36" s="358">
        <v>521464</v>
      </c>
      <c r="E36" s="358">
        <v>0</v>
      </c>
      <c r="F36" s="358">
        <v>0</v>
      </c>
      <c r="G36" s="358">
        <v>0</v>
      </c>
      <c r="H36" s="358">
        <v>50</v>
      </c>
    </row>
    <row r="37" spans="1:8" s="3" customFormat="1" ht="45" x14ac:dyDescent="0.25">
      <c r="A37" s="351" t="s">
        <v>411</v>
      </c>
      <c r="B37" s="411" t="s">
        <v>651</v>
      </c>
      <c r="C37" s="359">
        <f t="shared" si="0"/>
        <v>370765</v>
      </c>
      <c r="D37" s="358">
        <v>310124</v>
      </c>
      <c r="E37" s="358">
        <v>40089</v>
      </c>
      <c r="F37" s="358">
        <v>0</v>
      </c>
      <c r="G37" s="358">
        <v>0</v>
      </c>
      <c r="H37" s="358">
        <v>20552</v>
      </c>
    </row>
    <row r="38" spans="1:8" s="17" customFormat="1" x14ac:dyDescent="0.25">
      <c r="A38" s="80" t="s">
        <v>31</v>
      </c>
      <c r="B38" s="81" t="s">
        <v>12</v>
      </c>
      <c r="C38" s="82">
        <f>SUM(D38:H38)</f>
        <v>16407273</v>
      </c>
      <c r="D38" s="82">
        <f>SUM(D39+D46+D54+D51)</f>
        <v>5673738</v>
      </c>
      <c r="E38" s="82">
        <f>SUM(E39+E46+E54+E51)</f>
        <v>57300</v>
      </c>
      <c r="F38" s="82">
        <f>SUM(F39+F46+F54+F51)</f>
        <v>7724199</v>
      </c>
      <c r="G38" s="82">
        <f>SUM(G39+G46+G54+G51)</f>
        <v>19012</v>
      </c>
      <c r="H38" s="82">
        <f>SUM(H39+H46+H54+H51)</f>
        <v>2933024</v>
      </c>
    </row>
    <row r="39" spans="1:8" x14ac:dyDescent="0.25">
      <c r="A39" s="84" t="s">
        <v>44</v>
      </c>
      <c r="B39" s="84" t="s">
        <v>45</v>
      </c>
      <c r="C39" s="357">
        <f>SUM(D39:H39)</f>
        <v>10862693</v>
      </c>
      <c r="D39" s="93">
        <f>SUM(D40:D45)</f>
        <v>937312</v>
      </c>
      <c r="E39" s="93">
        <f>SUM(E40:E45)</f>
        <v>0</v>
      </c>
      <c r="F39" s="93">
        <f>SUM(F40:F45)</f>
        <v>7043332</v>
      </c>
      <c r="G39" s="93">
        <f>SUM(G40:G45)</f>
        <v>0</v>
      </c>
      <c r="H39" s="93">
        <f>SUM(H40:H45)</f>
        <v>2882049</v>
      </c>
    </row>
    <row r="40" spans="1:8" s="3" customFormat="1" ht="30" x14ac:dyDescent="0.25">
      <c r="A40" s="351" t="s">
        <v>70</v>
      </c>
      <c r="B40" s="400" t="s">
        <v>134</v>
      </c>
      <c r="C40" s="359">
        <f t="shared" ref="C40:C45" si="1">SUM(D40:H40)</f>
        <v>718054</v>
      </c>
      <c r="D40" s="358">
        <f>568054+150000</f>
        <v>718054</v>
      </c>
      <c r="E40" s="358">
        <v>0</v>
      </c>
      <c r="F40" s="358">
        <v>0</v>
      </c>
      <c r="G40" s="358">
        <v>0</v>
      </c>
      <c r="H40" s="358">
        <v>0</v>
      </c>
    </row>
    <row r="41" spans="1:8" s="3" customFormat="1" ht="30" x14ac:dyDescent="0.25">
      <c r="A41" s="351" t="s">
        <v>98</v>
      </c>
      <c r="B41" s="423" t="s">
        <v>294</v>
      </c>
      <c r="C41" s="359">
        <f t="shared" si="1"/>
        <v>1491007</v>
      </c>
      <c r="D41" s="358">
        <v>0</v>
      </c>
      <c r="E41" s="358">
        <v>0</v>
      </c>
      <c r="F41" s="358">
        <f>1209943-154034</f>
        <v>1055909</v>
      </c>
      <c r="G41" s="358">
        <v>0</v>
      </c>
      <c r="H41" s="358">
        <f>281064+154034</f>
        <v>435098</v>
      </c>
    </row>
    <row r="42" spans="1:8" s="3" customFormat="1" ht="45.75" customHeight="1" x14ac:dyDescent="0.25">
      <c r="A42" s="351" t="s">
        <v>587</v>
      </c>
      <c r="B42" s="423" t="s">
        <v>588</v>
      </c>
      <c r="C42" s="359">
        <f t="shared" si="1"/>
        <v>4599440</v>
      </c>
      <c r="D42" s="358">
        <v>0</v>
      </c>
      <c r="E42" s="358">
        <v>0</v>
      </c>
      <c r="F42" s="358">
        <v>2863944</v>
      </c>
      <c r="G42" s="358">
        <v>0</v>
      </c>
      <c r="H42" s="358">
        <v>1735496</v>
      </c>
    </row>
    <row r="43" spans="1:8" s="3" customFormat="1" ht="45" x14ac:dyDescent="0.25">
      <c r="A43" s="374" t="s">
        <v>641</v>
      </c>
      <c r="B43" s="400" t="s">
        <v>642</v>
      </c>
      <c r="C43" s="359">
        <f t="shared" si="1"/>
        <v>3123479</v>
      </c>
      <c r="D43" s="358">
        <v>0</v>
      </c>
      <c r="E43" s="358">
        <v>0</v>
      </c>
      <c r="F43" s="358">
        <v>3123479</v>
      </c>
      <c r="G43" s="358">
        <v>0</v>
      </c>
      <c r="H43" s="358">
        <v>0</v>
      </c>
    </row>
    <row r="44" spans="1:8" s="3" customFormat="1" ht="34.5" customHeight="1" x14ac:dyDescent="0.25">
      <c r="A44" s="374" t="s">
        <v>643</v>
      </c>
      <c r="B44" s="400" t="s">
        <v>644</v>
      </c>
      <c r="C44" s="359">
        <f t="shared" si="1"/>
        <v>930713</v>
      </c>
      <c r="D44" s="358">
        <v>219258</v>
      </c>
      <c r="E44" s="358">
        <v>0</v>
      </c>
      <c r="F44" s="358">
        <v>0</v>
      </c>
      <c r="G44" s="358">
        <v>0</v>
      </c>
      <c r="H44" s="358">
        <v>711455</v>
      </c>
    </row>
    <row r="45" spans="1:8" s="3" customFormat="1" hidden="1" x14ac:dyDescent="0.25">
      <c r="A45" s="416"/>
      <c r="B45" s="417"/>
      <c r="C45" s="364">
        <f t="shared" si="1"/>
        <v>0</v>
      </c>
      <c r="D45" s="361"/>
      <c r="E45" s="361"/>
      <c r="F45" s="361"/>
      <c r="G45" s="361"/>
      <c r="H45" s="361"/>
    </row>
    <row r="46" spans="1:8" x14ac:dyDescent="0.25">
      <c r="A46" s="352" t="s">
        <v>99</v>
      </c>
      <c r="B46" s="124" t="s">
        <v>141</v>
      </c>
      <c r="C46" s="357">
        <f>SUM(D46:H46)</f>
        <v>1958306</v>
      </c>
      <c r="D46" s="357">
        <f>SUM(D47:D50)</f>
        <v>1712017</v>
      </c>
      <c r="E46" s="357">
        <f>SUM(E47:E50)</f>
        <v>57300</v>
      </c>
      <c r="F46" s="357">
        <f>SUM(F47:F50)</f>
        <v>121502</v>
      </c>
      <c r="G46" s="357">
        <f>SUM(G47:G50)</f>
        <v>19012</v>
      </c>
      <c r="H46" s="357">
        <f>SUM(H47:H50)</f>
        <v>48475</v>
      </c>
    </row>
    <row r="47" spans="1:8" s="3" customFormat="1" ht="30" x14ac:dyDescent="0.25">
      <c r="A47" s="353" t="s">
        <v>150</v>
      </c>
      <c r="B47" s="424" t="s">
        <v>419</v>
      </c>
      <c r="C47" s="359">
        <f t="shared" si="0"/>
        <v>372542</v>
      </c>
      <c r="D47" s="358">
        <v>294938</v>
      </c>
      <c r="E47" s="358">
        <v>57300</v>
      </c>
      <c r="F47" s="358">
        <v>0</v>
      </c>
      <c r="G47" s="358">
        <v>19012</v>
      </c>
      <c r="H47" s="358">
        <v>1292</v>
      </c>
    </row>
    <row r="48" spans="1:8" s="3" customFormat="1" ht="37.5" customHeight="1" x14ac:dyDescent="0.25">
      <c r="A48" s="353" t="s">
        <v>402</v>
      </c>
      <c r="B48" s="424" t="s">
        <v>652</v>
      </c>
      <c r="C48" s="359">
        <f t="shared" si="0"/>
        <v>52010</v>
      </c>
      <c r="D48" s="358">
        <v>13747</v>
      </c>
      <c r="E48" s="358">
        <v>0</v>
      </c>
      <c r="F48" s="358">
        <v>38263</v>
      </c>
      <c r="G48" s="358">
        <v>0</v>
      </c>
      <c r="H48" s="358">
        <v>0</v>
      </c>
    </row>
    <row r="49" spans="1:8" s="3" customFormat="1" ht="45" x14ac:dyDescent="0.25">
      <c r="A49" s="353" t="s">
        <v>645</v>
      </c>
      <c r="B49" s="424" t="s">
        <v>612</v>
      </c>
      <c r="C49" s="359">
        <f>SUM(D49+E49+F49+G49+H49)</f>
        <v>1533754</v>
      </c>
      <c r="D49" s="358">
        <f>25500+1377832</f>
        <v>1403332</v>
      </c>
      <c r="E49" s="358">
        <v>0</v>
      </c>
      <c r="F49" s="358">
        <v>83239</v>
      </c>
      <c r="G49" s="358">
        <v>0</v>
      </c>
      <c r="H49" s="358">
        <v>47183</v>
      </c>
    </row>
    <row r="50" spans="1:8" s="3" customFormat="1" hidden="1" x14ac:dyDescent="0.25">
      <c r="A50" s="418"/>
      <c r="B50" s="420"/>
      <c r="C50" s="394">
        <f>SUM(D50+E50+F50+G50+H50)</f>
        <v>0</v>
      </c>
      <c r="D50" s="99"/>
      <c r="E50" s="99"/>
      <c r="F50" s="99"/>
      <c r="G50" s="99"/>
      <c r="H50" s="99"/>
    </row>
    <row r="51" spans="1:8" s="3" customFormat="1" x14ac:dyDescent="0.25">
      <c r="A51" s="352" t="s">
        <v>646</v>
      </c>
      <c r="B51" s="375" t="s">
        <v>647</v>
      </c>
      <c r="C51" s="357">
        <f t="shared" si="0"/>
        <v>3507200</v>
      </c>
      <c r="D51" s="357">
        <f>D52+D53</f>
        <v>2947835</v>
      </c>
      <c r="E51" s="357">
        <f>E52+E53</f>
        <v>0</v>
      </c>
      <c r="F51" s="357">
        <f>F52+F53</f>
        <v>559365</v>
      </c>
      <c r="G51" s="357">
        <f>G52+G53</f>
        <v>0</v>
      </c>
      <c r="H51" s="357">
        <f>H52+H53</f>
        <v>0</v>
      </c>
    </row>
    <row r="52" spans="1:8" s="3" customFormat="1" ht="48.75" customHeight="1" x14ac:dyDescent="0.25">
      <c r="A52" s="353" t="s">
        <v>723</v>
      </c>
      <c r="B52" s="424" t="s">
        <v>747</v>
      </c>
      <c r="C52" s="359">
        <f>SUM(D52+E52+F52+G52+H52)</f>
        <v>559365</v>
      </c>
      <c r="D52" s="358">
        <v>0</v>
      </c>
      <c r="E52" s="358">
        <v>0</v>
      </c>
      <c r="F52" s="358">
        <v>559365</v>
      </c>
      <c r="G52" s="358">
        <v>0</v>
      </c>
      <c r="H52" s="358">
        <v>0</v>
      </c>
    </row>
    <row r="53" spans="1:8" s="3" customFormat="1" ht="30" x14ac:dyDescent="0.25">
      <c r="A53" s="353" t="s">
        <v>648</v>
      </c>
      <c r="B53" s="424" t="s">
        <v>649</v>
      </c>
      <c r="C53" s="359">
        <f>SUM(D53+E53+F53+G53+H53)</f>
        <v>2947835</v>
      </c>
      <c r="D53" s="358">
        <v>2947835</v>
      </c>
      <c r="E53" s="358">
        <v>0</v>
      </c>
      <c r="F53" s="358">
        <v>0</v>
      </c>
      <c r="G53" s="358">
        <v>0</v>
      </c>
      <c r="H53" s="358">
        <v>0</v>
      </c>
    </row>
    <row r="54" spans="1:8" s="3" customFormat="1" x14ac:dyDescent="0.25">
      <c r="A54" s="352" t="s">
        <v>142</v>
      </c>
      <c r="B54" s="421" t="s">
        <v>143</v>
      </c>
      <c r="C54" s="357">
        <f>SUM(D54:H54)</f>
        <v>79074</v>
      </c>
      <c r="D54" s="357">
        <f>SUM(D55:D63)</f>
        <v>76574</v>
      </c>
      <c r="E54" s="357">
        <f>SUM(E55:E63)</f>
        <v>0</v>
      </c>
      <c r="F54" s="93">
        <f>SUM(F55:F63)</f>
        <v>0</v>
      </c>
      <c r="G54" s="93">
        <f>SUM(G55:G63)</f>
        <v>0</v>
      </c>
      <c r="H54" s="93">
        <f>SUM(H55:H63)</f>
        <v>2500</v>
      </c>
    </row>
    <row r="55" spans="1:8" s="3" customFormat="1" ht="30" x14ac:dyDescent="0.25">
      <c r="A55" s="351" t="s">
        <v>171</v>
      </c>
      <c r="B55" s="400" t="s">
        <v>172</v>
      </c>
      <c r="C55" s="359">
        <f>SUM(D55+E55+F55+G55+H55)</f>
        <v>76574</v>
      </c>
      <c r="D55" s="358">
        <v>76574</v>
      </c>
      <c r="E55" s="358">
        <v>0</v>
      </c>
      <c r="F55" s="358">
        <v>0</v>
      </c>
      <c r="G55" s="358">
        <v>0</v>
      </c>
      <c r="H55" s="358">
        <v>0</v>
      </c>
    </row>
    <row r="56" spans="1:8" s="3" customFormat="1" x14ac:dyDescent="0.25">
      <c r="A56" s="354" t="s">
        <v>243</v>
      </c>
      <c r="B56" s="400" t="s">
        <v>244</v>
      </c>
      <c r="C56" s="359">
        <f>SUM(D56+E56+F56+G56+H56)</f>
        <v>2500</v>
      </c>
      <c r="D56" s="358">
        <v>0</v>
      </c>
      <c r="E56" s="358">
        <v>0</v>
      </c>
      <c r="F56" s="358">
        <v>0</v>
      </c>
      <c r="G56" s="358">
        <v>0</v>
      </c>
      <c r="H56" s="358">
        <v>2500</v>
      </c>
    </row>
    <row r="57" spans="1:8" s="3" customFormat="1" hidden="1" x14ac:dyDescent="0.25">
      <c r="A57" s="419"/>
      <c r="B57" s="414"/>
      <c r="C57" s="394">
        <f>SUM(D57+E57+F57+G57+H57)</f>
        <v>0</v>
      </c>
      <c r="D57" s="99"/>
      <c r="E57" s="99"/>
      <c r="F57" s="99"/>
      <c r="G57" s="99"/>
      <c r="H57" s="99"/>
    </row>
    <row r="58" spans="1:8" s="3" customFormat="1" hidden="1" x14ac:dyDescent="0.25">
      <c r="A58" s="125"/>
      <c r="B58" s="122"/>
      <c r="C58" s="403">
        <f t="shared" ref="C58:C63" si="2">SUM(D58+E58+F58+G58+H58)</f>
        <v>0</v>
      </c>
      <c r="D58" s="123"/>
      <c r="E58" s="123"/>
      <c r="F58" s="123"/>
      <c r="G58" s="123"/>
      <c r="H58" s="123"/>
    </row>
    <row r="59" spans="1:8" s="3" customFormat="1" hidden="1" x14ac:dyDescent="0.25">
      <c r="A59" s="126"/>
      <c r="B59" s="122"/>
      <c r="C59" s="404">
        <f t="shared" si="2"/>
        <v>0</v>
      </c>
      <c r="D59" s="127"/>
      <c r="E59" s="127"/>
      <c r="F59" s="127"/>
      <c r="G59" s="127"/>
      <c r="H59" s="127"/>
    </row>
    <row r="60" spans="1:8" s="3" customFormat="1" hidden="1" x14ac:dyDescent="0.25">
      <c r="A60" s="125"/>
      <c r="B60" s="122"/>
      <c r="C60" s="403">
        <f t="shared" si="2"/>
        <v>0</v>
      </c>
      <c r="D60" s="123"/>
      <c r="E60" s="123"/>
      <c r="F60" s="123"/>
      <c r="G60" s="123"/>
      <c r="H60" s="123"/>
    </row>
    <row r="61" spans="1:8" s="3" customFormat="1" hidden="1" x14ac:dyDescent="0.25">
      <c r="A61" s="125"/>
      <c r="B61" s="122"/>
      <c r="C61" s="403">
        <f t="shared" si="2"/>
        <v>0</v>
      </c>
      <c r="D61" s="123"/>
      <c r="E61" s="123"/>
      <c r="F61" s="123"/>
      <c r="G61" s="123"/>
      <c r="H61" s="123"/>
    </row>
    <row r="62" spans="1:8" s="3" customFormat="1" hidden="1" x14ac:dyDescent="0.25">
      <c r="A62" s="125"/>
      <c r="B62" s="122"/>
      <c r="C62" s="403">
        <f t="shared" si="2"/>
        <v>0</v>
      </c>
      <c r="D62" s="123"/>
      <c r="E62" s="123"/>
      <c r="F62" s="123"/>
      <c r="G62" s="123"/>
      <c r="H62" s="123"/>
    </row>
    <row r="63" spans="1:8" s="3" customFormat="1" hidden="1" x14ac:dyDescent="0.25">
      <c r="A63" s="125"/>
      <c r="B63" s="122"/>
      <c r="C63" s="403">
        <f t="shared" si="2"/>
        <v>0</v>
      </c>
      <c r="D63" s="123"/>
      <c r="E63" s="123"/>
      <c r="F63" s="123"/>
      <c r="G63" s="123"/>
      <c r="H63" s="123"/>
    </row>
    <row r="64" spans="1:8" s="17" customFormat="1" x14ac:dyDescent="0.25">
      <c r="A64" s="80" t="s">
        <v>32</v>
      </c>
      <c r="B64" s="81" t="s">
        <v>13</v>
      </c>
      <c r="C64" s="82">
        <f>SUM(D64+E64+F64+G64+H64)</f>
        <v>3771593</v>
      </c>
      <c r="D64" s="82">
        <f>D65+D68+D70+D72</f>
        <v>1766767</v>
      </c>
      <c r="E64" s="82">
        <f>E65+E68+E70+E72</f>
        <v>0</v>
      </c>
      <c r="F64" s="82">
        <f>F65+F68+F70+F72</f>
        <v>1531117</v>
      </c>
      <c r="G64" s="82">
        <f>G65+G68+G70+G72</f>
        <v>0</v>
      </c>
      <c r="H64" s="82">
        <f>H65+H68+H70+H72</f>
        <v>473709</v>
      </c>
    </row>
    <row r="65" spans="1:8" x14ac:dyDescent="0.25">
      <c r="A65" s="128" t="s">
        <v>47</v>
      </c>
      <c r="B65" s="91" t="s">
        <v>48</v>
      </c>
      <c r="C65" s="357">
        <f t="shared" si="0"/>
        <v>1524447</v>
      </c>
      <c r="D65" s="357">
        <f>SUM(D66+D67)</f>
        <v>1069101</v>
      </c>
      <c r="E65" s="93">
        <f>SUM(E66+E67)</f>
        <v>0</v>
      </c>
      <c r="F65" s="93">
        <f>SUM(F66+F67)</f>
        <v>0</v>
      </c>
      <c r="G65" s="93">
        <f>SUM(G66+G67)</f>
        <v>0</v>
      </c>
      <c r="H65" s="93">
        <f>SUM(H66+H67)</f>
        <v>455346</v>
      </c>
    </row>
    <row r="66" spans="1:8" s="3" customFormat="1" ht="30" x14ac:dyDescent="0.25">
      <c r="A66" s="351" t="s">
        <v>71</v>
      </c>
      <c r="B66" s="400" t="s">
        <v>264</v>
      </c>
      <c r="C66" s="359">
        <f t="shared" si="0"/>
        <v>1069101</v>
      </c>
      <c r="D66" s="358">
        <v>1069101</v>
      </c>
      <c r="E66" s="358">
        <v>0</v>
      </c>
      <c r="F66" s="358">
        <v>0</v>
      </c>
      <c r="G66" s="358">
        <v>0</v>
      </c>
      <c r="H66" s="358">
        <v>0</v>
      </c>
    </row>
    <row r="67" spans="1:8" s="3" customFormat="1" ht="30" x14ac:dyDescent="0.25">
      <c r="A67" s="351" t="s">
        <v>145</v>
      </c>
      <c r="B67" s="400" t="s">
        <v>144</v>
      </c>
      <c r="C67" s="359">
        <f t="shared" si="0"/>
        <v>455346</v>
      </c>
      <c r="D67" s="358">
        <v>0</v>
      </c>
      <c r="E67" s="358">
        <v>0</v>
      </c>
      <c r="F67" s="358">
        <v>0</v>
      </c>
      <c r="G67" s="358">
        <v>0</v>
      </c>
      <c r="H67" s="358">
        <v>455346</v>
      </c>
    </row>
    <row r="68" spans="1:8" x14ac:dyDescent="0.25">
      <c r="A68" s="128" t="s">
        <v>724</v>
      </c>
      <c r="B68" s="91" t="s">
        <v>94</v>
      </c>
      <c r="C68" s="357">
        <f t="shared" si="0"/>
        <v>571750</v>
      </c>
      <c r="D68" s="357">
        <f>D69</f>
        <v>571750</v>
      </c>
      <c r="E68" s="357">
        <f>E69</f>
        <v>0</v>
      </c>
      <c r="F68" s="357">
        <f>F69</f>
        <v>0</v>
      </c>
      <c r="G68" s="357">
        <f>G69</f>
        <v>0</v>
      </c>
      <c r="H68" s="357">
        <f>H69</f>
        <v>0</v>
      </c>
    </row>
    <row r="69" spans="1:8" x14ac:dyDescent="0.25">
      <c r="A69" s="351" t="s">
        <v>306</v>
      </c>
      <c r="B69" s="400" t="s">
        <v>94</v>
      </c>
      <c r="C69" s="359">
        <f>SUM(D69+E69+F69+G69+H69)</f>
        <v>571750</v>
      </c>
      <c r="D69" s="358">
        <v>571750</v>
      </c>
      <c r="E69" s="358">
        <v>0</v>
      </c>
      <c r="F69" s="358">
        <v>0</v>
      </c>
      <c r="G69" s="358">
        <v>0</v>
      </c>
      <c r="H69" s="358">
        <v>0</v>
      </c>
    </row>
    <row r="70" spans="1:8" x14ac:dyDescent="0.25">
      <c r="A70" s="128" t="s">
        <v>741</v>
      </c>
      <c r="B70" s="426" t="s">
        <v>743</v>
      </c>
      <c r="C70" s="357">
        <f>SUM(D70+E70+F70+G70+H70)</f>
        <v>1358480</v>
      </c>
      <c r="D70" s="357">
        <f>D71</f>
        <v>605</v>
      </c>
      <c r="E70" s="357">
        <f>E71</f>
        <v>0</v>
      </c>
      <c r="F70" s="357">
        <f>F71</f>
        <v>1357875</v>
      </c>
      <c r="G70" s="357">
        <f>G71</f>
        <v>0</v>
      </c>
      <c r="H70" s="357">
        <f>H71</f>
        <v>0</v>
      </c>
    </row>
    <row r="71" spans="1:8" ht="45" x14ac:dyDescent="0.25">
      <c r="A71" s="351" t="s">
        <v>742</v>
      </c>
      <c r="B71" s="400" t="s">
        <v>748</v>
      </c>
      <c r="C71" s="359">
        <f>SUM(D71+E71+F71+G71+H71)</f>
        <v>1358480</v>
      </c>
      <c r="D71" s="358">
        <v>605</v>
      </c>
      <c r="E71" s="358">
        <v>0</v>
      </c>
      <c r="F71" s="358">
        <v>1357875</v>
      </c>
      <c r="G71" s="358">
        <v>0</v>
      </c>
      <c r="H71" s="358">
        <v>0</v>
      </c>
    </row>
    <row r="72" spans="1:8" x14ac:dyDescent="0.25">
      <c r="A72" s="90" t="s">
        <v>403</v>
      </c>
      <c r="B72" s="84" t="s">
        <v>409</v>
      </c>
      <c r="C72" s="357">
        <f>SUM(D72+E72+F72+G72+H72)</f>
        <v>316916</v>
      </c>
      <c r="D72" s="357">
        <f>D73+D74+D75</f>
        <v>125311</v>
      </c>
      <c r="E72" s="357">
        <f>E73+E74+E75</f>
        <v>0</v>
      </c>
      <c r="F72" s="357">
        <f>F73+F74+F75</f>
        <v>173242</v>
      </c>
      <c r="G72" s="357">
        <f>G73+G74+G75</f>
        <v>0</v>
      </c>
      <c r="H72" s="357">
        <f>H73+H74+H75</f>
        <v>18363</v>
      </c>
    </row>
    <row r="73" spans="1:8" ht="60" x14ac:dyDescent="0.25">
      <c r="A73" s="351" t="s">
        <v>404</v>
      </c>
      <c r="B73" s="400" t="s">
        <v>653</v>
      </c>
      <c r="C73" s="359">
        <f>SUM(D73+E73+F73+G73+H73)</f>
        <v>316916</v>
      </c>
      <c r="D73" s="358">
        <f>40000+85311</f>
        <v>125311</v>
      </c>
      <c r="E73" s="358">
        <v>0</v>
      </c>
      <c r="F73" s="358">
        <v>173242</v>
      </c>
      <c r="G73" s="358">
        <v>0</v>
      </c>
      <c r="H73" s="358">
        <v>18363</v>
      </c>
    </row>
    <row r="74" spans="1:8" hidden="1" x14ac:dyDescent="0.25">
      <c r="A74" s="355"/>
      <c r="B74" s="414"/>
      <c r="C74" s="394">
        <f t="shared" si="0"/>
        <v>0</v>
      </c>
      <c r="D74" s="99"/>
      <c r="E74" s="99"/>
      <c r="F74" s="99"/>
      <c r="G74" s="99"/>
      <c r="H74" s="99"/>
    </row>
    <row r="75" spans="1:8" hidden="1" x14ac:dyDescent="0.25">
      <c r="A75" s="395"/>
      <c r="B75" s="122"/>
      <c r="C75" s="394">
        <f t="shared" si="0"/>
        <v>0</v>
      </c>
      <c r="D75" s="127"/>
      <c r="E75" s="127"/>
      <c r="F75" s="127"/>
      <c r="G75" s="127"/>
      <c r="H75" s="127"/>
    </row>
    <row r="76" spans="1:8" s="17" customFormat="1" x14ac:dyDescent="0.25">
      <c r="A76" s="80" t="s">
        <v>33</v>
      </c>
      <c r="B76" s="81" t="s">
        <v>167</v>
      </c>
      <c r="C76" s="82">
        <f t="shared" si="0"/>
        <v>4588978</v>
      </c>
      <c r="D76" s="82">
        <f>SUM(D77+D79+D82)</f>
        <v>3893466</v>
      </c>
      <c r="E76" s="82">
        <f>SUM(E77+E79+E82)</f>
        <v>109000</v>
      </c>
      <c r="F76" s="82">
        <f>SUM(F77+F79+F82)</f>
        <v>320357</v>
      </c>
      <c r="G76" s="82">
        <f>SUM(G77+G79+G82)</f>
        <v>0</v>
      </c>
      <c r="H76" s="82">
        <f>SUM(H77+H79+H82)</f>
        <v>266155</v>
      </c>
    </row>
    <row r="77" spans="1:8" s="17" customFormat="1" ht="15.75" customHeight="1" x14ac:dyDescent="0.25">
      <c r="A77" s="128" t="s">
        <v>725</v>
      </c>
      <c r="B77" s="91" t="s">
        <v>726</v>
      </c>
      <c r="C77" s="357">
        <f t="shared" si="0"/>
        <v>673334</v>
      </c>
      <c r="D77" s="376">
        <f>D78</f>
        <v>673334</v>
      </c>
      <c r="E77" s="376">
        <f>E78</f>
        <v>0</v>
      </c>
      <c r="F77" s="376">
        <f>F78</f>
        <v>0</v>
      </c>
      <c r="G77" s="376">
        <f>G78</f>
        <v>0</v>
      </c>
      <c r="H77" s="376">
        <f>H78</f>
        <v>0</v>
      </c>
    </row>
    <row r="78" spans="1:8" s="17" customFormat="1" ht="15.75" customHeight="1" x14ac:dyDescent="0.25">
      <c r="A78" s="351" t="s">
        <v>265</v>
      </c>
      <c r="B78" s="400" t="s">
        <v>282</v>
      </c>
      <c r="C78" s="359">
        <f>SUM(D78+E78+F78+G78+H78)</f>
        <v>673334</v>
      </c>
      <c r="D78" s="360">
        <v>673334</v>
      </c>
      <c r="E78" s="358">
        <v>0</v>
      </c>
      <c r="F78" s="358">
        <v>0</v>
      </c>
      <c r="G78" s="358">
        <v>0</v>
      </c>
      <c r="H78" s="358">
        <v>0</v>
      </c>
    </row>
    <row r="79" spans="1:8" x14ac:dyDescent="0.25">
      <c r="A79" s="128" t="s">
        <v>727</v>
      </c>
      <c r="B79" s="91" t="s">
        <v>49</v>
      </c>
      <c r="C79" s="357">
        <f t="shared" si="0"/>
        <v>975191</v>
      </c>
      <c r="D79" s="357">
        <f>D80+D81</f>
        <v>654834</v>
      </c>
      <c r="E79" s="357">
        <f>E80+E81</f>
        <v>0</v>
      </c>
      <c r="F79" s="357">
        <f>F80+F81</f>
        <v>320357</v>
      </c>
      <c r="G79" s="357">
        <f>G80+G81</f>
        <v>0</v>
      </c>
      <c r="H79" s="357">
        <f>H80+H81</f>
        <v>0</v>
      </c>
    </row>
    <row r="80" spans="1:8" x14ac:dyDescent="0.25">
      <c r="A80" s="351" t="s">
        <v>307</v>
      </c>
      <c r="B80" s="400" t="s">
        <v>49</v>
      </c>
      <c r="C80" s="359">
        <f>SUM(D80+E80+F80+G80+H80)</f>
        <v>654834</v>
      </c>
      <c r="D80" s="358">
        <v>654834</v>
      </c>
      <c r="E80" s="358">
        <v>0</v>
      </c>
      <c r="F80" s="358">
        <v>0</v>
      </c>
      <c r="G80" s="358">
        <v>0</v>
      </c>
      <c r="H80" s="358">
        <v>0</v>
      </c>
    </row>
    <row r="81" spans="1:8" ht="45" x14ac:dyDescent="0.25">
      <c r="A81" s="351" t="s">
        <v>744</v>
      </c>
      <c r="B81" s="400" t="s">
        <v>749</v>
      </c>
      <c r="C81" s="359">
        <f>SUM(D81+E81+F81+G81+H81)</f>
        <v>320357</v>
      </c>
      <c r="D81" s="358">
        <v>0</v>
      </c>
      <c r="E81" s="358">
        <v>0</v>
      </c>
      <c r="F81" s="358">
        <v>320357</v>
      </c>
      <c r="G81" s="358">
        <v>0</v>
      </c>
      <c r="H81" s="358">
        <v>0</v>
      </c>
    </row>
    <row r="82" spans="1:8" ht="28.5" x14ac:dyDescent="0.25">
      <c r="A82" s="128" t="s">
        <v>50</v>
      </c>
      <c r="B82" s="91" t="s">
        <v>728</v>
      </c>
      <c r="C82" s="357">
        <f t="shared" si="0"/>
        <v>2940453</v>
      </c>
      <c r="D82" s="357">
        <f>SUM(D83:D89)</f>
        <v>2565298</v>
      </c>
      <c r="E82" s="357">
        <f>SUM(E83:E89)</f>
        <v>109000</v>
      </c>
      <c r="F82" s="357">
        <f>SUM(F83:F89)</f>
        <v>0</v>
      </c>
      <c r="G82" s="357">
        <f>SUM(G83:G89)</f>
        <v>0</v>
      </c>
      <c r="H82" s="357">
        <f>SUM(H83:H89)</f>
        <v>266155</v>
      </c>
    </row>
    <row r="83" spans="1:8" s="3" customFormat="1" x14ac:dyDescent="0.25">
      <c r="A83" s="351" t="s">
        <v>72</v>
      </c>
      <c r="B83" s="400" t="s">
        <v>420</v>
      </c>
      <c r="C83" s="359">
        <f t="shared" si="0"/>
        <v>904177</v>
      </c>
      <c r="D83" s="358">
        <v>795069</v>
      </c>
      <c r="E83" s="358">
        <v>109000</v>
      </c>
      <c r="F83" s="358">
        <v>0</v>
      </c>
      <c r="G83" s="358">
        <v>0</v>
      </c>
      <c r="H83" s="98">
        <v>108</v>
      </c>
    </row>
    <row r="84" spans="1:8" s="3" customFormat="1" ht="30.75" customHeight="1" x14ac:dyDescent="0.25">
      <c r="A84" s="351" t="s">
        <v>73</v>
      </c>
      <c r="B84" s="400" t="s">
        <v>95</v>
      </c>
      <c r="C84" s="359">
        <f t="shared" si="0"/>
        <v>1449971</v>
      </c>
      <c r="D84" s="358">
        <v>1449971</v>
      </c>
      <c r="E84" s="358">
        <v>0</v>
      </c>
      <c r="F84" s="358">
        <v>0</v>
      </c>
      <c r="G84" s="358">
        <v>0</v>
      </c>
      <c r="H84" s="358">
        <v>0</v>
      </c>
    </row>
    <row r="85" spans="1:8" s="3" customFormat="1" x14ac:dyDescent="0.25">
      <c r="A85" s="351" t="s">
        <v>77</v>
      </c>
      <c r="B85" s="400" t="s">
        <v>750</v>
      </c>
      <c r="C85" s="359">
        <f t="shared" si="0"/>
        <v>250546</v>
      </c>
      <c r="D85" s="358">
        <v>0</v>
      </c>
      <c r="E85" s="358">
        <v>0</v>
      </c>
      <c r="F85" s="358">
        <v>0</v>
      </c>
      <c r="G85" s="358">
        <v>0</v>
      </c>
      <c r="H85" s="358">
        <v>250546</v>
      </c>
    </row>
    <row r="86" spans="1:8" s="3" customFormat="1" ht="30" x14ac:dyDescent="0.25">
      <c r="A86" s="351" t="s">
        <v>83</v>
      </c>
      <c r="B86" s="400" t="s">
        <v>135</v>
      </c>
      <c r="C86" s="359">
        <f t="shared" si="0"/>
        <v>293150</v>
      </c>
      <c r="D86" s="358">
        <v>285758</v>
      </c>
      <c r="E86" s="358">
        <v>0</v>
      </c>
      <c r="F86" s="358">
        <v>0</v>
      </c>
      <c r="G86" s="358">
        <v>0</v>
      </c>
      <c r="H86" s="98">
        <v>7392</v>
      </c>
    </row>
    <row r="87" spans="1:8" s="3" customFormat="1" ht="30" x14ac:dyDescent="0.25">
      <c r="A87" s="351" t="s">
        <v>258</v>
      </c>
      <c r="B87" s="400" t="s">
        <v>266</v>
      </c>
      <c r="C87" s="359">
        <f t="shared" si="0"/>
        <v>19500</v>
      </c>
      <c r="D87" s="358">
        <v>19500</v>
      </c>
      <c r="E87" s="358">
        <v>0</v>
      </c>
      <c r="F87" s="358">
        <v>0</v>
      </c>
      <c r="G87" s="358">
        <v>0</v>
      </c>
      <c r="H87" s="358">
        <v>0</v>
      </c>
    </row>
    <row r="88" spans="1:8" s="3" customFormat="1" ht="45" x14ac:dyDescent="0.25">
      <c r="A88" s="351" t="s">
        <v>400</v>
      </c>
      <c r="B88" s="400" t="s">
        <v>410</v>
      </c>
      <c r="C88" s="359">
        <f t="shared" si="0"/>
        <v>15000</v>
      </c>
      <c r="D88" s="358">
        <v>15000</v>
      </c>
      <c r="E88" s="358">
        <v>0</v>
      </c>
      <c r="F88" s="358">
        <v>0</v>
      </c>
      <c r="G88" s="358">
        <v>0</v>
      </c>
      <c r="H88" s="358">
        <v>0</v>
      </c>
    </row>
    <row r="89" spans="1:8" s="3" customFormat="1" ht="45" x14ac:dyDescent="0.25">
      <c r="A89" s="351" t="s">
        <v>413</v>
      </c>
      <c r="B89" s="400" t="s">
        <v>654</v>
      </c>
      <c r="C89" s="359">
        <f t="shared" si="0"/>
        <v>8109</v>
      </c>
      <c r="D89" s="358">
        <v>0</v>
      </c>
      <c r="E89" s="358">
        <v>0</v>
      </c>
      <c r="F89" s="358">
        <v>0</v>
      </c>
      <c r="G89" s="358">
        <v>0</v>
      </c>
      <c r="H89" s="98">
        <v>8109</v>
      </c>
    </row>
    <row r="90" spans="1:8" s="3" customFormat="1" x14ac:dyDescent="0.25">
      <c r="A90" s="80" t="s">
        <v>151</v>
      </c>
      <c r="B90" s="81" t="s">
        <v>152</v>
      </c>
      <c r="C90" s="82">
        <f t="shared" ref="C90:H90" si="3">C91+C92+C93+C94+C95+C96</f>
        <v>356967</v>
      </c>
      <c r="D90" s="82">
        <f t="shared" si="3"/>
        <v>134550</v>
      </c>
      <c r="E90" s="82">
        <f t="shared" si="3"/>
        <v>0</v>
      </c>
      <c r="F90" s="82">
        <f t="shared" si="3"/>
        <v>95000</v>
      </c>
      <c r="G90" s="82">
        <f t="shared" si="3"/>
        <v>0</v>
      </c>
      <c r="H90" s="82">
        <f t="shared" si="3"/>
        <v>127417</v>
      </c>
    </row>
    <row r="91" spans="1:8" s="3" customFormat="1" x14ac:dyDescent="0.25">
      <c r="A91" s="349" t="s">
        <v>173</v>
      </c>
      <c r="B91" s="399" t="s">
        <v>174</v>
      </c>
      <c r="C91" s="359">
        <f t="shared" si="0"/>
        <v>64900</v>
      </c>
      <c r="D91" s="98">
        <v>64900</v>
      </c>
      <c r="E91" s="358">
        <v>0</v>
      </c>
      <c r="F91" s="358">
        <v>0</v>
      </c>
      <c r="G91" s="358">
        <v>0</v>
      </c>
      <c r="H91" s="358">
        <v>0</v>
      </c>
    </row>
    <row r="92" spans="1:8" s="3" customFormat="1" ht="30" x14ac:dyDescent="0.25">
      <c r="A92" s="349" t="s">
        <v>175</v>
      </c>
      <c r="B92" s="399" t="s">
        <v>176</v>
      </c>
      <c r="C92" s="359">
        <f t="shared" si="0"/>
        <v>12400</v>
      </c>
      <c r="D92" s="98">
        <v>12400</v>
      </c>
      <c r="E92" s="358">
        <v>0</v>
      </c>
      <c r="F92" s="358">
        <v>0</v>
      </c>
      <c r="G92" s="358">
        <v>0</v>
      </c>
      <c r="H92" s="358">
        <v>0</v>
      </c>
    </row>
    <row r="93" spans="1:8" s="3" customFormat="1" x14ac:dyDescent="0.25">
      <c r="A93" s="349" t="s">
        <v>177</v>
      </c>
      <c r="B93" s="399" t="s">
        <v>178</v>
      </c>
      <c r="C93" s="359">
        <f t="shared" si="0"/>
        <v>37500</v>
      </c>
      <c r="D93" s="98">
        <v>37500</v>
      </c>
      <c r="E93" s="358">
        <v>0</v>
      </c>
      <c r="F93" s="358">
        <v>0</v>
      </c>
      <c r="G93" s="358">
        <v>0</v>
      </c>
      <c r="H93" s="358">
        <v>0</v>
      </c>
    </row>
    <row r="94" spans="1:8" s="3" customFormat="1" x14ac:dyDescent="0.25">
      <c r="A94" s="349" t="s">
        <v>158</v>
      </c>
      <c r="B94" s="399" t="s">
        <v>267</v>
      </c>
      <c r="C94" s="359">
        <f t="shared" si="0"/>
        <v>4750</v>
      </c>
      <c r="D94" s="98">
        <v>4750</v>
      </c>
      <c r="E94" s="358">
        <v>0</v>
      </c>
      <c r="F94" s="358">
        <v>0</v>
      </c>
      <c r="G94" s="358">
        <v>0</v>
      </c>
      <c r="H94" s="358">
        <v>0</v>
      </c>
    </row>
    <row r="95" spans="1:8" s="3" customFormat="1" ht="45" x14ac:dyDescent="0.25">
      <c r="A95" s="351" t="s">
        <v>405</v>
      </c>
      <c r="B95" s="400" t="s">
        <v>655</v>
      </c>
      <c r="C95" s="359">
        <f t="shared" si="0"/>
        <v>224745</v>
      </c>
      <c r="D95" s="358">
        <v>15000</v>
      </c>
      <c r="E95" s="358">
        <v>0</v>
      </c>
      <c r="F95" s="358">
        <v>95000</v>
      </c>
      <c r="G95" s="358">
        <v>0</v>
      </c>
      <c r="H95" s="358">
        <v>114745</v>
      </c>
    </row>
    <row r="96" spans="1:8" s="3" customFormat="1" ht="30" x14ac:dyDescent="0.25">
      <c r="A96" s="349" t="s">
        <v>656</v>
      </c>
      <c r="B96" s="399" t="s">
        <v>657</v>
      </c>
      <c r="C96" s="359">
        <f t="shared" si="0"/>
        <v>12672</v>
      </c>
      <c r="D96" s="358">
        <v>0</v>
      </c>
      <c r="E96" s="358">
        <v>0</v>
      </c>
      <c r="F96" s="358">
        <v>0</v>
      </c>
      <c r="G96" s="358">
        <v>0</v>
      </c>
      <c r="H96" s="358">
        <v>12672</v>
      </c>
    </row>
    <row r="97" spans="1:8" s="17" customFormat="1" x14ac:dyDescent="0.25">
      <c r="A97" s="80" t="s">
        <v>34</v>
      </c>
      <c r="B97" s="81" t="s">
        <v>14</v>
      </c>
      <c r="C97" s="82">
        <f t="shared" si="0"/>
        <v>7696520</v>
      </c>
      <c r="D97" s="82">
        <f>SUM(D98+D105+D123+D125)</f>
        <v>6668857</v>
      </c>
      <c r="E97" s="82">
        <f>SUM(E98+E105+E123+E125)</f>
        <v>570488</v>
      </c>
      <c r="F97" s="82">
        <f>SUM(F98+F105+F123+F125)</f>
        <v>115963</v>
      </c>
      <c r="G97" s="82">
        <f>SUM(G98+G105+G123+G125)</f>
        <v>19764</v>
      </c>
      <c r="H97" s="82">
        <f>SUM(H98+H105+H123+H125)</f>
        <v>321448</v>
      </c>
    </row>
    <row r="98" spans="1:8" x14ac:dyDescent="0.25">
      <c r="A98" s="350" t="s">
        <v>53</v>
      </c>
      <c r="B98" s="84" t="s">
        <v>54</v>
      </c>
      <c r="C98" s="93">
        <f>SUM(D98+E98+F98+G98+H98)</f>
        <v>1666738</v>
      </c>
      <c r="D98" s="93">
        <f>SUM(D99+D100+D101+D102+D103+D104)</f>
        <v>1633244</v>
      </c>
      <c r="E98" s="93">
        <f>SUM(E99+E100+E101+E102+E103+E104)</f>
        <v>28148</v>
      </c>
      <c r="F98" s="93">
        <f>SUM(F99+F100+F101+F102+F103+F104)</f>
        <v>0</v>
      </c>
      <c r="G98" s="93">
        <f>SUM(G99+G100+G101+G102+G103+G104)</f>
        <v>0</v>
      </c>
      <c r="H98" s="93">
        <f>SUM(H99+H100+H101+H102+H103+H104)</f>
        <v>5346</v>
      </c>
    </row>
    <row r="99" spans="1:8" s="3" customFormat="1" ht="16.5" customHeight="1" x14ac:dyDescent="0.25">
      <c r="A99" s="351" t="s">
        <v>75</v>
      </c>
      <c r="B99" s="400" t="s">
        <v>421</v>
      </c>
      <c r="C99" s="359">
        <f t="shared" si="0"/>
        <v>532561</v>
      </c>
      <c r="D99" s="358">
        <v>504067</v>
      </c>
      <c r="E99" s="358">
        <v>28148</v>
      </c>
      <c r="F99" s="358">
        <v>0</v>
      </c>
      <c r="G99" s="358">
        <v>0</v>
      </c>
      <c r="H99" s="98">
        <v>346</v>
      </c>
    </row>
    <row r="100" spans="1:8" s="3" customFormat="1" x14ac:dyDescent="0.25">
      <c r="A100" s="351" t="s">
        <v>76</v>
      </c>
      <c r="B100" s="400" t="s">
        <v>136</v>
      </c>
      <c r="C100" s="359">
        <f t="shared" si="0"/>
        <v>836270</v>
      </c>
      <c r="D100" s="358">
        <v>836270</v>
      </c>
      <c r="E100" s="358">
        <v>0</v>
      </c>
      <c r="F100" s="358">
        <v>0</v>
      </c>
      <c r="G100" s="358">
        <v>0</v>
      </c>
      <c r="H100" s="358">
        <v>0</v>
      </c>
    </row>
    <row r="101" spans="1:8" s="3" customFormat="1" x14ac:dyDescent="0.25">
      <c r="A101" s="349" t="s">
        <v>195</v>
      </c>
      <c r="B101" s="399" t="s">
        <v>751</v>
      </c>
      <c r="C101" s="359">
        <f t="shared" si="0"/>
        <v>5000</v>
      </c>
      <c r="D101" s="358">
        <v>0</v>
      </c>
      <c r="E101" s="358">
        <v>0</v>
      </c>
      <c r="F101" s="358">
        <v>0</v>
      </c>
      <c r="G101" s="358">
        <v>0</v>
      </c>
      <c r="H101" s="358">
        <v>5000</v>
      </c>
    </row>
    <row r="102" spans="1:8" s="3" customFormat="1" ht="30" hidden="1" x14ac:dyDescent="0.25">
      <c r="A102" s="355" t="s">
        <v>658</v>
      </c>
      <c r="B102" s="414" t="s">
        <v>721</v>
      </c>
      <c r="C102" s="394">
        <f>SUM(D102+E102+F102+G102+H102)</f>
        <v>0</v>
      </c>
      <c r="D102" s="99"/>
      <c r="E102" s="99"/>
      <c r="F102" s="99"/>
      <c r="G102" s="99"/>
      <c r="H102" s="99"/>
    </row>
    <row r="103" spans="1:8" s="3" customFormat="1" ht="31.5" customHeight="1" x14ac:dyDescent="0.25">
      <c r="A103" s="351" t="s">
        <v>659</v>
      </c>
      <c r="B103" s="400" t="s">
        <v>752</v>
      </c>
      <c r="C103" s="359">
        <f>SUM(D103+E103+F103+G103+H103)</f>
        <v>292907</v>
      </c>
      <c r="D103" s="358">
        <v>292907</v>
      </c>
      <c r="E103" s="358">
        <v>0</v>
      </c>
      <c r="F103" s="358">
        <v>0</v>
      </c>
      <c r="G103" s="358">
        <v>0</v>
      </c>
      <c r="H103" s="358">
        <v>0</v>
      </c>
    </row>
    <row r="104" spans="1:8" s="3" customFormat="1" hidden="1" x14ac:dyDescent="0.25">
      <c r="A104" s="351"/>
      <c r="B104" s="412"/>
      <c r="C104" s="359">
        <f t="shared" si="0"/>
        <v>0</v>
      </c>
      <c r="D104" s="358"/>
      <c r="E104" s="358"/>
      <c r="F104" s="358"/>
      <c r="G104" s="358"/>
      <c r="H104" s="358"/>
    </row>
    <row r="105" spans="1:8" x14ac:dyDescent="0.25">
      <c r="A105" s="350" t="s">
        <v>55</v>
      </c>
      <c r="B105" s="84" t="s">
        <v>56</v>
      </c>
      <c r="C105" s="357">
        <f t="shared" si="0"/>
        <v>5358973</v>
      </c>
      <c r="D105" s="357">
        <f>D106+D110+D112+D115+D119</f>
        <v>4618345</v>
      </c>
      <c r="E105" s="357">
        <f>E106+E110+E112+E115+E119</f>
        <v>542340</v>
      </c>
      <c r="F105" s="357">
        <f>F106+F110+F112+F115+F119</f>
        <v>115963</v>
      </c>
      <c r="G105" s="93">
        <f>G106+G110+G112+G115+G119</f>
        <v>19764</v>
      </c>
      <c r="H105" s="93">
        <f>H106+H110+H112+H115+H119</f>
        <v>62561</v>
      </c>
    </row>
    <row r="106" spans="1:8" x14ac:dyDescent="0.25">
      <c r="A106" s="350" t="s">
        <v>57</v>
      </c>
      <c r="B106" s="91" t="s">
        <v>314</v>
      </c>
      <c r="C106" s="357">
        <f>SUM(D106+E106+F106+G106+H106)</f>
        <v>1104550</v>
      </c>
      <c r="D106" s="357">
        <f>D107+D108+D109</f>
        <v>1011860</v>
      </c>
      <c r="E106" s="357">
        <f>E107+E108+E109</f>
        <v>3000</v>
      </c>
      <c r="F106" s="357">
        <f>F107+F108+F109</f>
        <v>61179</v>
      </c>
      <c r="G106" s="357">
        <f>G107+G108+G109</f>
        <v>19764</v>
      </c>
      <c r="H106" s="357">
        <f>H107+H108+H109</f>
        <v>8747</v>
      </c>
    </row>
    <row r="107" spans="1:8" ht="30" x14ac:dyDescent="0.25">
      <c r="A107" s="349" t="s">
        <v>308</v>
      </c>
      <c r="B107" s="399" t="s">
        <v>422</v>
      </c>
      <c r="C107" s="359">
        <f t="shared" si="0"/>
        <v>897708</v>
      </c>
      <c r="D107" s="358">
        <v>873644</v>
      </c>
      <c r="E107" s="358">
        <v>3000</v>
      </c>
      <c r="F107" s="358">
        <v>0</v>
      </c>
      <c r="G107" s="358">
        <v>19764</v>
      </c>
      <c r="H107" s="358">
        <v>1300</v>
      </c>
    </row>
    <row r="108" spans="1:8" ht="45" x14ac:dyDescent="0.25">
      <c r="A108" s="351" t="s">
        <v>412</v>
      </c>
      <c r="B108" s="400" t="s">
        <v>753</v>
      </c>
      <c r="C108" s="359">
        <f>SUM(D108+E108+F108+G108+H108)</f>
        <v>206842</v>
      </c>
      <c r="D108" s="358">
        <v>138216</v>
      </c>
      <c r="E108" s="358">
        <v>0</v>
      </c>
      <c r="F108" s="358">
        <v>61179</v>
      </c>
      <c r="G108" s="358">
        <v>0</v>
      </c>
      <c r="H108" s="358">
        <v>7447</v>
      </c>
    </row>
    <row r="109" spans="1:8" ht="32.25" hidden="1" customHeight="1" x14ac:dyDescent="0.25">
      <c r="A109" s="351"/>
      <c r="B109" s="412"/>
      <c r="C109" s="359">
        <f t="shared" si="0"/>
        <v>0</v>
      </c>
      <c r="D109" s="358"/>
      <c r="E109" s="358"/>
      <c r="F109" s="358"/>
      <c r="G109" s="358"/>
      <c r="H109" s="358"/>
    </row>
    <row r="110" spans="1:8" x14ac:dyDescent="0.25">
      <c r="A110" s="350" t="s">
        <v>58</v>
      </c>
      <c r="B110" s="84" t="s">
        <v>268</v>
      </c>
      <c r="C110" s="357">
        <f>SUM(D110+E110+F110+G110+H110)</f>
        <v>478718</v>
      </c>
      <c r="D110" s="357">
        <f>D111</f>
        <v>447426</v>
      </c>
      <c r="E110" s="357">
        <f>E111</f>
        <v>10000</v>
      </c>
      <c r="F110" s="357">
        <f>F111</f>
        <v>1400</v>
      </c>
      <c r="G110" s="93">
        <f>G111</f>
        <v>0</v>
      </c>
      <c r="H110" s="93">
        <f>H111</f>
        <v>19892</v>
      </c>
    </row>
    <row r="111" spans="1:8" s="3" customFormat="1" ht="30" x14ac:dyDescent="0.25">
      <c r="A111" s="349" t="s">
        <v>97</v>
      </c>
      <c r="B111" s="399" t="s">
        <v>423</v>
      </c>
      <c r="C111" s="359">
        <f>SUM(D111+E111+F111+G111+H111)</f>
        <v>478718</v>
      </c>
      <c r="D111" s="358">
        <v>447426</v>
      </c>
      <c r="E111" s="358">
        <v>10000</v>
      </c>
      <c r="F111" s="358">
        <v>1400</v>
      </c>
      <c r="G111" s="358">
        <v>0</v>
      </c>
      <c r="H111" s="98">
        <f>19392+500</f>
        <v>19892</v>
      </c>
    </row>
    <row r="112" spans="1:8" x14ac:dyDescent="0.25">
      <c r="A112" s="350" t="s">
        <v>59</v>
      </c>
      <c r="B112" s="84" t="s">
        <v>415</v>
      </c>
      <c r="C112" s="357">
        <f t="shared" si="0"/>
        <v>2084033</v>
      </c>
      <c r="D112" s="357">
        <f>SUM(D113:D114)</f>
        <v>1485772</v>
      </c>
      <c r="E112" s="357">
        <f>SUM(E113:E114)</f>
        <v>529340</v>
      </c>
      <c r="F112" s="357">
        <f>SUM(F113:F114)</f>
        <v>35000</v>
      </c>
      <c r="G112" s="93">
        <f>SUM(G113:G114)</f>
        <v>0</v>
      </c>
      <c r="H112" s="93">
        <f>SUM(H113:H114)</f>
        <v>33921</v>
      </c>
    </row>
    <row r="113" spans="1:8" x14ac:dyDescent="0.25">
      <c r="A113" s="351" t="s">
        <v>200</v>
      </c>
      <c r="B113" s="400" t="s">
        <v>424</v>
      </c>
      <c r="C113" s="359">
        <f t="shared" si="0"/>
        <v>1392493</v>
      </c>
      <c r="D113" s="358">
        <v>1179232</v>
      </c>
      <c r="E113" s="358">
        <v>179340</v>
      </c>
      <c r="F113" s="358">
        <v>0</v>
      </c>
      <c r="G113" s="358">
        <v>0</v>
      </c>
      <c r="H113" s="358">
        <v>33921</v>
      </c>
    </row>
    <row r="114" spans="1:8" x14ac:dyDescent="0.25">
      <c r="A114" s="356" t="s">
        <v>201</v>
      </c>
      <c r="B114" s="399" t="s">
        <v>438</v>
      </c>
      <c r="C114" s="405">
        <f t="shared" si="0"/>
        <v>691540</v>
      </c>
      <c r="D114" s="358">
        <v>306540</v>
      </c>
      <c r="E114" s="358">
        <v>350000</v>
      </c>
      <c r="F114" s="358">
        <v>35000</v>
      </c>
      <c r="G114" s="358">
        <v>0</v>
      </c>
      <c r="H114" s="358">
        <v>0</v>
      </c>
    </row>
    <row r="115" spans="1:8" x14ac:dyDescent="0.25">
      <c r="A115" s="350" t="s">
        <v>60</v>
      </c>
      <c r="B115" s="84" t="s">
        <v>102</v>
      </c>
      <c r="C115" s="357">
        <f t="shared" si="0"/>
        <v>195886</v>
      </c>
      <c r="D115" s="357">
        <f>SUM(D116:D118)</f>
        <v>195885</v>
      </c>
      <c r="E115" s="357">
        <f>SUM(E116:E118)</f>
        <v>0</v>
      </c>
      <c r="F115" s="357">
        <f>SUM(F116:F118)</f>
        <v>0</v>
      </c>
      <c r="G115" s="93">
        <f>SUM(G116:G118)</f>
        <v>0</v>
      </c>
      <c r="H115" s="93">
        <f>SUM(H116:H118)</f>
        <v>1</v>
      </c>
    </row>
    <row r="116" spans="1:8" x14ac:dyDescent="0.25">
      <c r="A116" s="349" t="s">
        <v>193</v>
      </c>
      <c r="B116" s="399" t="s">
        <v>315</v>
      </c>
      <c r="C116" s="359">
        <f t="shared" si="0"/>
        <v>95001</v>
      </c>
      <c r="D116" s="358">
        <v>95000</v>
      </c>
      <c r="E116" s="358">
        <v>0</v>
      </c>
      <c r="F116" s="358">
        <v>0</v>
      </c>
      <c r="G116" s="358">
        <v>0</v>
      </c>
      <c r="H116" s="98">
        <v>1</v>
      </c>
    </row>
    <row r="117" spans="1:8" x14ac:dyDescent="0.25">
      <c r="A117" s="349" t="s">
        <v>259</v>
      </c>
      <c r="B117" s="399" t="s">
        <v>316</v>
      </c>
      <c r="C117" s="359">
        <f t="shared" si="0"/>
        <v>79871</v>
      </c>
      <c r="D117" s="358">
        <v>79871</v>
      </c>
      <c r="E117" s="358">
        <v>0</v>
      </c>
      <c r="F117" s="358">
        <v>0</v>
      </c>
      <c r="G117" s="358">
        <v>0</v>
      </c>
      <c r="H117" s="98">
        <v>0</v>
      </c>
    </row>
    <row r="118" spans="1:8" ht="16.5" customHeight="1" x14ac:dyDescent="0.25">
      <c r="A118" s="349" t="s">
        <v>196</v>
      </c>
      <c r="B118" s="399" t="s">
        <v>197</v>
      </c>
      <c r="C118" s="359">
        <f>SUM(D118+E118+F118+G118+H118)</f>
        <v>21014</v>
      </c>
      <c r="D118" s="358">
        <v>21014</v>
      </c>
      <c r="E118" s="358">
        <v>0</v>
      </c>
      <c r="F118" s="358">
        <v>0</v>
      </c>
      <c r="G118" s="358">
        <v>0</v>
      </c>
      <c r="H118" s="358">
        <v>0</v>
      </c>
    </row>
    <row r="119" spans="1:8" x14ac:dyDescent="0.25">
      <c r="A119" s="350" t="s">
        <v>61</v>
      </c>
      <c r="B119" s="84" t="s">
        <v>138</v>
      </c>
      <c r="C119" s="357">
        <f t="shared" ref="C119:C208" si="4">SUM(D119+E119+F119+G119+H119)</f>
        <v>1495786</v>
      </c>
      <c r="D119" s="357">
        <f>SUM(D120:D122)</f>
        <v>1477402</v>
      </c>
      <c r="E119" s="357">
        <f>SUM(E120:E122)</f>
        <v>0</v>
      </c>
      <c r="F119" s="357">
        <f>SUM(F120:F122)</f>
        <v>18384</v>
      </c>
      <c r="G119" s="93">
        <f>SUM(G120:G122)</f>
        <v>0</v>
      </c>
      <c r="H119" s="93">
        <f>SUM(H120:H122)</f>
        <v>0</v>
      </c>
    </row>
    <row r="120" spans="1:8" s="3" customFormat="1" ht="16.5" customHeight="1" x14ac:dyDescent="0.25">
      <c r="A120" s="349" t="s">
        <v>84</v>
      </c>
      <c r="B120" s="399" t="s">
        <v>320</v>
      </c>
      <c r="C120" s="359">
        <f t="shared" si="4"/>
        <v>394320</v>
      </c>
      <c r="D120" s="358">
        <v>375936</v>
      </c>
      <c r="E120" s="358">
        <v>0</v>
      </c>
      <c r="F120" s="358">
        <v>18384</v>
      </c>
      <c r="G120" s="358">
        <v>0</v>
      </c>
      <c r="H120" s="358">
        <v>0</v>
      </c>
    </row>
    <row r="121" spans="1:8" s="3" customFormat="1" x14ac:dyDescent="0.25">
      <c r="A121" s="349" t="s">
        <v>85</v>
      </c>
      <c r="B121" s="399" t="s">
        <v>137</v>
      </c>
      <c r="C121" s="359">
        <f t="shared" si="4"/>
        <v>515490</v>
      </c>
      <c r="D121" s="358">
        <v>515490</v>
      </c>
      <c r="E121" s="358">
        <v>0</v>
      </c>
      <c r="F121" s="358">
        <v>0</v>
      </c>
      <c r="G121" s="358">
        <v>0</v>
      </c>
      <c r="H121" s="358">
        <v>0</v>
      </c>
    </row>
    <row r="122" spans="1:8" s="3" customFormat="1" ht="30.75" customHeight="1" x14ac:dyDescent="0.25">
      <c r="A122" s="351" t="s">
        <v>406</v>
      </c>
      <c r="B122" s="400" t="s">
        <v>578</v>
      </c>
      <c r="C122" s="359">
        <f t="shared" si="4"/>
        <v>585976</v>
      </c>
      <c r="D122" s="358">
        <v>585976</v>
      </c>
      <c r="E122" s="358">
        <v>0</v>
      </c>
      <c r="F122" s="358">
        <v>0</v>
      </c>
      <c r="G122" s="358">
        <v>0</v>
      </c>
      <c r="H122" s="358">
        <v>0</v>
      </c>
    </row>
    <row r="123" spans="1:8" x14ac:dyDescent="0.25">
      <c r="A123" s="350" t="s">
        <v>729</v>
      </c>
      <c r="B123" s="84" t="s">
        <v>730</v>
      </c>
      <c r="C123" s="357">
        <f>SUM(D123+E123+F123+G123+H123)</f>
        <v>394918</v>
      </c>
      <c r="D123" s="357">
        <f>D124</f>
        <v>394918</v>
      </c>
      <c r="E123" s="357">
        <f>E124</f>
        <v>0</v>
      </c>
      <c r="F123" s="357">
        <f>F124</f>
        <v>0</v>
      </c>
      <c r="G123" s="357">
        <f>G124</f>
        <v>0</v>
      </c>
      <c r="H123" s="357">
        <f>H124</f>
        <v>0</v>
      </c>
    </row>
    <row r="124" spans="1:8" x14ac:dyDescent="0.25">
      <c r="A124" s="349" t="s">
        <v>309</v>
      </c>
      <c r="B124" s="399" t="s">
        <v>425</v>
      </c>
      <c r="C124" s="359">
        <f>SUM(D124+E124+F124+G124+H124)</f>
        <v>394918</v>
      </c>
      <c r="D124" s="358">
        <v>394918</v>
      </c>
      <c r="E124" s="358">
        <v>0</v>
      </c>
      <c r="F124" s="358">
        <v>0</v>
      </c>
      <c r="G124" s="358">
        <v>0</v>
      </c>
      <c r="H124" s="358">
        <v>0</v>
      </c>
    </row>
    <row r="125" spans="1:8" ht="28.5" x14ac:dyDescent="0.25">
      <c r="A125" s="350" t="s">
        <v>62</v>
      </c>
      <c r="B125" s="84" t="s">
        <v>205</v>
      </c>
      <c r="C125" s="357">
        <f t="shared" si="4"/>
        <v>275891</v>
      </c>
      <c r="D125" s="357">
        <f>SUM(D126:D129)</f>
        <v>22350</v>
      </c>
      <c r="E125" s="357">
        <f>SUM(E126:E129)</f>
        <v>0</v>
      </c>
      <c r="F125" s="357">
        <f>SUM(F126:F129)</f>
        <v>0</v>
      </c>
      <c r="G125" s="93">
        <f>SUM(G126:G129)</f>
        <v>0</v>
      </c>
      <c r="H125" s="93">
        <f>SUM(H126:H129)</f>
        <v>253541</v>
      </c>
    </row>
    <row r="126" spans="1:8" x14ac:dyDescent="0.25">
      <c r="A126" s="349" t="s">
        <v>198</v>
      </c>
      <c r="B126" s="399" t="s">
        <v>251</v>
      </c>
      <c r="C126" s="359">
        <f t="shared" si="4"/>
        <v>151700</v>
      </c>
      <c r="D126" s="358">
        <v>0</v>
      </c>
      <c r="E126" s="358">
        <v>0</v>
      </c>
      <c r="F126" s="358">
        <v>0</v>
      </c>
      <c r="G126" s="358">
        <v>0</v>
      </c>
      <c r="H126" s="358">
        <v>151700</v>
      </c>
    </row>
    <row r="127" spans="1:8" x14ac:dyDescent="0.25">
      <c r="A127" s="349" t="s">
        <v>199</v>
      </c>
      <c r="B127" s="399" t="s">
        <v>203</v>
      </c>
      <c r="C127" s="359">
        <f t="shared" si="4"/>
        <v>22350</v>
      </c>
      <c r="D127" s="358">
        <v>22350</v>
      </c>
      <c r="E127" s="358">
        <v>0</v>
      </c>
      <c r="F127" s="358">
        <v>0</v>
      </c>
      <c r="G127" s="358">
        <v>0</v>
      </c>
      <c r="H127" s="358">
        <v>0</v>
      </c>
    </row>
    <row r="128" spans="1:8" ht="19.5" customHeight="1" x14ac:dyDescent="0.25">
      <c r="A128" s="349" t="s">
        <v>202</v>
      </c>
      <c r="B128" s="399" t="s">
        <v>754</v>
      </c>
      <c r="C128" s="359">
        <f t="shared" si="4"/>
        <v>4300</v>
      </c>
      <c r="D128" s="358">
        <v>0</v>
      </c>
      <c r="E128" s="358">
        <v>0</v>
      </c>
      <c r="F128" s="358">
        <v>0</v>
      </c>
      <c r="G128" s="358">
        <v>0</v>
      </c>
      <c r="H128" s="358">
        <v>4300</v>
      </c>
    </row>
    <row r="129" spans="1:8" x14ac:dyDescent="0.25">
      <c r="A129" s="351" t="s">
        <v>204</v>
      </c>
      <c r="B129" s="400" t="s">
        <v>773</v>
      </c>
      <c r="C129" s="359">
        <f t="shared" si="4"/>
        <v>97541</v>
      </c>
      <c r="D129" s="360">
        <v>0</v>
      </c>
      <c r="E129" s="358">
        <v>0</v>
      </c>
      <c r="F129" s="358">
        <v>0</v>
      </c>
      <c r="G129" s="358">
        <v>0</v>
      </c>
      <c r="H129" s="358">
        <v>97541</v>
      </c>
    </row>
    <row r="130" spans="1:8" s="17" customFormat="1" x14ac:dyDescent="0.25">
      <c r="A130" s="80" t="s">
        <v>35</v>
      </c>
      <c r="B130" s="81" t="s">
        <v>15</v>
      </c>
      <c r="C130" s="82">
        <f t="shared" si="4"/>
        <v>40353366</v>
      </c>
      <c r="D130" s="82">
        <f>SUM(D131+D137+D149+D156+D161+D164)</f>
        <v>22084497</v>
      </c>
      <c r="E130" s="82">
        <f>SUM(E131+E137+E149+E156+E161+E164)</f>
        <v>778272</v>
      </c>
      <c r="F130" s="82">
        <f>SUM(F131+F137+F149+F156+F161+F164)</f>
        <v>14868212</v>
      </c>
      <c r="G130" s="82">
        <f>SUM(G131+G137+G149+G156+G161+G164)</f>
        <v>0</v>
      </c>
      <c r="H130" s="82">
        <f>SUM(H131+H137+H149+H156+H161+H164)</f>
        <v>2622385</v>
      </c>
    </row>
    <row r="131" spans="1:8" x14ac:dyDescent="0.25">
      <c r="A131" s="128" t="s">
        <v>100</v>
      </c>
      <c r="B131" s="91" t="s">
        <v>731</v>
      </c>
      <c r="C131" s="357">
        <f t="shared" si="4"/>
        <v>8498355</v>
      </c>
      <c r="D131" s="357">
        <f>SUM(D132:D136)</f>
        <v>7335354</v>
      </c>
      <c r="E131" s="357">
        <f>SUM(E132:E136)</f>
        <v>145750</v>
      </c>
      <c r="F131" s="357">
        <f>SUM(F132:F136)</f>
        <v>1009091</v>
      </c>
      <c r="G131" s="357">
        <f>SUM(G132:G136)</f>
        <v>0</v>
      </c>
      <c r="H131" s="93">
        <f>SUM(H132:H136)</f>
        <v>8160</v>
      </c>
    </row>
    <row r="132" spans="1:8" s="3" customFormat="1" x14ac:dyDescent="0.25">
      <c r="A132" s="351" t="s">
        <v>179</v>
      </c>
      <c r="B132" s="400" t="s">
        <v>426</v>
      </c>
      <c r="C132" s="359">
        <f t="shared" si="4"/>
        <v>7663797</v>
      </c>
      <c r="D132" s="358">
        <v>6855788</v>
      </c>
      <c r="E132" s="358">
        <v>145750</v>
      </c>
      <c r="F132" s="358">
        <v>654099</v>
      </c>
      <c r="G132" s="358">
        <v>0</v>
      </c>
      <c r="H132" s="358">
        <f>1335+6825</f>
        <v>8160</v>
      </c>
    </row>
    <row r="133" spans="1:8" s="3" customFormat="1" ht="45" x14ac:dyDescent="0.25">
      <c r="A133" s="349" t="s">
        <v>660</v>
      </c>
      <c r="B133" s="94" t="s">
        <v>661</v>
      </c>
      <c r="C133" s="359">
        <f>SUM(D133+E133+F133+G133+H133)</f>
        <v>834558</v>
      </c>
      <c r="D133" s="358">
        <v>479566</v>
      </c>
      <c r="E133" s="358">
        <v>0</v>
      </c>
      <c r="F133" s="358">
        <v>354992</v>
      </c>
      <c r="G133" s="358">
        <v>0</v>
      </c>
      <c r="H133" s="358">
        <v>0</v>
      </c>
    </row>
    <row r="134" spans="1:8" s="3" customFormat="1" hidden="1" x14ac:dyDescent="0.25">
      <c r="A134" s="416"/>
      <c r="B134" s="414"/>
      <c r="C134" s="364">
        <f t="shared" si="4"/>
        <v>0</v>
      </c>
      <c r="D134" s="361"/>
      <c r="E134" s="361"/>
      <c r="F134" s="361"/>
      <c r="G134" s="361"/>
      <c r="H134" s="361"/>
    </row>
    <row r="135" spans="1:8" s="3" customFormat="1" hidden="1" x14ac:dyDescent="0.25">
      <c r="A135" s="416"/>
      <c r="B135" s="414"/>
      <c r="C135" s="364">
        <f t="shared" si="4"/>
        <v>0</v>
      </c>
      <c r="D135" s="361"/>
      <c r="E135" s="361"/>
      <c r="F135" s="361"/>
      <c r="G135" s="361"/>
      <c r="H135" s="361"/>
    </row>
    <row r="136" spans="1:8" s="3" customFormat="1" hidden="1" x14ac:dyDescent="0.25">
      <c r="A136" s="416"/>
      <c r="B136" s="414"/>
      <c r="C136" s="364">
        <f t="shared" si="4"/>
        <v>0</v>
      </c>
      <c r="D136" s="361"/>
      <c r="E136" s="361"/>
      <c r="F136" s="361"/>
      <c r="G136" s="361"/>
      <c r="H136" s="361"/>
    </row>
    <row r="137" spans="1:8" x14ac:dyDescent="0.25">
      <c r="A137" s="128" t="s">
        <v>103</v>
      </c>
      <c r="B137" s="91" t="s">
        <v>104</v>
      </c>
      <c r="C137" s="357">
        <f t="shared" si="4"/>
        <v>23930309</v>
      </c>
      <c r="D137" s="357">
        <f>SUM(D138+D145)</f>
        <v>8980201</v>
      </c>
      <c r="E137" s="357">
        <f>SUM(E138+E145)</f>
        <v>284657</v>
      </c>
      <c r="F137" s="357">
        <f>SUM(F138+F145)</f>
        <v>12278290</v>
      </c>
      <c r="G137" s="357">
        <f>SUM(G138+G145)</f>
        <v>0</v>
      </c>
      <c r="H137" s="93">
        <f>SUM(H138+H145)</f>
        <v>2387161</v>
      </c>
    </row>
    <row r="138" spans="1:8" x14ac:dyDescent="0.25">
      <c r="A138" s="128" t="s">
        <v>194</v>
      </c>
      <c r="B138" s="91" t="s">
        <v>732</v>
      </c>
      <c r="C138" s="357">
        <f t="shared" ref="C138:C144" si="5">SUM(D138+E138+F138+G138+H138)</f>
        <v>18352423</v>
      </c>
      <c r="D138" s="357">
        <f>SUM(D139:D144)</f>
        <v>6780897</v>
      </c>
      <c r="E138" s="357">
        <f>SUM(E139:E144)</f>
        <v>240227</v>
      </c>
      <c r="F138" s="357">
        <f>SUM(F139:F144)</f>
        <v>9199879</v>
      </c>
      <c r="G138" s="357">
        <f>SUM(G139:G144)</f>
        <v>0</v>
      </c>
      <c r="H138" s="357">
        <f>SUM(H139:H144)</f>
        <v>2131420</v>
      </c>
    </row>
    <row r="139" spans="1:8" ht="30" x14ac:dyDescent="0.25">
      <c r="A139" s="351" t="s">
        <v>269</v>
      </c>
      <c r="B139" s="400" t="s">
        <v>427</v>
      </c>
      <c r="C139" s="359">
        <f t="shared" si="5"/>
        <v>10244425</v>
      </c>
      <c r="D139" s="358">
        <v>4432963</v>
      </c>
      <c r="E139" s="358">
        <v>214579</v>
      </c>
      <c r="F139" s="358">
        <v>5464742</v>
      </c>
      <c r="G139" s="358">
        <v>0</v>
      </c>
      <c r="H139" s="98">
        <f>5645+126496</f>
        <v>132141</v>
      </c>
    </row>
    <row r="140" spans="1:8" ht="30" x14ac:dyDescent="0.25">
      <c r="A140" s="351" t="s">
        <v>270</v>
      </c>
      <c r="B140" s="400" t="s">
        <v>662</v>
      </c>
      <c r="C140" s="359">
        <f t="shared" si="5"/>
        <v>1430557</v>
      </c>
      <c r="D140" s="358">
        <v>73396</v>
      </c>
      <c r="E140" s="358">
        <v>25648</v>
      </c>
      <c r="F140" s="358">
        <v>1305592</v>
      </c>
      <c r="G140" s="358">
        <v>0</v>
      </c>
      <c r="H140" s="98">
        <f>13856+12065</f>
        <v>25921</v>
      </c>
    </row>
    <row r="141" spans="1:8" x14ac:dyDescent="0.25">
      <c r="A141" s="351" t="s">
        <v>262</v>
      </c>
      <c r="B141" s="96" t="s">
        <v>283</v>
      </c>
      <c r="C141" s="359">
        <f t="shared" si="5"/>
        <v>155814</v>
      </c>
      <c r="D141" s="358">
        <v>0</v>
      </c>
      <c r="E141" s="358">
        <v>0</v>
      </c>
      <c r="F141" s="358">
        <v>71711</v>
      </c>
      <c r="G141" s="358">
        <v>0</v>
      </c>
      <c r="H141" s="98">
        <v>84103</v>
      </c>
    </row>
    <row r="142" spans="1:8" s="3" customFormat="1" ht="30" x14ac:dyDescent="0.25">
      <c r="A142" s="351" t="s">
        <v>414</v>
      </c>
      <c r="B142" s="400" t="s">
        <v>596</v>
      </c>
      <c r="C142" s="359">
        <f t="shared" si="5"/>
        <v>5968449</v>
      </c>
      <c r="D142" s="358">
        <v>1826089</v>
      </c>
      <c r="E142" s="358">
        <v>0</v>
      </c>
      <c r="F142" s="358">
        <v>2264751</v>
      </c>
      <c r="G142" s="358">
        <v>0</v>
      </c>
      <c r="H142" s="358">
        <v>1877609</v>
      </c>
    </row>
    <row r="143" spans="1:8" s="3" customFormat="1" ht="60" x14ac:dyDescent="0.25">
      <c r="A143" s="374" t="s">
        <v>663</v>
      </c>
      <c r="B143" s="400" t="s">
        <v>755</v>
      </c>
      <c r="C143" s="359">
        <f t="shared" si="5"/>
        <v>553178</v>
      </c>
      <c r="D143" s="358">
        <f>11255+437194</f>
        <v>448449</v>
      </c>
      <c r="E143" s="358">
        <v>0</v>
      </c>
      <c r="F143" s="358">
        <v>93083</v>
      </c>
      <c r="G143" s="358">
        <v>0</v>
      </c>
      <c r="H143" s="358">
        <v>11646</v>
      </c>
    </row>
    <row r="144" spans="1:8" s="3" customFormat="1" hidden="1" x14ac:dyDescent="0.25">
      <c r="A144" s="355"/>
      <c r="B144" s="422"/>
      <c r="C144" s="394">
        <f t="shared" si="5"/>
        <v>0</v>
      </c>
      <c r="D144" s="99"/>
      <c r="E144" s="99"/>
      <c r="F144" s="99"/>
      <c r="G144" s="99"/>
      <c r="H144" s="99"/>
    </row>
    <row r="145" spans="1:8" x14ac:dyDescent="0.25">
      <c r="A145" s="128" t="s">
        <v>180</v>
      </c>
      <c r="B145" s="91" t="s">
        <v>181</v>
      </c>
      <c r="C145" s="357">
        <f>SUM(D145:H145)</f>
        <v>5577886</v>
      </c>
      <c r="D145" s="357">
        <f>SUM(D146:D148)</f>
        <v>2199304</v>
      </c>
      <c r="E145" s="357">
        <f>SUM(E146:E148)</f>
        <v>44430</v>
      </c>
      <c r="F145" s="357">
        <f>SUM(F146:F148)</f>
        <v>3078411</v>
      </c>
      <c r="G145" s="357">
        <f>SUM(G146:G148)</f>
        <v>0</v>
      </c>
      <c r="H145" s="357">
        <f>SUM(H146:H148)</f>
        <v>255741</v>
      </c>
    </row>
    <row r="146" spans="1:8" s="18" customFormat="1" x14ac:dyDescent="0.25">
      <c r="A146" s="351" t="s">
        <v>272</v>
      </c>
      <c r="B146" s="400" t="s">
        <v>428</v>
      </c>
      <c r="C146" s="359">
        <f t="shared" si="4"/>
        <v>714534</v>
      </c>
      <c r="D146" s="358">
        <v>408096</v>
      </c>
      <c r="E146" s="358">
        <v>16489</v>
      </c>
      <c r="F146" s="358">
        <v>287000</v>
      </c>
      <c r="G146" s="358">
        <v>0</v>
      </c>
      <c r="H146" s="358">
        <f>25+2924</f>
        <v>2949</v>
      </c>
    </row>
    <row r="147" spans="1:8" s="18" customFormat="1" x14ac:dyDescent="0.25">
      <c r="A147" s="351" t="s">
        <v>273</v>
      </c>
      <c r="B147" s="400" t="s">
        <v>271</v>
      </c>
      <c r="C147" s="359">
        <f t="shared" si="4"/>
        <v>777883</v>
      </c>
      <c r="D147" s="358">
        <v>0</v>
      </c>
      <c r="E147" s="358">
        <f>27941</f>
        <v>27941</v>
      </c>
      <c r="F147" s="358">
        <v>555639</v>
      </c>
      <c r="G147" s="358">
        <v>0</v>
      </c>
      <c r="H147" s="358">
        <v>194303</v>
      </c>
    </row>
    <row r="148" spans="1:8" s="18" customFormat="1" ht="45" x14ac:dyDescent="0.25">
      <c r="A148" s="349" t="s">
        <v>664</v>
      </c>
      <c r="B148" s="94" t="s">
        <v>772</v>
      </c>
      <c r="C148" s="359">
        <f t="shared" si="4"/>
        <v>4085469</v>
      </c>
      <c r="D148" s="358">
        <v>1791208</v>
      </c>
      <c r="E148" s="358">
        <v>0</v>
      </c>
      <c r="F148" s="358">
        <v>2235772</v>
      </c>
      <c r="G148" s="358">
        <v>0</v>
      </c>
      <c r="H148" s="358">
        <v>58489</v>
      </c>
    </row>
    <row r="149" spans="1:8" x14ac:dyDescent="0.25">
      <c r="A149" s="128" t="s">
        <v>86</v>
      </c>
      <c r="B149" s="91" t="s">
        <v>105</v>
      </c>
      <c r="C149" s="357">
        <f>SUM(D149+E149+F149+G149+H149)</f>
        <v>5499740</v>
      </c>
      <c r="D149" s="357">
        <f>SUM(D150:D155)</f>
        <v>4188399</v>
      </c>
      <c r="E149" s="357">
        <f>SUM(E150:E155)</f>
        <v>182301</v>
      </c>
      <c r="F149" s="357">
        <f>SUM(F150:F155)</f>
        <v>1099203</v>
      </c>
      <c r="G149" s="357">
        <f>SUM(G150:G155)</f>
        <v>0</v>
      </c>
      <c r="H149" s="357">
        <f>SUM(H150:H155)</f>
        <v>29837</v>
      </c>
    </row>
    <row r="150" spans="1:8" s="3" customFormat="1" ht="33.75" customHeight="1" x14ac:dyDescent="0.25">
      <c r="A150" s="351" t="s">
        <v>88</v>
      </c>
      <c r="B150" s="400" t="s">
        <v>429</v>
      </c>
      <c r="C150" s="359">
        <f t="shared" si="4"/>
        <v>1251866</v>
      </c>
      <c r="D150" s="358">
        <v>821829</v>
      </c>
      <c r="E150" s="358">
        <v>61239</v>
      </c>
      <c r="F150" s="358">
        <v>367789</v>
      </c>
      <c r="G150" s="358">
        <v>0</v>
      </c>
      <c r="H150" s="358">
        <f>166+843</f>
        <v>1009</v>
      </c>
    </row>
    <row r="151" spans="1:8" s="3" customFormat="1" ht="20.25" customHeight="1" x14ac:dyDescent="0.25">
      <c r="A151" s="351" t="s">
        <v>89</v>
      </c>
      <c r="B151" s="400" t="s">
        <v>430</v>
      </c>
      <c r="C151" s="359">
        <f>SUM(D151+E151+F151+G151+H151)</f>
        <v>216222</v>
      </c>
      <c r="D151" s="358">
        <v>139937</v>
      </c>
      <c r="E151" s="358">
        <v>14156</v>
      </c>
      <c r="F151" s="358">
        <v>61344</v>
      </c>
      <c r="G151" s="358">
        <v>0</v>
      </c>
      <c r="H151" s="358">
        <f>308+477</f>
        <v>785</v>
      </c>
    </row>
    <row r="152" spans="1:8" s="3" customFormat="1" x14ac:dyDescent="0.25">
      <c r="A152" s="351" t="s">
        <v>106</v>
      </c>
      <c r="B152" s="400" t="s">
        <v>431</v>
      </c>
      <c r="C152" s="359">
        <f>SUM(D152+E152+F152+G152+H152)</f>
        <v>2273627</v>
      </c>
      <c r="D152" s="358">
        <f>681054+347986+624494</f>
        <v>1653534</v>
      </c>
      <c r="E152" s="358">
        <f>22400+10000+74506</f>
        <v>106906</v>
      </c>
      <c r="F152" s="358">
        <f>253531+68600+169508</f>
        <v>491639</v>
      </c>
      <c r="G152" s="358">
        <v>0</v>
      </c>
      <c r="H152" s="98">
        <f>5338+3461+1476+2475+5123+3675</f>
        <v>21548</v>
      </c>
    </row>
    <row r="153" spans="1:8" s="3" customFormat="1" ht="30" x14ac:dyDescent="0.25">
      <c r="A153" s="351" t="s">
        <v>263</v>
      </c>
      <c r="B153" s="400" t="s">
        <v>284</v>
      </c>
      <c r="C153" s="359">
        <f>SUM(D153+E153+F153+G153+H153)</f>
        <v>6954</v>
      </c>
      <c r="D153" s="358">
        <v>0</v>
      </c>
      <c r="E153" s="358">
        <v>0</v>
      </c>
      <c r="F153" s="358">
        <v>3382</v>
      </c>
      <c r="G153" s="358">
        <v>0</v>
      </c>
      <c r="H153" s="358">
        <v>3572</v>
      </c>
    </row>
    <row r="154" spans="1:8" s="3" customFormat="1" ht="64.5" customHeight="1" x14ac:dyDescent="0.25">
      <c r="A154" s="351" t="s">
        <v>665</v>
      </c>
      <c r="B154" s="96" t="s">
        <v>666</v>
      </c>
      <c r="C154" s="359">
        <f>SUM(D154+E154+F154+G154+H154)</f>
        <v>866395</v>
      </c>
      <c r="D154" s="358">
        <v>866395</v>
      </c>
      <c r="E154" s="358">
        <v>0</v>
      </c>
      <c r="F154" s="358">
        <v>0</v>
      </c>
      <c r="G154" s="358">
        <v>0</v>
      </c>
      <c r="H154" s="358">
        <v>0</v>
      </c>
    </row>
    <row r="155" spans="1:8" s="3" customFormat="1" ht="45" x14ac:dyDescent="0.25">
      <c r="A155" s="351" t="s">
        <v>667</v>
      </c>
      <c r="B155" s="96" t="s">
        <v>668</v>
      </c>
      <c r="C155" s="359">
        <f>SUM(D155+E155+F155+G155+H155)</f>
        <v>884676</v>
      </c>
      <c r="D155" s="358">
        <v>706704</v>
      </c>
      <c r="E155" s="358">
        <v>0</v>
      </c>
      <c r="F155" s="358">
        <v>175049</v>
      </c>
      <c r="G155" s="358">
        <v>0</v>
      </c>
      <c r="H155" s="358">
        <v>2923</v>
      </c>
    </row>
    <row r="156" spans="1:8" s="3" customFormat="1" x14ac:dyDescent="0.25">
      <c r="A156" s="128" t="s">
        <v>182</v>
      </c>
      <c r="B156" s="91" t="s">
        <v>183</v>
      </c>
      <c r="C156" s="357">
        <f t="shared" ref="C156:C163" si="6">SUM(D156+E156+F156+G156+H156)</f>
        <v>1165982</v>
      </c>
      <c r="D156" s="357">
        <f>D157+D158+D159+D160</f>
        <v>815679</v>
      </c>
      <c r="E156" s="357">
        <f>E157+E158+E159+E160</f>
        <v>163124</v>
      </c>
      <c r="F156" s="357">
        <f>F157+F158+F159+F160</f>
        <v>105485</v>
      </c>
      <c r="G156" s="357">
        <f>G157+G158+G159+G160</f>
        <v>0</v>
      </c>
      <c r="H156" s="357">
        <f>H157+H158+H159+H160</f>
        <v>81694</v>
      </c>
    </row>
    <row r="157" spans="1:8" s="3" customFormat="1" ht="30" x14ac:dyDescent="0.25">
      <c r="A157" s="351" t="s">
        <v>184</v>
      </c>
      <c r="B157" s="400" t="s">
        <v>432</v>
      </c>
      <c r="C157" s="359">
        <f t="shared" si="6"/>
        <v>953259</v>
      </c>
      <c r="D157" s="358">
        <v>775622</v>
      </c>
      <c r="E157" s="358">
        <v>148861</v>
      </c>
      <c r="F157" s="358">
        <v>0</v>
      </c>
      <c r="G157" s="358">
        <v>0</v>
      </c>
      <c r="H157" s="358">
        <v>28776</v>
      </c>
    </row>
    <row r="158" spans="1:8" s="3" customFormat="1" ht="30" x14ac:dyDescent="0.25">
      <c r="A158" s="351" t="s">
        <v>185</v>
      </c>
      <c r="B158" s="400" t="s">
        <v>433</v>
      </c>
      <c r="C158" s="359">
        <f t="shared" si="6"/>
        <v>134970</v>
      </c>
      <c r="D158" s="358">
        <v>32057</v>
      </c>
      <c r="E158" s="358">
        <v>14263</v>
      </c>
      <c r="F158" s="358">
        <v>40000</v>
      </c>
      <c r="G158" s="358">
        <v>0</v>
      </c>
      <c r="H158" s="358">
        <v>48650</v>
      </c>
    </row>
    <row r="159" spans="1:8" s="3" customFormat="1" x14ac:dyDescent="0.25">
      <c r="A159" s="351" t="s">
        <v>375</v>
      </c>
      <c r="B159" s="400" t="s">
        <v>671</v>
      </c>
      <c r="C159" s="359">
        <f t="shared" si="6"/>
        <v>77753</v>
      </c>
      <c r="D159" s="358">
        <v>8000</v>
      </c>
      <c r="E159" s="358">
        <v>0</v>
      </c>
      <c r="F159" s="358">
        <v>65485</v>
      </c>
      <c r="G159" s="358">
        <v>0</v>
      </c>
      <c r="H159" s="358">
        <v>4268</v>
      </c>
    </row>
    <row r="160" spans="1:8" s="3" customFormat="1" ht="30" hidden="1" x14ac:dyDescent="0.25">
      <c r="A160" s="355" t="s">
        <v>669</v>
      </c>
      <c r="B160" s="422" t="s">
        <v>670</v>
      </c>
      <c r="C160" s="394">
        <f t="shared" si="6"/>
        <v>0</v>
      </c>
      <c r="D160" s="99"/>
      <c r="E160" s="99"/>
      <c r="F160" s="99"/>
      <c r="G160" s="99"/>
      <c r="H160" s="99"/>
    </row>
    <row r="161" spans="1:8" s="3" customFormat="1" ht="42.75" x14ac:dyDescent="0.25">
      <c r="A161" s="128" t="s">
        <v>186</v>
      </c>
      <c r="B161" s="91" t="s">
        <v>733</v>
      </c>
      <c r="C161" s="357">
        <f t="shared" si="6"/>
        <v>7300</v>
      </c>
      <c r="D161" s="357">
        <f>SUM(D162:D163)</f>
        <v>0</v>
      </c>
      <c r="E161" s="357">
        <f>SUM(E162:E163)</f>
        <v>0</v>
      </c>
      <c r="F161" s="357">
        <f>SUM(F162:F163)</f>
        <v>0</v>
      </c>
      <c r="G161" s="357">
        <f>SUM(G162:G163)</f>
        <v>0</v>
      </c>
      <c r="H161" s="93">
        <f>SUM(H162:H163)</f>
        <v>7300</v>
      </c>
    </row>
    <row r="162" spans="1:8" s="3" customFormat="1" ht="16.5" customHeight="1" x14ac:dyDescent="0.25">
      <c r="A162" s="351" t="s">
        <v>206</v>
      </c>
      <c r="B162" s="400" t="s">
        <v>756</v>
      </c>
      <c r="C162" s="359">
        <f t="shared" si="6"/>
        <v>6000</v>
      </c>
      <c r="D162" s="358">
        <v>0</v>
      </c>
      <c r="E162" s="358">
        <v>0</v>
      </c>
      <c r="F162" s="358">
        <v>0</v>
      </c>
      <c r="G162" s="358">
        <v>0</v>
      </c>
      <c r="H162" s="358">
        <v>6000</v>
      </c>
    </row>
    <row r="163" spans="1:8" s="3" customFormat="1" x14ac:dyDescent="0.25">
      <c r="A163" s="351" t="s">
        <v>207</v>
      </c>
      <c r="B163" s="400" t="s">
        <v>757</v>
      </c>
      <c r="C163" s="359">
        <f t="shared" si="6"/>
        <v>1300</v>
      </c>
      <c r="D163" s="358">
        <v>0</v>
      </c>
      <c r="E163" s="358">
        <v>0</v>
      </c>
      <c r="F163" s="358">
        <v>0</v>
      </c>
      <c r="G163" s="358">
        <v>0</v>
      </c>
      <c r="H163" s="358">
        <v>1300</v>
      </c>
    </row>
    <row r="164" spans="1:8" s="3" customFormat="1" x14ac:dyDescent="0.25">
      <c r="A164" s="128" t="s">
        <v>101</v>
      </c>
      <c r="B164" s="91" t="s">
        <v>157</v>
      </c>
      <c r="C164" s="357">
        <f>SUM(D164+E164+F164+G164+H164)</f>
        <v>1251680</v>
      </c>
      <c r="D164" s="357">
        <f>SUM(D165:D167)</f>
        <v>764864</v>
      </c>
      <c r="E164" s="357">
        <f>SUM(E165:E167)</f>
        <v>2440</v>
      </c>
      <c r="F164" s="357">
        <f>SUM(F165:F167)</f>
        <v>376143</v>
      </c>
      <c r="G164" s="357">
        <f>SUM(G165:G167)</f>
        <v>0</v>
      </c>
      <c r="H164" s="93">
        <f>SUM(H165:H167)</f>
        <v>108233</v>
      </c>
    </row>
    <row r="165" spans="1:8" ht="30" x14ac:dyDescent="0.25">
      <c r="A165" s="351" t="s">
        <v>156</v>
      </c>
      <c r="B165" s="400" t="s">
        <v>434</v>
      </c>
      <c r="C165" s="359">
        <f>SUM(D165+E165+F165+G165+H165)</f>
        <v>694950</v>
      </c>
      <c r="D165" s="358">
        <v>693572</v>
      </c>
      <c r="E165" s="358">
        <v>0</v>
      </c>
      <c r="F165" s="358">
        <v>0</v>
      </c>
      <c r="G165" s="358">
        <v>0</v>
      </c>
      <c r="H165" s="358">
        <f>1378</f>
        <v>1378</v>
      </c>
    </row>
    <row r="166" spans="1:8" x14ac:dyDescent="0.25">
      <c r="A166" s="351" t="s">
        <v>246</v>
      </c>
      <c r="B166" s="400" t="s">
        <v>435</v>
      </c>
      <c r="C166" s="359">
        <f>SUM(D166+E166+F166+G166+H166)</f>
        <v>481277</v>
      </c>
      <c r="D166" s="358">
        <v>0</v>
      </c>
      <c r="E166" s="358">
        <v>0</v>
      </c>
      <c r="F166" s="358">
        <v>376143</v>
      </c>
      <c r="G166" s="358">
        <v>0</v>
      </c>
      <c r="H166" s="358">
        <v>105134</v>
      </c>
    </row>
    <row r="167" spans="1:8" ht="30" x14ac:dyDescent="0.25">
      <c r="A167" s="351" t="s">
        <v>285</v>
      </c>
      <c r="B167" s="400" t="s">
        <v>436</v>
      </c>
      <c r="C167" s="359">
        <f>SUM(D167+E167+F167+G167+H167)</f>
        <v>75453</v>
      </c>
      <c r="D167" s="358">
        <v>71292</v>
      </c>
      <c r="E167" s="358">
        <v>2440</v>
      </c>
      <c r="F167" s="358">
        <v>0</v>
      </c>
      <c r="G167" s="358">
        <v>0</v>
      </c>
      <c r="H167" s="98">
        <v>1721</v>
      </c>
    </row>
    <row r="168" spans="1:8" s="17" customFormat="1" x14ac:dyDescent="0.25">
      <c r="A168" s="80" t="s">
        <v>36</v>
      </c>
      <c r="B168" s="81" t="s">
        <v>16</v>
      </c>
      <c r="C168" s="82">
        <f t="shared" si="4"/>
        <v>4865060</v>
      </c>
      <c r="D168" s="82">
        <f>SUM(D169+D177+D180+D186+D188+D190+D198)</f>
        <v>4206862</v>
      </c>
      <c r="E168" s="82">
        <f>SUM(E169+E177+E180+E186+E188+E190+E198)</f>
        <v>43676</v>
      </c>
      <c r="F168" s="82">
        <f>SUM(F169+F177+F180+F186+F188+F190+F198)</f>
        <v>517221</v>
      </c>
      <c r="G168" s="82">
        <f>SUM(G169+G177+G180+G186+G188+G190+G198)</f>
        <v>7199</v>
      </c>
      <c r="H168" s="82">
        <f>SUM(H169+H177+H180+H186+H188+H190+H198)</f>
        <v>90102</v>
      </c>
    </row>
    <row r="169" spans="1:8" x14ac:dyDescent="0.25">
      <c r="A169" s="350" t="s">
        <v>90</v>
      </c>
      <c r="B169" s="84" t="s">
        <v>91</v>
      </c>
      <c r="C169" s="93">
        <f>SUM(D169+E169+F169+G169+H169)</f>
        <v>958059</v>
      </c>
      <c r="D169" s="93">
        <f>SUM(D170:D176)</f>
        <v>415684</v>
      </c>
      <c r="E169" s="93">
        <f>SUM(E170:E176)</f>
        <v>26438</v>
      </c>
      <c r="F169" s="93">
        <f>SUM(F170:F176)</f>
        <v>457477</v>
      </c>
      <c r="G169" s="93">
        <f>SUM(G170:G176)</f>
        <v>7024</v>
      </c>
      <c r="H169" s="93">
        <f>SUM(H170:H176)</f>
        <v>51436</v>
      </c>
    </row>
    <row r="170" spans="1:8" s="3" customFormat="1" ht="30" x14ac:dyDescent="0.25">
      <c r="A170" s="351" t="s">
        <v>108</v>
      </c>
      <c r="B170" s="400" t="s">
        <v>758</v>
      </c>
      <c r="C170" s="359">
        <f t="shared" si="4"/>
        <v>414041</v>
      </c>
      <c r="D170" s="358">
        <v>108370</v>
      </c>
      <c r="E170" s="358">
        <v>0</v>
      </c>
      <c r="F170" s="98">
        <v>305100</v>
      </c>
      <c r="G170" s="358">
        <v>0</v>
      </c>
      <c r="H170" s="98">
        <f>563+8</f>
        <v>571</v>
      </c>
    </row>
    <row r="171" spans="1:8" s="3" customFormat="1" x14ac:dyDescent="0.25">
      <c r="A171" s="349" t="s">
        <v>310</v>
      </c>
      <c r="B171" s="400" t="s">
        <v>672</v>
      </c>
      <c r="C171" s="396">
        <f t="shared" si="4"/>
        <v>89101</v>
      </c>
      <c r="D171" s="98">
        <v>73177</v>
      </c>
      <c r="E171" s="98">
        <v>6443</v>
      </c>
      <c r="F171" s="358">
        <v>0</v>
      </c>
      <c r="G171" s="98">
        <v>7024</v>
      </c>
      <c r="H171" s="98">
        <f>492+1965</f>
        <v>2457</v>
      </c>
    </row>
    <row r="172" spans="1:8" s="3" customFormat="1" x14ac:dyDescent="0.25">
      <c r="A172" s="349" t="s">
        <v>109</v>
      </c>
      <c r="B172" s="399" t="s">
        <v>112</v>
      </c>
      <c r="C172" s="396">
        <f t="shared" si="4"/>
        <v>76015</v>
      </c>
      <c r="D172" s="98">
        <v>65666</v>
      </c>
      <c r="E172" s="98">
        <v>7394</v>
      </c>
      <c r="F172" s="358">
        <v>0</v>
      </c>
      <c r="G172" s="358">
        <v>0</v>
      </c>
      <c r="H172" s="98">
        <f>90+2865</f>
        <v>2955</v>
      </c>
    </row>
    <row r="173" spans="1:8" s="3" customFormat="1" x14ac:dyDescent="0.25">
      <c r="A173" s="349" t="s">
        <v>110</v>
      </c>
      <c r="B173" s="399" t="s">
        <v>113</v>
      </c>
      <c r="C173" s="396">
        <f t="shared" si="4"/>
        <v>68757</v>
      </c>
      <c r="D173" s="98">
        <v>54878</v>
      </c>
      <c r="E173" s="98">
        <v>7426</v>
      </c>
      <c r="F173" s="358">
        <v>0</v>
      </c>
      <c r="G173" s="358">
        <v>0</v>
      </c>
      <c r="H173" s="98">
        <f>123+6330</f>
        <v>6453</v>
      </c>
    </row>
    <row r="174" spans="1:8" s="3" customFormat="1" x14ac:dyDescent="0.25">
      <c r="A174" s="351" t="s">
        <v>111</v>
      </c>
      <c r="B174" s="400" t="s">
        <v>114</v>
      </c>
      <c r="C174" s="359">
        <f t="shared" si="4"/>
        <v>105354</v>
      </c>
      <c r="D174" s="358">
        <v>53593</v>
      </c>
      <c r="E174" s="98">
        <v>5175</v>
      </c>
      <c r="F174" s="98">
        <v>44355</v>
      </c>
      <c r="G174" s="358">
        <v>0</v>
      </c>
      <c r="H174" s="98">
        <f>223+2008</f>
        <v>2231</v>
      </c>
    </row>
    <row r="175" spans="1:8" s="3" customFormat="1" x14ac:dyDescent="0.25">
      <c r="A175" s="351" t="s">
        <v>376</v>
      </c>
      <c r="B175" s="400" t="s">
        <v>673</v>
      </c>
      <c r="C175" s="359">
        <f t="shared" si="4"/>
        <v>123051</v>
      </c>
      <c r="D175" s="358">
        <v>60000</v>
      </c>
      <c r="E175" s="358">
        <v>0</v>
      </c>
      <c r="F175" s="358">
        <v>30585</v>
      </c>
      <c r="G175" s="358">
        <v>0</v>
      </c>
      <c r="H175" s="98">
        <v>32466</v>
      </c>
    </row>
    <row r="176" spans="1:8" s="3" customFormat="1" ht="33" customHeight="1" x14ac:dyDescent="0.25">
      <c r="A176" s="349" t="s">
        <v>674</v>
      </c>
      <c r="B176" s="94" t="s">
        <v>759</v>
      </c>
      <c r="C176" s="359">
        <f t="shared" si="4"/>
        <v>81740</v>
      </c>
      <c r="D176" s="358">
        <v>0</v>
      </c>
      <c r="E176" s="358">
        <v>0</v>
      </c>
      <c r="F176" s="358">
        <v>77437</v>
      </c>
      <c r="G176" s="358">
        <v>0</v>
      </c>
      <c r="H176" s="98">
        <v>4303</v>
      </c>
    </row>
    <row r="177" spans="1:8" x14ac:dyDescent="0.25">
      <c r="A177" s="128" t="s">
        <v>115</v>
      </c>
      <c r="B177" s="91" t="s">
        <v>116</v>
      </c>
      <c r="C177" s="357">
        <f t="shared" si="4"/>
        <v>502582</v>
      </c>
      <c r="D177" s="357">
        <f>SUM(D178+D179)</f>
        <v>492996</v>
      </c>
      <c r="E177" s="93">
        <f>SUM(E178+E179)</f>
        <v>0</v>
      </c>
      <c r="F177" s="93">
        <f>SUM(F178+F179)</f>
        <v>0</v>
      </c>
      <c r="G177" s="93">
        <f>SUM(G178+G179)</f>
        <v>0</v>
      </c>
      <c r="H177" s="93">
        <f>SUM(H178+H179)</f>
        <v>9586</v>
      </c>
    </row>
    <row r="178" spans="1:8" s="3" customFormat="1" x14ac:dyDescent="0.25">
      <c r="A178" s="351" t="s">
        <v>117</v>
      </c>
      <c r="B178" s="400" t="s">
        <v>119</v>
      </c>
      <c r="C178" s="359">
        <f t="shared" si="4"/>
        <v>228305</v>
      </c>
      <c r="D178" s="358">
        <v>225379</v>
      </c>
      <c r="E178" s="358">
        <v>0</v>
      </c>
      <c r="F178" s="358">
        <v>0</v>
      </c>
      <c r="G178" s="358">
        <v>0</v>
      </c>
      <c r="H178" s="98">
        <f>2328+598</f>
        <v>2926</v>
      </c>
    </row>
    <row r="179" spans="1:8" s="3" customFormat="1" x14ac:dyDescent="0.25">
      <c r="A179" s="351" t="s">
        <v>118</v>
      </c>
      <c r="B179" s="400" t="s">
        <v>255</v>
      </c>
      <c r="C179" s="359">
        <f t="shared" si="4"/>
        <v>274277</v>
      </c>
      <c r="D179" s="358">
        <v>267617</v>
      </c>
      <c r="E179" s="358">
        <v>0</v>
      </c>
      <c r="F179" s="358">
        <v>0</v>
      </c>
      <c r="G179" s="358">
        <v>0</v>
      </c>
      <c r="H179" s="98">
        <v>6660</v>
      </c>
    </row>
    <row r="180" spans="1:8" x14ac:dyDescent="0.25">
      <c r="A180" s="128" t="s">
        <v>92</v>
      </c>
      <c r="B180" s="91" t="s">
        <v>252</v>
      </c>
      <c r="C180" s="357">
        <f t="shared" si="4"/>
        <v>983559</v>
      </c>
      <c r="D180" s="357">
        <f>SUM(D181:D185)</f>
        <v>943884</v>
      </c>
      <c r="E180" s="93">
        <f>SUM(E181:E185)</f>
        <v>4398</v>
      </c>
      <c r="F180" s="93">
        <f>SUM(F181:F185)</f>
        <v>30058</v>
      </c>
      <c r="G180" s="93">
        <f>SUM(G181:G185)</f>
        <v>0</v>
      </c>
      <c r="H180" s="93">
        <f>SUM(H181:H185)</f>
        <v>5219</v>
      </c>
    </row>
    <row r="181" spans="1:8" s="3" customFormat="1" ht="30" x14ac:dyDescent="0.25">
      <c r="A181" s="351" t="s">
        <v>146</v>
      </c>
      <c r="B181" s="400" t="s">
        <v>187</v>
      </c>
      <c r="C181" s="357">
        <f>SUM(D181+E181+F181+G181+H181)</f>
        <v>801999</v>
      </c>
      <c r="D181" s="358">
        <v>762405</v>
      </c>
      <c r="E181" s="358">
        <v>4398</v>
      </c>
      <c r="F181" s="358">
        <v>30058</v>
      </c>
      <c r="G181" s="358">
        <v>0</v>
      </c>
      <c r="H181" s="358">
        <v>5138</v>
      </c>
    </row>
    <row r="182" spans="1:8" s="3" customFormat="1" ht="30" x14ac:dyDescent="0.25">
      <c r="A182" s="351" t="s">
        <v>120</v>
      </c>
      <c r="B182" s="400" t="s">
        <v>437</v>
      </c>
      <c r="C182" s="359">
        <f>SUM(D182+E182+F182+G182+H182)</f>
        <v>181560</v>
      </c>
      <c r="D182" s="358">
        <v>181479</v>
      </c>
      <c r="E182" s="358">
        <v>0</v>
      </c>
      <c r="F182" s="358">
        <v>0</v>
      </c>
      <c r="G182" s="358">
        <v>0</v>
      </c>
      <c r="H182" s="98">
        <v>81</v>
      </c>
    </row>
    <row r="183" spans="1:8" s="3" customFormat="1" hidden="1" x14ac:dyDescent="0.25">
      <c r="A183" s="355"/>
      <c r="B183" s="414"/>
      <c r="C183" s="394">
        <f t="shared" si="4"/>
        <v>0</v>
      </c>
      <c r="D183" s="99"/>
      <c r="E183" s="99"/>
      <c r="F183" s="99"/>
      <c r="G183" s="99"/>
      <c r="H183" s="99"/>
    </row>
    <row r="184" spans="1:8" s="3" customFormat="1" hidden="1" x14ac:dyDescent="0.25">
      <c r="A184" s="416"/>
      <c r="B184" s="414"/>
      <c r="C184" s="364">
        <f t="shared" si="4"/>
        <v>0</v>
      </c>
      <c r="D184" s="361"/>
      <c r="E184" s="361"/>
      <c r="F184" s="361"/>
      <c r="G184" s="361"/>
      <c r="H184" s="361"/>
    </row>
    <row r="185" spans="1:8" s="3" customFormat="1" hidden="1" x14ac:dyDescent="0.25">
      <c r="A185" s="355"/>
      <c r="B185" s="414"/>
      <c r="C185" s="394">
        <f t="shared" si="4"/>
        <v>0</v>
      </c>
      <c r="D185" s="99"/>
      <c r="E185" s="99"/>
      <c r="F185" s="99"/>
      <c r="G185" s="99"/>
      <c r="H185" s="99"/>
    </row>
    <row r="186" spans="1:8" s="3" customFormat="1" x14ac:dyDescent="0.25">
      <c r="A186" s="128" t="s">
        <v>734</v>
      </c>
      <c r="B186" s="91" t="s">
        <v>253</v>
      </c>
      <c r="C186" s="357">
        <f t="shared" si="4"/>
        <v>52686</v>
      </c>
      <c r="D186" s="357">
        <f>D187</f>
        <v>23000</v>
      </c>
      <c r="E186" s="357">
        <f>E187</f>
        <v>0</v>
      </c>
      <c r="F186" s="357">
        <f>F187</f>
        <v>29686</v>
      </c>
      <c r="G186" s="357">
        <f>G187</f>
        <v>0</v>
      </c>
      <c r="H186" s="357">
        <f>H187</f>
        <v>0</v>
      </c>
    </row>
    <row r="187" spans="1:8" s="3" customFormat="1" x14ac:dyDescent="0.25">
      <c r="A187" s="351" t="s">
        <v>245</v>
      </c>
      <c r="B187" s="400" t="s">
        <v>253</v>
      </c>
      <c r="C187" s="359">
        <f t="shared" si="4"/>
        <v>52686</v>
      </c>
      <c r="D187" s="358">
        <v>23000</v>
      </c>
      <c r="E187" s="358">
        <v>0</v>
      </c>
      <c r="F187" s="358">
        <v>29686</v>
      </c>
      <c r="G187" s="98">
        <v>0</v>
      </c>
      <c r="H187" s="98">
        <v>0</v>
      </c>
    </row>
    <row r="188" spans="1:8" x14ac:dyDescent="0.25">
      <c r="A188" s="128" t="s">
        <v>735</v>
      </c>
      <c r="B188" s="91" t="s">
        <v>737</v>
      </c>
      <c r="C188" s="357">
        <f t="shared" si="4"/>
        <v>345000</v>
      </c>
      <c r="D188" s="357">
        <f>D189</f>
        <v>345000</v>
      </c>
      <c r="E188" s="357">
        <f>E189</f>
        <v>0</v>
      </c>
      <c r="F188" s="357">
        <f>F189</f>
        <v>0</v>
      </c>
      <c r="G188" s="357">
        <f>G189</f>
        <v>0</v>
      </c>
      <c r="H188" s="357">
        <f>H189</f>
        <v>0</v>
      </c>
    </row>
    <row r="189" spans="1:8" ht="30" x14ac:dyDescent="0.25">
      <c r="A189" s="351" t="s">
        <v>311</v>
      </c>
      <c r="B189" s="400" t="s">
        <v>736</v>
      </c>
      <c r="C189" s="359">
        <f t="shared" si="4"/>
        <v>345000</v>
      </c>
      <c r="D189" s="358">
        <v>345000</v>
      </c>
      <c r="E189" s="358">
        <v>0</v>
      </c>
      <c r="F189" s="358">
        <v>0</v>
      </c>
      <c r="G189" s="358">
        <v>0</v>
      </c>
      <c r="H189" s="358">
        <v>0</v>
      </c>
    </row>
    <row r="190" spans="1:8" ht="28.5" x14ac:dyDescent="0.25">
      <c r="A190" s="128" t="s">
        <v>93</v>
      </c>
      <c r="B190" s="91" t="s">
        <v>254</v>
      </c>
      <c r="C190" s="357">
        <f t="shared" si="4"/>
        <v>720882</v>
      </c>
      <c r="D190" s="357">
        <f>SUM(D191:D197)</f>
        <v>702229</v>
      </c>
      <c r="E190" s="93">
        <f>SUM(E191:E197)</f>
        <v>12740</v>
      </c>
      <c r="F190" s="93">
        <f>SUM(F191:F197)</f>
        <v>0</v>
      </c>
      <c r="G190" s="93">
        <f>SUM(G191:G197)</f>
        <v>175</v>
      </c>
      <c r="H190" s="93">
        <f>SUM(H191:H197)</f>
        <v>5738</v>
      </c>
    </row>
    <row r="191" spans="1:8" s="3" customFormat="1" x14ac:dyDescent="0.25">
      <c r="A191" s="351" t="s">
        <v>121</v>
      </c>
      <c r="B191" s="400" t="s">
        <v>124</v>
      </c>
      <c r="C191" s="359">
        <f t="shared" si="4"/>
        <v>15677</v>
      </c>
      <c r="D191" s="358">
        <v>15677</v>
      </c>
      <c r="E191" s="358">
        <v>0</v>
      </c>
      <c r="F191" s="358">
        <v>0</v>
      </c>
      <c r="G191" s="358">
        <v>0</v>
      </c>
      <c r="H191" s="358">
        <v>0</v>
      </c>
    </row>
    <row r="192" spans="1:8" s="3" customFormat="1" ht="45" x14ac:dyDescent="0.25">
      <c r="A192" s="349" t="s">
        <v>122</v>
      </c>
      <c r="B192" s="399" t="s">
        <v>675</v>
      </c>
      <c r="C192" s="396">
        <f>SUM(D192+E192+F192+G192+H192)</f>
        <v>66794</v>
      </c>
      <c r="D192" s="98">
        <v>66794</v>
      </c>
      <c r="E192" s="358">
        <v>0</v>
      </c>
      <c r="F192" s="358">
        <v>0</v>
      </c>
      <c r="G192" s="358">
        <v>0</v>
      </c>
      <c r="H192" s="358">
        <v>0</v>
      </c>
    </row>
    <row r="193" spans="1:9" s="3" customFormat="1" x14ac:dyDescent="0.25">
      <c r="A193" s="349" t="s">
        <v>288</v>
      </c>
      <c r="B193" s="400" t="s">
        <v>286</v>
      </c>
      <c r="C193" s="396">
        <f>SUM(D193+E193+F193+G193+H193)</f>
        <v>89649</v>
      </c>
      <c r="D193" s="98">
        <v>81040</v>
      </c>
      <c r="E193" s="98">
        <v>6640</v>
      </c>
      <c r="F193" s="358">
        <v>0</v>
      </c>
      <c r="G193" s="358">
        <v>175</v>
      </c>
      <c r="H193" s="98">
        <f>1638+156</f>
        <v>1794</v>
      </c>
    </row>
    <row r="194" spans="1:9" s="3" customFormat="1" x14ac:dyDescent="0.25">
      <c r="A194" s="349" t="s">
        <v>123</v>
      </c>
      <c r="B194" s="399" t="s">
        <v>373</v>
      </c>
      <c r="C194" s="396">
        <f>SUM(D194+E194+F194+G194+H194)</f>
        <v>15240</v>
      </c>
      <c r="D194" s="98">
        <v>12240</v>
      </c>
      <c r="E194" s="98">
        <v>3000</v>
      </c>
      <c r="F194" s="358">
        <v>0</v>
      </c>
      <c r="G194" s="358">
        <v>0</v>
      </c>
      <c r="H194" s="358">
        <v>0</v>
      </c>
    </row>
    <row r="195" spans="1:9" s="3" customFormat="1" x14ac:dyDescent="0.25">
      <c r="A195" s="351" t="s">
        <v>738</v>
      </c>
      <c r="B195" s="400" t="s">
        <v>760</v>
      </c>
      <c r="C195" s="359">
        <f t="shared" si="4"/>
        <v>333522</v>
      </c>
      <c r="D195" s="358">
        <v>326478</v>
      </c>
      <c r="E195" s="358">
        <v>3100</v>
      </c>
      <c r="F195" s="358">
        <v>0</v>
      </c>
      <c r="G195" s="358">
        <v>0</v>
      </c>
      <c r="H195" s="358">
        <v>3944</v>
      </c>
    </row>
    <row r="196" spans="1:9" s="3" customFormat="1" ht="30" x14ac:dyDescent="0.25">
      <c r="A196" s="349" t="s">
        <v>739</v>
      </c>
      <c r="B196" s="399" t="s">
        <v>761</v>
      </c>
      <c r="C196" s="396">
        <f t="shared" si="4"/>
        <v>200000</v>
      </c>
      <c r="D196" s="98">
        <v>200000</v>
      </c>
      <c r="E196" s="98">
        <v>0</v>
      </c>
      <c r="F196" s="358">
        <v>0</v>
      </c>
      <c r="G196" s="358">
        <v>0</v>
      </c>
      <c r="H196" s="358">
        <v>0</v>
      </c>
    </row>
    <row r="197" spans="1:9" s="3" customFormat="1" hidden="1" x14ac:dyDescent="0.25">
      <c r="A197" s="355"/>
      <c r="B197" s="122"/>
      <c r="C197" s="394">
        <f t="shared" si="4"/>
        <v>0</v>
      </c>
      <c r="D197" s="99"/>
      <c r="E197" s="99"/>
      <c r="F197" s="99"/>
      <c r="G197" s="99"/>
      <c r="H197" s="99"/>
    </row>
    <row r="198" spans="1:9" x14ac:dyDescent="0.25">
      <c r="A198" s="350" t="s">
        <v>274</v>
      </c>
      <c r="B198" s="84" t="s">
        <v>416</v>
      </c>
      <c r="C198" s="93">
        <f>D198+E198+F198+G198+H198</f>
        <v>1302292</v>
      </c>
      <c r="D198" s="93">
        <f>SUM(D199:D202)</f>
        <v>1284069</v>
      </c>
      <c r="E198" s="93">
        <f>SUM(E199:E202)</f>
        <v>100</v>
      </c>
      <c r="F198" s="93">
        <f>SUM(F199:F202)</f>
        <v>0</v>
      </c>
      <c r="G198" s="93">
        <f>SUM(G199:G202)</f>
        <v>0</v>
      </c>
      <c r="H198" s="93">
        <f>SUM(H199:H202)</f>
        <v>18123</v>
      </c>
    </row>
    <row r="199" spans="1:9" ht="30" x14ac:dyDescent="0.25">
      <c r="A199" s="349" t="s">
        <v>293</v>
      </c>
      <c r="B199" s="399" t="s">
        <v>439</v>
      </c>
      <c r="C199" s="396">
        <f t="shared" si="4"/>
        <v>1045092</v>
      </c>
      <c r="D199" s="98">
        <v>1037725</v>
      </c>
      <c r="E199" s="98">
        <v>100</v>
      </c>
      <c r="F199" s="98">
        <v>0</v>
      </c>
      <c r="G199" s="358">
        <v>0</v>
      </c>
      <c r="H199" s="98">
        <f>2960+4307</f>
        <v>7267</v>
      </c>
    </row>
    <row r="200" spans="1:9" ht="30" x14ac:dyDescent="0.25">
      <c r="A200" s="349" t="s">
        <v>276</v>
      </c>
      <c r="B200" s="399" t="s">
        <v>275</v>
      </c>
      <c r="C200" s="396">
        <f>SUM(D200+E200+F200+G200+H200)</f>
        <v>7200</v>
      </c>
      <c r="D200" s="98">
        <v>7200</v>
      </c>
      <c r="E200" s="358">
        <v>0</v>
      </c>
      <c r="F200" s="358">
        <v>0</v>
      </c>
      <c r="G200" s="358">
        <v>0</v>
      </c>
      <c r="H200" s="358">
        <v>0</v>
      </c>
    </row>
    <row r="201" spans="1:9" ht="30" x14ac:dyDescent="0.25">
      <c r="A201" s="349" t="s">
        <v>261</v>
      </c>
      <c r="B201" s="399" t="s">
        <v>277</v>
      </c>
      <c r="C201" s="396">
        <f>SUM(D201+E201+F201+G201+H201)</f>
        <v>250000</v>
      </c>
      <c r="D201" s="98">
        <v>239144</v>
      </c>
      <c r="E201" s="358">
        <v>0</v>
      </c>
      <c r="F201" s="358">
        <v>0</v>
      </c>
      <c r="G201" s="358">
        <v>0</v>
      </c>
      <c r="H201" s="98">
        <v>10856</v>
      </c>
    </row>
    <row r="202" spans="1:9" hidden="1" x14ac:dyDescent="0.25">
      <c r="A202" s="355"/>
      <c r="B202" s="414"/>
      <c r="C202" s="394">
        <f t="shared" si="4"/>
        <v>0</v>
      </c>
      <c r="D202" s="99"/>
      <c r="E202" s="99"/>
      <c r="F202" s="99"/>
      <c r="G202" s="99"/>
      <c r="H202" s="99"/>
    </row>
    <row r="203" spans="1:9" s="17" customFormat="1" x14ac:dyDescent="0.25">
      <c r="A203" s="70"/>
      <c r="B203" s="81" t="s">
        <v>51</v>
      </c>
      <c r="C203" s="82">
        <f>SUM(D203+E203+F203+G203+H203)</f>
        <v>7680141</v>
      </c>
      <c r="D203" s="82">
        <f>D204+D205+D211</f>
        <v>1504489</v>
      </c>
      <c r="E203" s="82">
        <f>E204+E205+E211</f>
        <v>0</v>
      </c>
      <c r="F203" s="82">
        <f>F204+F205+F211</f>
        <v>5316344</v>
      </c>
      <c r="G203" s="82">
        <f>G204+G205+G211</f>
        <v>0</v>
      </c>
      <c r="H203" s="82">
        <f>H204+H205+H211</f>
        <v>859308</v>
      </c>
      <c r="I203" s="24"/>
    </row>
    <row r="204" spans="1:9" x14ac:dyDescent="0.25">
      <c r="A204" s="89" t="s">
        <v>168</v>
      </c>
      <c r="B204" s="91" t="s">
        <v>169</v>
      </c>
      <c r="C204" s="357">
        <f t="shared" si="4"/>
        <v>5162310</v>
      </c>
      <c r="D204" s="357">
        <v>0</v>
      </c>
      <c r="E204" s="357">
        <v>0</v>
      </c>
      <c r="F204" s="357">
        <v>4303002</v>
      </c>
      <c r="G204" s="357">
        <v>0</v>
      </c>
      <c r="H204" s="357">
        <v>859308</v>
      </c>
      <c r="I204" s="10"/>
    </row>
    <row r="205" spans="1:9" s="17" customFormat="1" ht="17.25" customHeight="1" x14ac:dyDescent="0.25">
      <c r="A205" s="89" t="s">
        <v>96</v>
      </c>
      <c r="B205" s="91" t="s">
        <v>170</v>
      </c>
      <c r="C205" s="357">
        <f>SUM(D205+E205+F205+G205+H205)</f>
        <v>1271178</v>
      </c>
      <c r="D205" s="93">
        <f>D208+D206+D207+D209+D210</f>
        <v>1271178</v>
      </c>
      <c r="E205" s="93">
        <f>E208+E206+E207+E209+E210</f>
        <v>0</v>
      </c>
      <c r="F205" s="93">
        <f>F208+F206+F207+F209+F210</f>
        <v>0</v>
      </c>
      <c r="G205" s="93">
        <f>G208+G206+G207+G209+G210</f>
        <v>0</v>
      </c>
      <c r="H205" s="93">
        <f>H208+H206+H207+H209+H210</f>
        <v>0</v>
      </c>
      <c r="I205" s="24"/>
    </row>
    <row r="206" spans="1:9" s="29" customFormat="1" hidden="1" x14ac:dyDescent="0.25">
      <c r="A206" s="89"/>
      <c r="B206" s="400" t="s">
        <v>762</v>
      </c>
      <c r="C206" s="359">
        <f t="shared" si="4"/>
        <v>0</v>
      </c>
      <c r="D206" s="358"/>
      <c r="E206" s="359"/>
      <c r="F206" s="359"/>
      <c r="G206" s="359"/>
      <c r="H206" s="359"/>
      <c r="I206" s="28"/>
    </row>
    <row r="207" spans="1:9" s="29" customFormat="1" x14ac:dyDescent="0.25">
      <c r="A207" s="89"/>
      <c r="B207" s="400" t="s">
        <v>763</v>
      </c>
      <c r="C207" s="359">
        <f t="shared" si="4"/>
        <v>720697</v>
      </c>
      <c r="D207" s="358">
        <v>720697</v>
      </c>
      <c r="E207" s="358">
        <v>0</v>
      </c>
      <c r="F207" s="358">
        <v>0</v>
      </c>
      <c r="G207" s="358">
        <v>0</v>
      </c>
      <c r="H207" s="358">
        <v>0</v>
      </c>
    </row>
    <row r="208" spans="1:9" x14ac:dyDescent="0.25">
      <c r="A208" s="89"/>
      <c r="B208" s="400" t="s">
        <v>764</v>
      </c>
      <c r="C208" s="359">
        <f t="shared" si="4"/>
        <v>550481</v>
      </c>
      <c r="D208" s="358">
        <v>550481</v>
      </c>
      <c r="E208" s="358">
        <v>0</v>
      </c>
      <c r="F208" s="358">
        <v>0</v>
      </c>
      <c r="G208" s="358">
        <v>0</v>
      </c>
      <c r="H208" s="358">
        <v>0</v>
      </c>
    </row>
    <row r="209" spans="1:8" hidden="1" x14ac:dyDescent="0.25">
      <c r="A209" s="89"/>
      <c r="B209" s="400" t="s">
        <v>765</v>
      </c>
      <c r="C209" s="359">
        <f>SUM(D209+E209+F209+G209+H209)</f>
        <v>0</v>
      </c>
      <c r="D209" s="358"/>
      <c r="E209" s="98"/>
      <c r="F209" s="98"/>
      <c r="G209" s="98"/>
      <c r="H209" s="98"/>
    </row>
    <row r="210" spans="1:8" hidden="1" x14ac:dyDescent="0.25">
      <c r="A210" s="89"/>
      <c r="B210" s="400" t="s">
        <v>766</v>
      </c>
      <c r="C210" s="359">
        <f>SUM(D210+E210+F210+G210+H210)</f>
        <v>0</v>
      </c>
      <c r="D210" s="358"/>
      <c r="E210" s="98"/>
      <c r="F210" s="98"/>
      <c r="G210" s="98"/>
      <c r="H210" s="98"/>
    </row>
    <row r="211" spans="1:8" x14ac:dyDescent="0.25">
      <c r="A211" s="89" t="s">
        <v>166</v>
      </c>
      <c r="B211" s="128" t="s">
        <v>312</v>
      </c>
      <c r="C211" s="357">
        <f>SUM(D211+E211+F211+G211+H211)</f>
        <v>1246653</v>
      </c>
      <c r="D211" s="97">
        <f>383311-150000</f>
        <v>233311</v>
      </c>
      <c r="E211" s="97"/>
      <c r="F211" s="97">
        <f>859308+154034</f>
        <v>1013342</v>
      </c>
      <c r="G211" s="97"/>
      <c r="H211" s="97">
        <v>0</v>
      </c>
    </row>
    <row r="212" spans="1:8" x14ac:dyDescent="0.25">
      <c r="A212" s="129"/>
      <c r="B212" s="81" t="s">
        <v>74</v>
      </c>
      <c r="C212" s="82">
        <f t="shared" ref="C212:H212" si="7">SUM(C203+C9)</f>
        <v>96386247</v>
      </c>
      <c r="D212" s="82">
        <f t="shared" si="7"/>
        <v>54877121</v>
      </c>
      <c r="E212" s="82">
        <f t="shared" si="7"/>
        <v>1826625</v>
      </c>
      <c r="F212" s="82">
        <f t="shared" si="7"/>
        <v>30517110</v>
      </c>
      <c r="G212" s="82">
        <f t="shared" si="7"/>
        <v>701493</v>
      </c>
      <c r="H212" s="82">
        <f t="shared" si="7"/>
        <v>8463898</v>
      </c>
    </row>
    <row r="213" spans="1:8" s="19" customFormat="1" x14ac:dyDescent="0.25">
      <c r="A213" s="45"/>
      <c r="B213" s="46"/>
      <c r="C213" s="406"/>
      <c r="D213" s="48"/>
      <c r="E213" s="48"/>
      <c r="F213" s="45"/>
      <c r="G213" s="45"/>
      <c r="H213" s="47"/>
    </row>
    <row r="214" spans="1:8" x14ac:dyDescent="0.25">
      <c r="A214" s="41"/>
      <c r="C214" s="407"/>
      <c r="D214" s="49"/>
      <c r="E214" s="41"/>
      <c r="F214" s="41"/>
      <c r="G214" s="41"/>
      <c r="H214" s="41"/>
    </row>
    <row r="215" spans="1:8" s="19" customFormat="1" ht="18.75" x14ac:dyDescent="0.3">
      <c r="A215" s="130" t="s">
        <v>25</v>
      </c>
      <c r="B215" s="415"/>
      <c r="C215" s="408"/>
      <c r="D215" s="131"/>
      <c r="E215" s="130"/>
      <c r="F215" s="130"/>
      <c r="G215" s="130"/>
      <c r="H215" s="26" t="s">
        <v>81</v>
      </c>
    </row>
    <row r="216" spans="1:8" x14ac:dyDescent="0.25">
      <c r="C216" s="409"/>
      <c r="D216" s="22"/>
      <c r="E216" s="11"/>
      <c r="F216" s="11"/>
      <c r="G216" s="11"/>
      <c r="H216" s="11"/>
    </row>
    <row r="217" spans="1:8" x14ac:dyDescent="0.25">
      <c r="C217" s="7"/>
      <c r="D217" s="22"/>
      <c r="E217" s="11"/>
      <c r="F217" s="11"/>
      <c r="G217" s="11"/>
      <c r="H217" s="11"/>
    </row>
    <row r="218" spans="1:8" x14ac:dyDescent="0.25">
      <c r="C218" s="7"/>
      <c r="D218" s="22"/>
      <c r="E218" s="21"/>
      <c r="F218" s="11"/>
      <c r="G218" s="11"/>
      <c r="H218" s="11"/>
    </row>
    <row r="219" spans="1:8" x14ac:dyDescent="0.25">
      <c r="C219" s="410"/>
    </row>
  </sheetData>
  <mergeCells count="6">
    <mergeCell ref="A4:H4"/>
    <mergeCell ref="A5:H5"/>
    <mergeCell ref="D7:H7"/>
    <mergeCell ref="A7:A8"/>
    <mergeCell ref="B7:B8"/>
    <mergeCell ref="C7:C8"/>
  </mergeCells>
  <phoneticPr fontId="0" type="noConversion"/>
  <printOptions horizontalCentered="1"/>
  <pageMargins left="0.78740157480314965" right="0.78740157480314965" top="0.78740157480314965" bottom="0.39370078740157483" header="0.19685039370078741" footer="0.19685039370078741"/>
  <pageSetup paperSize="9" scale="90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37"/>
  <sheetViews>
    <sheetView showGridLines="0" tabSelected="1" topLeftCell="A34" workbookViewId="0">
      <selection activeCell="D42" sqref="D42"/>
    </sheetView>
  </sheetViews>
  <sheetFormatPr defaultRowHeight="12.75" x14ac:dyDescent="0.2"/>
  <cols>
    <col min="1" max="1" width="1.7109375" style="432" customWidth="1"/>
    <col min="2" max="2" width="3.85546875" style="432" customWidth="1"/>
    <col min="3" max="3" width="35.28515625" style="432" customWidth="1"/>
    <col min="4" max="4" width="36.140625" style="432" customWidth="1"/>
    <col min="5" max="5" width="5.28515625" style="432" customWidth="1"/>
    <col min="6" max="7" width="3.28515625" style="432" customWidth="1"/>
    <col min="8" max="8" width="10.140625" style="432" customWidth="1"/>
    <col min="9" max="16384" width="9.140625" style="432"/>
  </cols>
  <sheetData>
    <row r="1" spans="1:8" ht="9" customHeight="1" x14ac:dyDescent="0.2"/>
    <row r="2" spans="1:8" ht="15.75" x14ac:dyDescent="0.2">
      <c r="G2" s="478" t="s">
        <v>483</v>
      </c>
      <c r="H2" s="478"/>
    </row>
    <row r="3" spans="1:8" ht="18" customHeight="1" x14ac:dyDescent="0.2">
      <c r="D3" s="478" t="s">
        <v>379</v>
      </c>
      <c r="E3" s="477"/>
      <c r="F3" s="477"/>
      <c r="G3" s="477"/>
      <c r="H3" s="477"/>
    </row>
    <row r="4" spans="1:8" ht="18" customHeight="1" x14ac:dyDescent="0.2">
      <c r="D4" s="478" t="s">
        <v>830</v>
      </c>
      <c r="E4" s="477"/>
      <c r="F4" s="477"/>
      <c r="G4" s="477"/>
      <c r="H4" s="477"/>
    </row>
    <row r="5" spans="1:8" ht="27" customHeight="1" x14ac:dyDescent="0.2"/>
    <row r="6" spans="1:8" ht="71.25" customHeight="1" x14ac:dyDescent="0.2">
      <c r="B6" s="492" t="s">
        <v>828</v>
      </c>
      <c r="C6" s="493"/>
      <c r="D6" s="493"/>
      <c r="E6" s="493"/>
      <c r="F6" s="493"/>
      <c r="G6" s="493"/>
      <c r="H6" s="493"/>
    </row>
    <row r="7" spans="1:8" ht="31.5" customHeight="1" x14ac:dyDescent="0.2">
      <c r="A7" s="494" t="s">
        <v>323</v>
      </c>
      <c r="B7" s="495"/>
      <c r="C7" s="495"/>
      <c r="D7" s="495"/>
      <c r="E7" s="495"/>
      <c r="F7" s="494" t="s">
        <v>580</v>
      </c>
      <c r="G7" s="495"/>
      <c r="H7" s="495"/>
    </row>
    <row r="8" spans="1:8" ht="13.5" customHeight="1" x14ac:dyDescent="0.2"/>
    <row r="9" spans="1:8" ht="9" customHeight="1" x14ac:dyDescent="0.2"/>
    <row r="10" spans="1:8" ht="15.75" customHeight="1" x14ac:dyDescent="0.2">
      <c r="A10" s="491" t="s">
        <v>482</v>
      </c>
      <c r="B10" s="484"/>
      <c r="C10" s="484"/>
      <c r="D10" s="484"/>
      <c r="E10" s="484"/>
      <c r="F10" s="484"/>
      <c r="G10" s="484"/>
      <c r="H10" s="484"/>
    </row>
    <row r="11" spans="1:8" ht="15" customHeight="1" x14ac:dyDescent="0.2">
      <c r="A11" s="435"/>
      <c r="B11" s="435"/>
      <c r="C11" s="487" t="s">
        <v>324</v>
      </c>
      <c r="D11" s="484"/>
      <c r="E11" s="484"/>
      <c r="F11" s="435"/>
      <c r="G11" s="489">
        <v>33064576</v>
      </c>
      <c r="H11" s="477"/>
    </row>
    <row r="12" spans="1:8" ht="15" customHeight="1" x14ac:dyDescent="0.2">
      <c r="A12" s="435"/>
      <c r="B12" s="435"/>
      <c r="C12" s="487" t="s">
        <v>448</v>
      </c>
      <c r="D12" s="484"/>
      <c r="E12" s="484"/>
      <c r="F12" s="435"/>
      <c r="G12" s="489">
        <v>3465215</v>
      </c>
      <c r="H12" s="477"/>
    </row>
    <row r="13" spans="1:8" ht="15" customHeight="1" x14ac:dyDescent="0.2">
      <c r="A13" s="435"/>
      <c r="B13" s="435"/>
      <c r="C13" s="487" t="s">
        <v>447</v>
      </c>
      <c r="D13" s="484"/>
      <c r="E13" s="484"/>
      <c r="F13" s="435"/>
      <c r="G13" s="489">
        <v>2236199</v>
      </c>
      <c r="H13" s="477"/>
    </row>
    <row r="14" spans="1:8" ht="15" customHeight="1" x14ac:dyDescent="0.2">
      <c r="A14" s="435"/>
      <c r="B14" s="435"/>
      <c r="C14" s="487" t="s">
        <v>446</v>
      </c>
      <c r="D14" s="484"/>
      <c r="E14" s="484"/>
      <c r="F14" s="435"/>
      <c r="G14" s="489">
        <v>40000</v>
      </c>
      <c r="H14" s="477"/>
    </row>
    <row r="15" spans="1:8" ht="15" customHeight="1" x14ac:dyDescent="0.2">
      <c r="A15" s="435"/>
      <c r="B15" s="435"/>
      <c r="C15" s="487" t="s">
        <v>445</v>
      </c>
      <c r="D15" s="484"/>
      <c r="E15" s="484"/>
      <c r="F15" s="435"/>
      <c r="G15" s="489">
        <v>27046840</v>
      </c>
      <c r="H15" s="477"/>
    </row>
    <row r="16" spans="1:8" ht="30" customHeight="1" x14ac:dyDescent="0.2">
      <c r="A16" s="435"/>
      <c r="B16" s="435"/>
      <c r="C16" s="487" t="s">
        <v>443</v>
      </c>
      <c r="D16" s="484"/>
      <c r="E16" s="484"/>
      <c r="F16" s="435"/>
      <c r="G16" s="489">
        <v>276322</v>
      </c>
      <c r="H16" s="477"/>
    </row>
    <row r="18" spans="1:8" ht="15.75" customHeight="1" x14ac:dyDescent="0.2">
      <c r="A18" s="486" t="s">
        <v>325</v>
      </c>
      <c r="B18" s="484"/>
      <c r="C18" s="484"/>
      <c r="D18" s="484"/>
      <c r="E18" s="484"/>
      <c r="F18" s="484"/>
      <c r="G18" s="484"/>
      <c r="H18" s="484"/>
    </row>
    <row r="19" spans="1:8" ht="15" customHeight="1" x14ac:dyDescent="0.2">
      <c r="C19" s="479" t="s">
        <v>324</v>
      </c>
      <c r="D19" s="480"/>
      <c r="E19" s="480"/>
      <c r="F19" s="434"/>
      <c r="G19" s="481">
        <v>3906465</v>
      </c>
      <c r="H19" s="482"/>
    </row>
    <row r="20" spans="1:8" ht="15" customHeight="1" x14ac:dyDescent="0.2">
      <c r="C20" s="483" t="s">
        <v>448</v>
      </c>
      <c r="D20" s="484"/>
      <c r="E20" s="484"/>
      <c r="G20" s="485">
        <v>3268192</v>
      </c>
      <c r="H20" s="477"/>
    </row>
    <row r="21" spans="1:8" ht="15" customHeight="1" x14ac:dyDescent="0.2">
      <c r="C21" s="483" t="s">
        <v>447</v>
      </c>
      <c r="D21" s="484"/>
      <c r="E21" s="484"/>
      <c r="G21" s="485">
        <v>638273</v>
      </c>
      <c r="H21" s="477"/>
    </row>
    <row r="23" spans="1:8" ht="15.75" customHeight="1" x14ac:dyDescent="0.2">
      <c r="A23" s="486" t="s">
        <v>481</v>
      </c>
      <c r="B23" s="484"/>
      <c r="C23" s="484"/>
      <c r="D23" s="484"/>
      <c r="E23" s="484"/>
      <c r="F23" s="484"/>
      <c r="G23" s="484"/>
      <c r="H23" s="484"/>
    </row>
    <row r="24" spans="1:8" ht="15" customHeight="1" x14ac:dyDescent="0.2">
      <c r="C24" s="479" t="s">
        <v>324</v>
      </c>
      <c r="D24" s="480"/>
      <c r="E24" s="480"/>
      <c r="F24" s="434"/>
      <c r="G24" s="481">
        <v>102364</v>
      </c>
      <c r="H24" s="482"/>
    </row>
    <row r="25" spans="1:8" ht="15" customHeight="1" x14ac:dyDescent="0.2">
      <c r="C25" s="483" t="s">
        <v>448</v>
      </c>
      <c r="D25" s="484"/>
      <c r="E25" s="484"/>
      <c r="G25" s="485">
        <v>3040</v>
      </c>
      <c r="H25" s="477"/>
    </row>
    <row r="26" spans="1:8" ht="15" customHeight="1" x14ac:dyDescent="0.2">
      <c r="C26" s="483" t="s">
        <v>447</v>
      </c>
      <c r="D26" s="484"/>
      <c r="E26" s="484"/>
      <c r="G26" s="485">
        <v>20100</v>
      </c>
      <c r="H26" s="477"/>
    </row>
    <row r="27" spans="1:8" x14ac:dyDescent="0.2">
      <c r="C27" s="483" t="s">
        <v>443</v>
      </c>
      <c r="D27" s="484"/>
      <c r="E27" s="484"/>
      <c r="G27" s="485">
        <v>79224</v>
      </c>
      <c r="H27" s="477"/>
    </row>
    <row r="29" spans="1:8" ht="31.5" customHeight="1" x14ac:dyDescent="0.2">
      <c r="A29" s="486" t="s">
        <v>774</v>
      </c>
      <c r="B29" s="484"/>
      <c r="C29" s="484"/>
      <c r="D29" s="484"/>
      <c r="E29" s="484"/>
      <c r="F29" s="484"/>
      <c r="G29" s="484"/>
      <c r="H29" s="484"/>
    </row>
    <row r="30" spans="1:8" ht="15" customHeight="1" x14ac:dyDescent="0.2">
      <c r="C30" s="479" t="s">
        <v>324</v>
      </c>
      <c r="D30" s="480"/>
      <c r="E30" s="480"/>
      <c r="F30" s="434"/>
      <c r="G30" s="481">
        <v>1722</v>
      </c>
      <c r="H30" s="482"/>
    </row>
    <row r="31" spans="1:8" ht="15" customHeight="1" x14ac:dyDescent="0.2">
      <c r="C31" s="483" t="s">
        <v>447</v>
      </c>
      <c r="D31" s="484"/>
      <c r="E31" s="484"/>
      <c r="G31" s="485">
        <v>1722</v>
      </c>
      <c r="H31" s="477"/>
    </row>
    <row r="33" spans="1:8" ht="31.5" customHeight="1" x14ac:dyDescent="0.2">
      <c r="A33" s="486" t="s">
        <v>775</v>
      </c>
      <c r="B33" s="484"/>
      <c r="C33" s="484"/>
      <c r="D33" s="484"/>
      <c r="E33" s="484"/>
      <c r="F33" s="484"/>
      <c r="G33" s="484"/>
      <c r="H33" s="484"/>
    </row>
    <row r="34" spans="1:8" ht="15" customHeight="1" x14ac:dyDescent="0.2">
      <c r="C34" s="479" t="s">
        <v>324</v>
      </c>
      <c r="D34" s="480"/>
      <c r="E34" s="480"/>
      <c r="F34" s="434"/>
      <c r="G34" s="481">
        <v>30314</v>
      </c>
      <c r="H34" s="482"/>
    </row>
    <row r="35" spans="1:8" ht="15" customHeight="1" x14ac:dyDescent="0.2">
      <c r="C35" s="483" t="s">
        <v>448</v>
      </c>
      <c r="D35" s="484"/>
      <c r="E35" s="484"/>
      <c r="G35" s="485">
        <v>29614</v>
      </c>
      <c r="H35" s="477"/>
    </row>
    <row r="36" spans="1:8" ht="15" customHeight="1" x14ac:dyDescent="0.2">
      <c r="C36" s="483" t="s">
        <v>447</v>
      </c>
      <c r="D36" s="484"/>
      <c r="E36" s="484"/>
      <c r="G36" s="485">
        <v>700</v>
      </c>
      <c r="H36" s="477"/>
    </row>
    <row r="38" spans="1:8" ht="15.75" customHeight="1" x14ac:dyDescent="0.2">
      <c r="A38" s="486" t="s">
        <v>841</v>
      </c>
      <c r="B38" s="484"/>
      <c r="C38" s="484"/>
      <c r="D38" s="484"/>
      <c r="E38" s="484"/>
      <c r="F38" s="484"/>
      <c r="G38" s="484"/>
      <c r="H38" s="484"/>
    </row>
    <row r="39" spans="1:8" ht="15" customHeight="1" x14ac:dyDescent="0.2">
      <c r="C39" s="479" t="s">
        <v>324</v>
      </c>
      <c r="D39" s="480"/>
      <c r="E39" s="480"/>
      <c r="F39" s="434"/>
      <c r="G39" s="481">
        <v>93475</v>
      </c>
      <c r="H39" s="482"/>
    </row>
    <row r="40" spans="1:8" ht="15" customHeight="1" x14ac:dyDescent="0.2">
      <c r="C40" s="483" t="s">
        <v>447</v>
      </c>
      <c r="D40" s="484"/>
      <c r="E40" s="484"/>
      <c r="G40" s="485">
        <v>89781</v>
      </c>
      <c r="H40" s="477"/>
    </row>
    <row r="41" spans="1:8" ht="15" customHeight="1" x14ac:dyDescent="0.2">
      <c r="C41" s="483" t="s">
        <v>445</v>
      </c>
      <c r="D41" s="484"/>
      <c r="E41" s="484"/>
      <c r="G41" s="485">
        <v>3694</v>
      </c>
      <c r="H41" s="477"/>
    </row>
    <row r="43" spans="1:8" ht="15.75" customHeight="1" x14ac:dyDescent="0.2">
      <c r="A43" s="486" t="s">
        <v>326</v>
      </c>
      <c r="B43" s="484"/>
      <c r="C43" s="484"/>
      <c r="D43" s="484"/>
      <c r="E43" s="484"/>
      <c r="F43" s="484"/>
      <c r="G43" s="484"/>
      <c r="H43" s="484"/>
    </row>
    <row r="44" spans="1:8" ht="15" customHeight="1" x14ac:dyDescent="0.2">
      <c r="C44" s="479" t="s">
        <v>324</v>
      </c>
      <c r="D44" s="480"/>
      <c r="E44" s="480"/>
      <c r="F44" s="434"/>
      <c r="G44" s="481">
        <v>578910</v>
      </c>
      <c r="H44" s="482"/>
    </row>
    <row r="45" spans="1:8" ht="15" customHeight="1" x14ac:dyDescent="0.2">
      <c r="C45" s="483" t="s">
        <v>447</v>
      </c>
      <c r="D45" s="484"/>
      <c r="E45" s="484"/>
      <c r="G45" s="485">
        <v>373480</v>
      </c>
      <c r="H45" s="477"/>
    </row>
    <row r="46" spans="1:8" ht="15" customHeight="1" x14ac:dyDescent="0.2">
      <c r="C46" s="483" t="s">
        <v>445</v>
      </c>
      <c r="D46" s="484"/>
      <c r="E46" s="484"/>
      <c r="G46" s="485">
        <v>205430</v>
      </c>
      <c r="H46" s="477"/>
    </row>
    <row r="48" spans="1:8" ht="31.5" customHeight="1" x14ac:dyDescent="0.2">
      <c r="A48" s="486" t="s">
        <v>776</v>
      </c>
      <c r="B48" s="484"/>
      <c r="C48" s="484"/>
      <c r="D48" s="484"/>
      <c r="E48" s="484"/>
      <c r="F48" s="484"/>
      <c r="G48" s="484"/>
      <c r="H48" s="484"/>
    </row>
    <row r="49" spans="1:8" ht="15" customHeight="1" x14ac:dyDescent="0.2">
      <c r="C49" s="479" t="s">
        <v>324</v>
      </c>
      <c r="D49" s="480"/>
      <c r="E49" s="480"/>
      <c r="F49" s="434"/>
      <c r="G49" s="481">
        <v>138220</v>
      </c>
      <c r="H49" s="482"/>
    </row>
    <row r="50" spans="1:8" ht="15" customHeight="1" x14ac:dyDescent="0.2">
      <c r="C50" s="483" t="s">
        <v>447</v>
      </c>
      <c r="D50" s="484"/>
      <c r="E50" s="484"/>
      <c r="G50" s="485">
        <v>26973</v>
      </c>
      <c r="H50" s="477"/>
    </row>
    <row r="51" spans="1:8" ht="15" customHeight="1" x14ac:dyDescent="0.2">
      <c r="C51" s="483" t="s">
        <v>445</v>
      </c>
      <c r="D51" s="484"/>
      <c r="E51" s="484"/>
      <c r="G51" s="485">
        <v>111247</v>
      </c>
      <c r="H51" s="477"/>
    </row>
    <row r="53" spans="1:8" ht="31.5" customHeight="1" x14ac:dyDescent="0.2">
      <c r="A53" s="486" t="s">
        <v>777</v>
      </c>
      <c r="B53" s="484"/>
      <c r="C53" s="484"/>
      <c r="D53" s="484"/>
      <c r="E53" s="484"/>
      <c r="F53" s="484"/>
      <c r="G53" s="484"/>
      <c r="H53" s="484"/>
    </row>
    <row r="54" spans="1:8" ht="15" customHeight="1" x14ac:dyDescent="0.2">
      <c r="C54" s="479" t="s">
        <v>324</v>
      </c>
      <c r="D54" s="480"/>
      <c r="E54" s="480"/>
      <c r="F54" s="434"/>
      <c r="G54" s="481">
        <v>4599440</v>
      </c>
      <c r="H54" s="482"/>
    </row>
    <row r="55" spans="1:8" ht="15" customHeight="1" x14ac:dyDescent="0.2">
      <c r="C55" s="483" t="s">
        <v>445</v>
      </c>
      <c r="D55" s="484"/>
      <c r="E55" s="484"/>
      <c r="G55" s="485">
        <v>4599440</v>
      </c>
      <c r="H55" s="477"/>
    </row>
    <row r="57" spans="1:8" ht="31.5" customHeight="1" x14ac:dyDescent="0.2">
      <c r="A57" s="486" t="s">
        <v>778</v>
      </c>
      <c r="B57" s="484"/>
      <c r="C57" s="484"/>
      <c r="D57" s="484"/>
      <c r="E57" s="484"/>
      <c r="F57" s="484"/>
      <c r="G57" s="484"/>
      <c r="H57" s="484"/>
    </row>
    <row r="58" spans="1:8" ht="15" customHeight="1" x14ac:dyDescent="0.2">
      <c r="C58" s="479" t="s">
        <v>324</v>
      </c>
      <c r="D58" s="480"/>
      <c r="E58" s="480"/>
      <c r="F58" s="434"/>
      <c r="G58" s="481">
        <v>3123479</v>
      </c>
      <c r="H58" s="482"/>
    </row>
    <row r="59" spans="1:8" ht="15" customHeight="1" x14ac:dyDescent="0.2">
      <c r="C59" s="483" t="s">
        <v>445</v>
      </c>
      <c r="D59" s="484"/>
      <c r="E59" s="484"/>
      <c r="G59" s="485">
        <v>3123479</v>
      </c>
      <c r="H59" s="477"/>
    </row>
    <row r="61" spans="1:8" ht="31.5" customHeight="1" x14ac:dyDescent="0.2">
      <c r="A61" s="486" t="s">
        <v>779</v>
      </c>
      <c r="B61" s="484"/>
      <c r="C61" s="484"/>
      <c r="D61" s="484"/>
      <c r="E61" s="484"/>
      <c r="F61" s="484"/>
      <c r="G61" s="484"/>
      <c r="H61" s="484"/>
    </row>
    <row r="62" spans="1:8" ht="15" customHeight="1" x14ac:dyDescent="0.2">
      <c r="C62" s="479" t="s">
        <v>324</v>
      </c>
      <c r="D62" s="480"/>
      <c r="E62" s="480"/>
      <c r="F62" s="434"/>
      <c r="G62" s="481">
        <v>930713</v>
      </c>
      <c r="H62" s="482"/>
    </row>
    <row r="63" spans="1:8" ht="15" customHeight="1" x14ac:dyDescent="0.2">
      <c r="C63" s="483" t="s">
        <v>445</v>
      </c>
      <c r="D63" s="484"/>
      <c r="E63" s="484"/>
      <c r="G63" s="485">
        <v>930713</v>
      </c>
      <c r="H63" s="477"/>
    </row>
    <row r="65" spans="1:8" ht="31.5" customHeight="1" x14ac:dyDescent="0.2">
      <c r="A65" s="486" t="s">
        <v>780</v>
      </c>
      <c r="B65" s="484"/>
      <c r="C65" s="484"/>
      <c r="D65" s="484"/>
      <c r="E65" s="484"/>
      <c r="F65" s="484"/>
      <c r="G65" s="484"/>
      <c r="H65" s="484"/>
    </row>
    <row r="66" spans="1:8" ht="15" customHeight="1" x14ac:dyDescent="0.2">
      <c r="C66" s="479" t="s">
        <v>324</v>
      </c>
      <c r="D66" s="480"/>
      <c r="E66" s="480"/>
      <c r="F66" s="434"/>
      <c r="G66" s="481">
        <v>52010</v>
      </c>
      <c r="H66" s="482"/>
    </row>
    <row r="67" spans="1:8" ht="15" customHeight="1" x14ac:dyDescent="0.2">
      <c r="C67" s="483" t="s">
        <v>447</v>
      </c>
      <c r="D67" s="484"/>
      <c r="E67" s="484"/>
      <c r="G67" s="485">
        <v>52010</v>
      </c>
      <c r="H67" s="477"/>
    </row>
    <row r="69" spans="1:8" ht="31.5" customHeight="1" x14ac:dyDescent="0.2">
      <c r="A69" s="486" t="s">
        <v>781</v>
      </c>
      <c r="B69" s="484"/>
      <c r="C69" s="484"/>
      <c r="D69" s="484"/>
      <c r="E69" s="484"/>
      <c r="F69" s="484"/>
      <c r="G69" s="484"/>
      <c r="H69" s="484"/>
    </row>
    <row r="70" spans="1:8" ht="15" customHeight="1" x14ac:dyDescent="0.2">
      <c r="C70" s="479" t="s">
        <v>324</v>
      </c>
      <c r="D70" s="480"/>
      <c r="E70" s="480"/>
      <c r="F70" s="434"/>
      <c r="G70" s="481">
        <v>1533754</v>
      </c>
      <c r="H70" s="482"/>
    </row>
    <row r="71" spans="1:8" ht="15" customHeight="1" x14ac:dyDescent="0.2">
      <c r="C71" s="483" t="s">
        <v>445</v>
      </c>
      <c r="D71" s="484"/>
      <c r="E71" s="484"/>
      <c r="G71" s="485">
        <v>1450515</v>
      </c>
      <c r="H71" s="477"/>
    </row>
    <row r="72" spans="1:8" x14ac:dyDescent="0.2">
      <c r="C72" s="483" t="s">
        <v>443</v>
      </c>
      <c r="D72" s="484"/>
      <c r="E72" s="484"/>
      <c r="G72" s="485">
        <v>83239</v>
      </c>
      <c r="H72" s="477"/>
    </row>
    <row r="74" spans="1:8" ht="15.75" customHeight="1" x14ac:dyDescent="0.2">
      <c r="A74" s="486" t="s">
        <v>332</v>
      </c>
      <c r="B74" s="484"/>
      <c r="C74" s="484"/>
      <c r="D74" s="484"/>
      <c r="E74" s="484"/>
      <c r="F74" s="484"/>
      <c r="G74" s="484"/>
      <c r="H74" s="484"/>
    </row>
    <row r="75" spans="1:8" ht="15" customHeight="1" x14ac:dyDescent="0.2">
      <c r="C75" s="479" t="s">
        <v>324</v>
      </c>
      <c r="D75" s="480"/>
      <c r="E75" s="480"/>
      <c r="F75" s="434"/>
      <c r="G75" s="481">
        <v>76574</v>
      </c>
      <c r="H75" s="482"/>
    </row>
    <row r="76" spans="1:8" ht="15" customHeight="1" x14ac:dyDescent="0.2">
      <c r="C76" s="483" t="s">
        <v>447</v>
      </c>
      <c r="D76" s="484"/>
      <c r="E76" s="484"/>
      <c r="G76" s="485">
        <v>66574</v>
      </c>
      <c r="H76" s="477"/>
    </row>
    <row r="77" spans="1:8" ht="15" customHeight="1" x14ac:dyDescent="0.2">
      <c r="C77" s="483" t="s">
        <v>445</v>
      </c>
      <c r="D77" s="484"/>
      <c r="E77" s="484"/>
      <c r="G77" s="485">
        <v>10000</v>
      </c>
      <c r="H77" s="477"/>
    </row>
    <row r="79" spans="1:8" ht="31.5" customHeight="1" x14ac:dyDescent="0.2">
      <c r="A79" s="486" t="s">
        <v>782</v>
      </c>
      <c r="B79" s="484"/>
      <c r="C79" s="484"/>
      <c r="D79" s="484"/>
      <c r="E79" s="484"/>
      <c r="F79" s="484"/>
      <c r="G79" s="484"/>
      <c r="H79" s="484"/>
    </row>
    <row r="80" spans="1:8" ht="15" customHeight="1" x14ac:dyDescent="0.2">
      <c r="C80" s="479" t="s">
        <v>324</v>
      </c>
      <c r="D80" s="480"/>
      <c r="E80" s="480"/>
      <c r="F80" s="434"/>
      <c r="G80" s="481">
        <v>1358480</v>
      </c>
      <c r="H80" s="482"/>
    </row>
    <row r="81" spans="1:8" ht="15" customHeight="1" x14ac:dyDescent="0.2">
      <c r="C81" s="483" t="s">
        <v>447</v>
      </c>
      <c r="D81" s="484"/>
      <c r="E81" s="484"/>
      <c r="G81" s="485">
        <v>60</v>
      </c>
      <c r="H81" s="477"/>
    </row>
    <row r="82" spans="1:8" ht="15" customHeight="1" x14ac:dyDescent="0.2">
      <c r="C82" s="483" t="s">
        <v>445</v>
      </c>
      <c r="D82" s="484"/>
      <c r="E82" s="484"/>
      <c r="G82" s="485">
        <v>1358420</v>
      </c>
      <c r="H82" s="477"/>
    </row>
    <row r="84" spans="1:8" ht="31.5" customHeight="1" x14ac:dyDescent="0.2">
      <c r="A84" s="486" t="s">
        <v>783</v>
      </c>
      <c r="B84" s="484"/>
      <c r="C84" s="484"/>
      <c r="D84" s="484"/>
      <c r="E84" s="484"/>
      <c r="F84" s="484"/>
      <c r="G84" s="484"/>
      <c r="H84" s="484"/>
    </row>
    <row r="85" spans="1:8" ht="15" customHeight="1" x14ac:dyDescent="0.2">
      <c r="C85" s="479" t="s">
        <v>324</v>
      </c>
      <c r="D85" s="480"/>
      <c r="E85" s="480"/>
      <c r="F85" s="434"/>
      <c r="G85" s="481">
        <v>316916</v>
      </c>
      <c r="H85" s="482"/>
    </row>
    <row r="86" spans="1:8" ht="15" customHeight="1" x14ac:dyDescent="0.2">
      <c r="C86" s="483" t="s">
        <v>447</v>
      </c>
      <c r="D86" s="484"/>
      <c r="E86" s="484"/>
      <c r="G86" s="485">
        <v>11323</v>
      </c>
      <c r="H86" s="477"/>
    </row>
    <row r="87" spans="1:8" ht="15" customHeight="1" x14ac:dyDescent="0.2">
      <c r="C87" s="483" t="s">
        <v>445</v>
      </c>
      <c r="D87" s="484"/>
      <c r="E87" s="484"/>
      <c r="G87" s="485">
        <v>196734</v>
      </c>
      <c r="H87" s="477"/>
    </row>
    <row r="88" spans="1:8" x14ac:dyDescent="0.2">
      <c r="C88" s="483" t="s">
        <v>443</v>
      </c>
      <c r="D88" s="484"/>
      <c r="E88" s="484"/>
      <c r="G88" s="485">
        <v>108859</v>
      </c>
      <c r="H88" s="477"/>
    </row>
    <row r="90" spans="1:8" ht="15.75" customHeight="1" x14ac:dyDescent="0.2">
      <c r="A90" s="486" t="s">
        <v>336</v>
      </c>
      <c r="B90" s="484"/>
      <c r="C90" s="484"/>
      <c r="D90" s="484"/>
      <c r="E90" s="484"/>
      <c r="F90" s="484"/>
      <c r="G90" s="484"/>
      <c r="H90" s="484"/>
    </row>
    <row r="91" spans="1:8" ht="15" customHeight="1" x14ac:dyDescent="0.2">
      <c r="C91" s="479" t="s">
        <v>324</v>
      </c>
      <c r="D91" s="480"/>
      <c r="E91" s="480"/>
      <c r="F91" s="434"/>
      <c r="G91" s="481">
        <v>673334</v>
      </c>
      <c r="H91" s="482"/>
    </row>
    <row r="92" spans="1:8" ht="15" customHeight="1" x14ac:dyDescent="0.2">
      <c r="C92" s="483" t="s">
        <v>447</v>
      </c>
      <c r="D92" s="484"/>
      <c r="E92" s="484"/>
      <c r="G92" s="485">
        <v>35000</v>
      </c>
      <c r="H92" s="477"/>
    </row>
    <row r="93" spans="1:8" ht="15" customHeight="1" x14ac:dyDescent="0.2">
      <c r="C93" s="483" t="s">
        <v>445</v>
      </c>
      <c r="D93" s="484"/>
      <c r="E93" s="484"/>
      <c r="G93" s="485">
        <v>638334</v>
      </c>
      <c r="H93" s="477"/>
    </row>
    <row r="95" spans="1:8" ht="15.75" customHeight="1" x14ac:dyDescent="0.2">
      <c r="A95" s="486" t="s">
        <v>339</v>
      </c>
      <c r="B95" s="484"/>
      <c r="C95" s="484"/>
      <c r="D95" s="484"/>
      <c r="E95" s="484"/>
      <c r="F95" s="484"/>
      <c r="G95" s="484"/>
      <c r="H95" s="484"/>
    </row>
    <row r="96" spans="1:8" ht="15" customHeight="1" x14ac:dyDescent="0.2">
      <c r="C96" s="479" t="s">
        <v>324</v>
      </c>
      <c r="D96" s="480"/>
      <c r="E96" s="480"/>
      <c r="F96" s="434"/>
      <c r="G96" s="481">
        <v>293150</v>
      </c>
      <c r="H96" s="482"/>
    </row>
    <row r="97" spans="1:8" ht="15" customHeight="1" x14ac:dyDescent="0.2">
      <c r="C97" s="483" t="s">
        <v>447</v>
      </c>
      <c r="D97" s="484"/>
      <c r="E97" s="484"/>
      <c r="G97" s="485">
        <v>157300</v>
      </c>
      <c r="H97" s="477"/>
    </row>
    <row r="98" spans="1:8" ht="15" customHeight="1" x14ac:dyDescent="0.2">
      <c r="C98" s="483" t="s">
        <v>446</v>
      </c>
      <c r="D98" s="484"/>
      <c r="E98" s="484"/>
      <c r="G98" s="485">
        <v>25000</v>
      </c>
      <c r="H98" s="477"/>
    </row>
    <row r="99" spans="1:8" ht="15" customHeight="1" x14ac:dyDescent="0.2">
      <c r="C99" s="483" t="s">
        <v>445</v>
      </c>
      <c r="D99" s="484"/>
      <c r="E99" s="484"/>
      <c r="G99" s="485">
        <v>110850</v>
      </c>
      <c r="H99" s="477"/>
    </row>
    <row r="101" spans="1:8" ht="15.75" customHeight="1" x14ac:dyDescent="0.2">
      <c r="A101" s="486" t="s">
        <v>340</v>
      </c>
      <c r="B101" s="484"/>
      <c r="C101" s="484"/>
      <c r="D101" s="484"/>
      <c r="E101" s="484"/>
      <c r="F101" s="484"/>
      <c r="G101" s="484"/>
      <c r="H101" s="484"/>
    </row>
    <row r="102" spans="1:8" ht="15" customHeight="1" x14ac:dyDescent="0.2">
      <c r="C102" s="479" t="s">
        <v>324</v>
      </c>
      <c r="D102" s="480"/>
      <c r="E102" s="480"/>
      <c r="F102" s="434"/>
      <c r="G102" s="481">
        <v>19500</v>
      </c>
      <c r="H102" s="482"/>
    </row>
    <row r="103" spans="1:8" ht="15" customHeight="1" x14ac:dyDescent="0.2">
      <c r="C103" s="483" t="s">
        <v>448</v>
      </c>
      <c r="D103" s="484"/>
      <c r="E103" s="484"/>
      <c r="G103" s="485">
        <v>3500</v>
      </c>
      <c r="H103" s="477"/>
    </row>
    <row r="104" spans="1:8" ht="15" customHeight="1" x14ac:dyDescent="0.2">
      <c r="C104" s="483" t="s">
        <v>447</v>
      </c>
      <c r="D104" s="484"/>
      <c r="E104" s="484"/>
      <c r="G104" s="485">
        <v>13000</v>
      </c>
      <c r="H104" s="477"/>
    </row>
    <row r="105" spans="1:8" ht="15" customHeight="1" x14ac:dyDescent="0.2">
      <c r="C105" s="483" t="s">
        <v>445</v>
      </c>
      <c r="D105" s="484"/>
      <c r="E105" s="484"/>
      <c r="G105" s="485">
        <v>3000</v>
      </c>
      <c r="H105" s="477"/>
    </row>
    <row r="107" spans="1:8" ht="31.5" customHeight="1" x14ac:dyDescent="0.2">
      <c r="A107" s="486" t="s">
        <v>480</v>
      </c>
      <c r="B107" s="484"/>
      <c r="C107" s="484"/>
      <c r="D107" s="484"/>
      <c r="E107" s="484"/>
      <c r="F107" s="484"/>
      <c r="G107" s="484"/>
      <c r="H107" s="484"/>
    </row>
    <row r="108" spans="1:8" ht="15" customHeight="1" x14ac:dyDescent="0.2">
      <c r="C108" s="479" t="s">
        <v>324</v>
      </c>
      <c r="D108" s="480"/>
      <c r="E108" s="480"/>
      <c r="F108" s="434"/>
      <c r="G108" s="481">
        <v>15000</v>
      </c>
      <c r="H108" s="482"/>
    </row>
    <row r="109" spans="1:8" ht="15" customHeight="1" x14ac:dyDescent="0.2">
      <c r="C109" s="483" t="s">
        <v>446</v>
      </c>
      <c r="D109" s="484"/>
      <c r="E109" s="484"/>
      <c r="G109" s="485">
        <v>15000</v>
      </c>
      <c r="H109" s="477"/>
    </row>
    <row r="111" spans="1:8" ht="31.5" customHeight="1" x14ac:dyDescent="0.2">
      <c r="A111" s="486" t="s">
        <v>784</v>
      </c>
      <c r="B111" s="484"/>
      <c r="C111" s="484"/>
      <c r="D111" s="484"/>
      <c r="E111" s="484"/>
      <c r="F111" s="484"/>
      <c r="G111" s="484"/>
      <c r="H111" s="484"/>
    </row>
    <row r="112" spans="1:8" ht="15" customHeight="1" x14ac:dyDescent="0.2">
      <c r="C112" s="479" t="s">
        <v>324</v>
      </c>
      <c r="D112" s="480"/>
      <c r="E112" s="480"/>
      <c r="F112" s="434"/>
      <c r="G112" s="481">
        <v>8109</v>
      </c>
      <c r="H112" s="482"/>
    </row>
    <row r="113" spans="1:8" ht="15" customHeight="1" x14ac:dyDescent="0.2">
      <c r="C113" s="483" t="s">
        <v>448</v>
      </c>
      <c r="D113" s="484"/>
      <c r="E113" s="484"/>
      <c r="G113" s="485">
        <v>7609</v>
      </c>
      <c r="H113" s="477"/>
    </row>
    <row r="114" spans="1:8" ht="15" customHeight="1" x14ac:dyDescent="0.2">
      <c r="C114" s="483" t="s">
        <v>447</v>
      </c>
      <c r="D114" s="484"/>
      <c r="E114" s="484"/>
      <c r="G114" s="485">
        <v>500</v>
      </c>
      <c r="H114" s="477"/>
    </row>
    <row r="116" spans="1:8" ht="31.5" customHeight="1" x14ac:dyDescent="0.2">
      <c r="A116" s="486" t="s">
        <v>785</v>
      </c>
      <c r="B116" s="484"/>
      <c r="C116" s="484"/>
      <c r="D116" s="484"/>
      <c r="E116" s="484"/>
      <c r="F116" s="484"/>
      <c r="G116" s="484"/>
      <c r="H116" s="484"/>
    </row>
    <row r="117" spans="1:8" ht="15" customHeight="1" x14ac:dyDescent="0.2">
      <c r="C117" s="479" t="s">
        <v>324</v>
      </c>
      <c r="D117" s="480"/>
      <c r="E117" s="480"/>
      <c r="F117" s="434"/>
      <c r="G117" s="481">
        <v>224745</v>
      </c>
      <c r="H117" s="482"/>
    </row>
    <row r="118" spans="1:8" ht="15" customHeight="1" x14ac:dyDescent="0.2">
      <c r="C118" s="483" t="s">
        <v>448</v>
      </c>
      <c r="D118" s="484"/>
      <c r="E118" s="484"/>
      <c r="G118" s="485">
        <v>18614</v>
      </c>
      <c r="H118" s="477"/>
    </row>
    <row r="119" spans="1:8" ht="15" customHeight="1" x14ac:dyDescent="0.2">
      <c r="C119" s="483" t="s">
        <v>447</v>
      </c>
      <c r="D119" s="484"/>
      <c r="E119" s="484"/>
      <c r="G119" s="485">
        <v>206131</v>
      </c>
      <c r="H119" s="477"/>
    </row>
    <row r="121" spans="1:8" ht="31.5" customHeight="1" x14ac:dyDescent="0.2">
      <c r="A121" s="486" t="s">
        <v>786</v>
      </c>
      <c r="B121" s="484"/>
      <c r="C121" s="484"/>
      <c r="D121" s="484"/>
      <c r="E121" s="484"/>
      <c r="F121" s="484"/>
      <c r="G121" s="484"/>
      <c r="H121" s="484"/>
    </row>
    <row r="122" spans="1:8" ht="15" customHeight="1" x14ac:dyDescent="0.2">
      <c r="C122" s="479" t="s">
        <v>324</v>
      </c>
      <c r="D122" s="480"/>
      <c r="E122" s="480"/>
      <c r="F122" s="434"/>
      <c r="G122" s="481">
        <v>292907</v>
      </c>
      <c r="H122" s="482"/>
    </row>
    <row r="123" spans="1:8" ht="15" customHeight="1" x14ac:dyDescent="0.2">
      <c r="C123" s="483" t="s">
        <v>445</v>
      </c>
      <c r="D123" s="484"/>
      <c r="E123" s="484"/>
      <c r="G123" s="485">
        <v>292907</v>
      </c>
      <c r="H123" s="477"/>
    </row>
    <row r="125" spans="1:8" ht="15.75" customHeight="1" x14ac:dyDescent="0.2">
      <c r="A125" s="486" t="s">
        <v>350</v>
      </c>
      <c r="B125" s="484"/>
      <c r="C125" s="484"/>
      <c r="D125" s="484"/>
      <c r="E125" s="484"/>
      <c r="F125" s="484"/>
      <c r="G125" s="484"/>
      <c r="H125" s="484"/>
    </row>
    <row r="126" spans="1:8" ht="15" customHeight="1" x14ac:dyDescent="0.2">
      <c r="C126" s="479" t="s">
        <v>324</v>
      </c>
      <c r="D126" s="480"/>
      <c r="E126" s="480"/>
      <c r="F126" s="434"/>
      <c r="G126" s="481">
        <v>515490</v>
      </c>
      <c r="H126" s="482"/>
    </row>
    <row r="127" spans="1:8" ht="15" customHeight="1" x14ac:dyDescent="0.2">
      <c r="C127" s="483" t="s">
        <v>448</v>
      </c>
      <c r="D127" s="484"/>
      <c r="E127" s="484"/>
      <c r="G127" s="485">
        <v>54715</v>
      </c>
      <c r="H127" s="477"/>
    </row>
    <row r="128" spans="1:8" ht="15" customHeight="1" x14ac:dyDescent="0.2">
      <c r="C128" s="483" t="s">
        <v>447</v>
      </c>
      <c r="D128" s="484"/>
      <c r="E128" s="484"/>
      <c r="G128" s="485">
        <v>427399</v>
      </c>
      <c r="H128" s="477"/>
    </row>
    <row r="129" spans="1:8" ht="15" customHeight="1" x14ac:dyDescent="0.2">
      <c r="C129" s="483" t="s">
        <v>445</v>
      </c>
      <c r="D129" s="484"/>
      <c r="E129" s="484"/>
      <c r="G129" s="485">
        <v>33376</v>
      </c>
      <c r="H129" s="477"/>
    </row>
    <row r="130" spans="1:8" ht="9" customHeight="1" x14ac:dyDescent="0.2"/>
    <row r="131" spans="1:8" ht="15.75" customHeight="1" x14ac:dyDescent="0.2">
      <c r="A131" s="486" t="s">
        <v>787</v>
      </c>
      <c r="B131" s="484"/>
      <c r="C131" s="484"/>
      <c r="D131" s="484"/>
      <c r="E131" s="484"/>
      <c r="F131" s="484"/>
      <c r="G131" s="484"/>
      <c r="H131" s="484"/>
    </row>
    <row r="132" spans="1:8" ht="15" customHeight="1" x14ac:dyDescent="0.2">
      <c r="C132" s="479" t="s">
        <v>324</v>
      </c>
      <c r="D132" s="480"/>
      <c r="E132" s="480"/>
      <c r="F132" s="434"/>
      <c r="G132" s="481">
        <v>585976</v>
      </c>
      <c r="H132" s="482"/>
    </row>
    <row r="133" spans="1:8" ht="15" customHeight="1" x14ac:dyDescent="0.2">
      <c r="C133" s="483" t="s">
        <v>445</v>
      </c>
      <c r="D133" s="484"/>
      <c r="E133" s="484"/>
      <c r="G133" s="485">
        <v>585976</v>
      </c>
      <c r="H133" s="477"/>
    </row>
    <row r="135" spans="1:8" ht="31.5" customHeight="1" x14ac:dyDescent="0.2">
      <c r="A135" s="486" t="s">
        <v>788</v>
      </c>
      <c r="B135" s="484"/>
      <c r="C135" s="484"/>
      <c r="D135" s="484"/>
      <c r="E135" s="484"/>
      <c r="F135" s="484"/>
      <c r="G135" s="484"/>
      <c r="H135" s="484"/>
    </row>
    <row r="136" spans="1:8" ht="15" customHeight="1" x14ac:dyDescent="0.2">
      <c r="C136" s="479" t="s">
        <v>324</v>
      </c>
      <c r="D136" s="480"/>
      <c r="E136" s="480"/>
      <c r="F136" s="434"/>
      <c r="G136" s="481">
        <v>834558</v>
      </c>
      <c r="H136" s="482"/>
    </row>
    <row r="137" spans="1:8" ht="15" customHeight="1" x14ac:dyDescent="0.2">
      <c r="C137" s="483" t="s">
        <v>445</v>
      </c>
      <c r="D137" s="484"/>
      <c r="E137" s="484"/>
      <c r="G137" s="485">
        <v>834558</v>
      </c>
      <c r="H137" s="477"/>
    </row>
    <row r="139" spans="1:8" ht="31.5" customHeight="1" x14ac:dyDescent="0.2">
      <c r="A139" s="486" t="s">
        <v>789</v>
      </c>
      <c r="B139" s="484"/>
      <c r="C139" s="484"/>
      <c r="D139" s="484"/>
      <c r="E139" s="484"/>
      <c r="F139" s="484"/>
      <c r="G139" s="484"/>
      <c r="H139" s="484"/>
    </row>
    <row r="140" spans="1:8" ht="15" customHeight="1" x14ac:dyDescent="0.2">
      <c r="C140" s="479" t="s">
        <v>324</v>
      </c>
      <c r="D140" s="480"/>
      <c r="E140" s="480"/>
      <c r="F140" s="434"/>
      <c r="G140" s="481">
        <v>5968449</v>
      </c>
      <c r="H140" s="482"/>
    </row>
    <row r="141" spans="1:8" ht="15" customHeight="1" x14ac:dyDescent="0.2">
      <c r="C141" s="483" t="s">
        <v>445</v>
      </c>
      <c r="D141" s="484"/>
      <c r="E141" s="484"/>
      <c r="G141" s="485">
        <v>5968449</v>
      </c>
      <c r="H141" s="477"/>
    </row>
    <row r="143" spans="1:8" ht="31.5" customHeight="1" x14ac:dyDescent="0.2">
      <c r="A143" s="486" t="s">
        <v>790</v>
      </c>
      <c r="B143" s="484"/>
      <c r="C143" s="484"/>
      <c r="D143" s="484"/>
      <c r="E143" s="484"/>
      <c r="F143" s="484"/>
      <c r="G143" s="484"/>
      <c r="H143" s="484"/>
    </row>
    <row r="144" spans="1:8" ht="15" customHeight="1" x14ac:dyDescent="0.2">
      <c r="C144" s="479" t="s">
        <v>324</v>
      </c>
      <c r="D144" s="480"/>
      <c r="E144" s="480"/>
      <c r="F144" s="434"/>
      <c r="G144" s="481">
        <v>553178</v>
      </c>
      <c r="H144" s="482"/>
    </row>
    <row r="145" spans="1:8" ht="15" customHeight="1" x14ac:dyDescent="0.2">
      <c r="C145" s="483" t="s">
        <v>445</v>
      </c>
      <c r="D145" s="484"/>
      <c r="E145" s="484"/>
      <c r="G145" s="485">
        <v>553178</v>
      </c>
      <c r="H145" s="477"/>
    </row>
    <row r="147" spans="1:8" ht="31.5" customHeight="1" x14ac:dyDescent="0.2">
      <c r="A147" s="486" t="s">
        <v>791</v>
      </c>
      <c r="B147" s="484"/>
      <c r="C147" s="484"/>
      <c r="D147" s="484"/>
      <c r="E147" s="484"/>
      <c r="F147" s="484"/>
      <c r="G147" s="484"/>
      <c r="H147" s="484"/>
    </row>
    <row r="148" spans="1:8" ht="15" customHeight="1" x14ac:dyDescent="0.2">
      <c r="C148" s="479" t="s">
        <v>324</v>
      </c>
      <c r="D148" s="480"/>
      <c r="E148" s="480"/>
      <c r="F148" s="434"/>
      <c r="G148" s="481">
        <v>4085469</v>
      </c>
      <c r="H148" s="482"/>
    </row>
    <row r="149" spans="1:8" ht="15" customHeight="1" x14ac:dyDescent="0.2">
      <c r="C149" s="483" t="s">
        <v>445</v>
      </c>
      <c r="D149" s="484"/>
      <c r="E149" s="484"/>
      <c r="G149" s="485">
        <v>4085469</v>
      </c>
      <c r="H149" s="477"/>
    </row>
    <row r="151" spans="1:8" ht="31.5" customHeight="1" x14ac:dyDescent="0.2">
      <c r="A151" s="486" t="s">
        <v>792</v>
      </c>
      <c r="B151" s="484"/>
      <c r="C151" s="484"/>
      <c r="D151" s="484"/>
      <c r="E151" s="484"/>
      <c r="F151" s="484"/>
      <c r="G151" s="484"/>
      <c r="H151" s="484"/>
    </row>
    <row r="152" spans="1:8" ht="15" customHeight="1" x14ac:dyDescent="0.2">
      <c r="C152" s="479" t="s">
        <v>324</v>
      </c>
      <c r="D152" s="480"/>
      <c r="E152" s="480"/>
      <c r="F152" s="434"/>
      <c r="G152" s="481">
        <v>866395</v>
      </c>
      <c r="H152" s="482"/>
    </row>
    <row r="153" spans="1:8" ht="15" customHeight="1" x14ac:dyDescent="0.2">
      <c r="C153" s="483" t="s">
        <v>445</v>
      </c>
      <c r="D153" s="484"/>
      <c r="E153" s="484"/>
      <c r="G153" s="485">
        <v>866395</v>
      </c>
      <c r="H153" s="477"/>
    </row>
    <row r="155" spans="1:8" ht="31.5" customHeight="1" x14ac:dyDescent="0.2">
      <c r="A155" s="486" t="s">
        <v>793</v>
      </c>
      <c r="B155" s="484"/>
      <c r="C155" s="484"/>
      <c r="D155" s="484"/>
      <c r="E155" s="484"/>
      <c r="F155" s="484"/>
      <c r="G155" s="484"/>
      <c r="H155" s="484"/>
    </row>
    <row r="156" spans="1:8" ht="15" customHeight="1" x14ac:dyDescent="0.2">
      <c r="C156" s="479" t="s">
        <v>324</v>
      </c>
      <c r="D156" s="480"/>
      <c r="E156" s="480"/>
      <c r="F156" s="434"/>
      <c r="G156" s="481">
        <v>884676</v>
      </c>
      <c r="H156" s="482"/>
    </row>
    <row r="157" spans="1:8" ht="15" customHeight="1" x14ac:dyDescent="0.2">
      <c r="C157" s="483" t="s">
        <v>445</v>
      </c>
      <c r="D157" s="484"/>
      <c r="E157" s="484"/>
      <c r="G157" s="485">
        <v>884676</v>
      </c>
      <c r="H157" s="477"/>
    </row>
    <row r="159" spans="1:8" ht="15.75" customHeight="1" x14ac:dyDescent="0.2">
      <c r="A159" s="486" t="s">
        <v>794</v>
      </c>
      <c r="B159" s="484"/>
      <c r="C159" s="484"/>
      <c r="D159" s="484"/>
      <c r="E159" s="484"/>
      <c r="F159" s="484"/>
      <c r="G159" s="484"/>
      <c r="H159" s="484"/>
    </row>
    <row r="160" spans="1:8" ht="15" customHeight="1" x14ac:dyDescent="0.2">
      <c r="C160" s="479" t="s">
        <v>324</v>
      </c>
      <c r="D160" s="480"/>
      <c r="E160" s="480"/>
      <c r="F160" s="434"/>
      <c r="G160" s="481">
        <v>77753</v>
      </c>
      <c r="H160" s="482"/>
    </row>
    <row r="161" spans="1:8" ht="15" customHeight="1" x14ac:dyDescent="0.2">
      <c r="C161" s="483" t="s">
        <v>448</v>
      </c>
      <c r="D161" s="484"/>
      <c r="E161" s="484"/>
      <c r="G161" s="485">
        <v>54493</v>
      </c>
      <c r="H161" s="477"/>
    </row>
    <row r="162" spans="1:8" ht="15" customHeight="1" x14ac:dyDescent="0.2">
      <c r="C162" s="483" t="s">
        <v>447</v>
      </c>
      <c r="D162" s="484"/>
      <c r="E162" s="484"/>
      <c r="G162" s="485">
        <v>23260</v>
      </c>
      <c r="H162" s="477"/>
    </row>
    <row r="164" spans="1:8" ht="15.75" customHeight="1" x14ac:dyDescent="0.2">
      <c r="A164" s="486" t="s">
        <v>795</v>
      </c>
      <c r="B164" s="484"/>
      <c r="C164" s="484"/>
      <c r="D164" s="484"/>
      <c r="E164" s="484"/>
      <c r="F164" s="484"/>
      <c r="G164" s="484"/>
      <c r="H164" s="484"/>
    </row>
    <row r="165" spans="1:8" ht="15" customHeight="1" x14ac:dyDescent="0.2">
      <c r="C165" s="479" t="s">
        <v>324</v>
      </c>
      <c r="D165" s="480"/>
      <c r="E165" s="480"/>
      <c r="F165" s="434"/>
      <c r="G165" s="481">
        <v>123051</v>
      </c>
      <c r="H165" s="482"/>
    </row>
    <row r="166" spans="1:8" ht="15" customHeight="1" x14ac:dyDescent="0.2">
      <c r="C166" s="483" t="s">
        <v>448</v>
      </c>
      <c r="D166" s="484"/>
      <c r="E166" s="484"/>
      <c r="G166" s="485">
        <v>25438</v>
      </c>
      <c r="H166" s="477"/>
    </row>
    <row r="167" spans="1:8" ht="15" customHeight="1" x14ac:dyDescent="0.2">
      <c r="C167" s="483" t="s">
        <v>447</v>
      </c>
      <c r="D167" s="484"/>
      <c r="E167" s="484"/>
      <c r="G167" s="485">
        <v>92613</v>
      </c>
      <c r="H167" s="477"/>
    </row>
    <row r="168" spans="1:8" x14ac:dyDescent="0.2">
      <c r="C168" s="483" t="s">
        <v>443</v>
      </c>
      <c r="D168" s="484"/>
      <c r="E168" s="484"/>
      <c r="G168" s="485">
        <v>5000</v>
      </c>
      <c r="H168" s="477"/>
    </row>
    <row r="170" spans="1:8" ht="15.75" customHeight="1" x14ac:dyDescent="0.2">
      <c r="A170" s="486" t="s">
        <v>796</v>
      </c>
      <c r="B170" s="484"/>
      <c r="C170" s="484"/>
      <c r="D170" s="484"/>
      <c r="E170" s="484"/>
      <c r="F170" s="484"/>
      <c r="G170" s="484"/>
      <c r="H170" s="484"/>
    </row>
    <row r="171" spans="1:8" ht="15" customHeight="1" x14ac:dyDescent="0.2">
      <c r="C171" s="479" t="s">
        <v>324</v>
      </c>
      <c r="D171" s="480"/>
      <c r="E171" s="480"/>
      <c r="F171" s="434"/>
      <c r="G171" s="481">
        <v>200000</v>
      </c>
      <c r="H171" s="482"/>
    </row>
    <row r="172" spans="1:8" ht="15" customHeight="1" x14ac:dyDescent="0.2">
      <c r="C172" s="483" t="s">
        <v>445</v>
      </c>
      <c r="D172" s="484"/>
      <c r="E172" s="484"/>
      <c r="G172" s="485">
        <v>200000</v>
      </c>
      <c r="H172" s="477"/>
    </row>
    <row r="173" spans="1:8" ht="29.25" customHeight="1" x14ac:dyDescent="0.2"/>
    <row r="174" spans="1:8" ht="15.75" customHeight="1" x14ac:dyDescent="0.2">
      <c r="A174" s="491" t="s">
        <v>479</v>
      </c>
      <c r="B174" s="488"/>
      <c r="C174" s="488"/>
      <c r="D174" s="488"/>
      <c r="E174" s="488"/>
      <c r="F174" s="488"/>
      <c r="G174" s="488"/>
      <c r="H174" s="488"/>
    </row>
    <row r="175" spans="1:8" ht="15" customHeight="1" x14ac:dyDescent="0.2">
      <c r="A175" s="435"/>
      <c r="B175" s="435"/>
      <c r="C175" s="487" t="s">
        <v>324</v>
      </c>
      <c r="D175" s="488"/>
      <c r="E175" s="488"/>
      <c r="F175" s="435"/>
      <c r="G175" s="489">
        <v>2981936</v>
      </c>
      <c r="H175" s="490"/>
    </row>
    <row r="176" spans="1:8" ht="15" customHeight="1" x14ac:dyDescent="0.2">
      <c r="A176" s="435"/>
      <c r="B176" s="435"/>
      <c r="C176" s="487" t="s">
        <v>447</v>
      </c>
      <c r="D176" s="488"/>
      <c r="E176" s="488"/>
      <c r="F176" s="435"/>
      <c r="G176" s="489">
        <v>601565</v>
      </c>
      <c r="H176" s="490"/>
    </row>
    <row r="177" spans="1:8" ht="15" customHeight="1" x14ac:dyDescent="0.2">
      <c r="A177" s="435"/>
      <c r="B177" s="435"/>
      <c r="C177" s="487" t="s">
        <v>446</v>
      </c>
      <c r="D177" s="488"/>
      <c r="E177" s="488"/>
      <c r="F177" s="435"/>
      <c r="G177" s="489">
        <v>2377871</v>
      </c>
      <c r="H177" s="490"/>
    </row>
    <row r="178" spans="1:8" ht="30" customHeight="1" x14ac:dyDescent="0.2">
      <c r="A178" s="435"/>
      <c r="B178" s="435"/>
      <c r="C178" s="487" t="s">
        <v>443</v>
      </c>
      <c r="D178" s="488"/>
      <c r="E178" s="488"/>
      <c r="F178" s="435"/>
      <c r="G178" s="489">
        <v>2500</v>
      </c>
      <c r="H178" s="490"/>
    </row>
    <row r="180" spans="1:8" ht="15.75" customHeight="1" x14ac:dyDescent="0.2">
      <c r="A180" s="486" t="s">
        <v>478</v>
      </c>
      <c r="B180" s="484"/>
      <c r="C180" s="484"/>
      <c r="D180" s="484"/>
      <c r="E180" s="484"/>
      <c r="F180" s="484"/>
      <c r="G180" s="484"/>
      <c r="H180" s="484"/>
    </row>
    <row r="181" spans="1:8" ht="15" customHeight="1" x14ac:dyDescent="0.2">
      <c r="C181" s="479" t="s">
        <v>324</v>
      </c>
      <c r="D181" s="480"/>
      <c r="E181" s="480"/>
      <c r="F181" s="434"/>
      <c r="G181" s="481">
        <v>44630</v>
      </c>
      <c r="H181" s="482"/>
    </row>
    <row r="182" spans="1:8" ht="15" customHeight="1" x14ac:dyDescent="0.2">
      <c r="C182" s="483" t="s">
        <v>447</v>
      </c>
      <c r="D182" s="484"/>
      <c r="E182" s="484"/>
      <c r="G182" s="485">
        <v>44630</v>
      </c>
      <c r="H182" s="477"/>
    </row>
    <row r="184" spans="1:8" ht="15.75" customHeight="1" x14ac:dyDescent="0.2">
      <c r="A184" s="486" t="s">
        <v>327</v>
      </c>
      <c r="B184" s="484"/>
      <c r="C184" s="484"/>
      <c r="D184" s="484"/>
      <c r="E184" s="484"/>
      <c r="F184" s="484"/>
      <c r="G184" s="484"/>
      <c r="H184" s="484"/>
    </row>
    <row r="185" spans="1:8" ht="15" customHeight="1" x14ac:dyDescent="0.2">
      <c r="C185" s="479" t="s">
        <v>324</v>
      </c>
      <c r="D185" s="480"/>
      <c r="E185" s="480"/>
      <c r="F185" s="434"/>
      <c r="G185" s="481">
        <v>206594</v>
      </c>
      <c r="H185" s="482"/>
    </row>
    <row r="186" spans="1:8" ht="15" customHeight="1" x14ac:dyDescent="0.2">
      <c r="C186" s="483" t="s">
        <v>447</v>
      </c>
      <c r="D186" s="484"/>
      <c r="E186" s="484"/>
      <c r="G186" s="485">
        <v>206594</v>
      </c>
      <c r="H186" s="477"/>
    </row>
    <row r="188" spans="1:8" ht="15.75" customHeight="1" x14ac:dyDescent="0.2">
      <c r="A188" s="486" t="s">
        <v>330</v>
      </c>
      <c r="B188" s="484"/>
      <c r="C188" s="484"/>
      <c r="D188" s="484"/>
      <c r="E188" s="484"/>
      <c r="F188" s="484"/>
      <c r="G188" s="484"/>
      <c r="H188" s="484"/>
    </row>
    <row r="189" spans="1:8" ht="15" customHeight="1" x14ac:dyDescent="0.2">
      <c r="C189" s="479" t="s">
        <v>324</v>
      </c>
      <c r="D189" s="480"/>
      <c r="E189" s="480"/>
      <c r="F189" s="434"/>
      <c r="G189" s="481">
        <v>252800</v>
      </c>
      <c r="H189" s="482"/>
    </row>
    <row r="190" spans="1:8" ht="15" customHeight="1" x14ac:dyDescent="0.2">
      <c r="C190" s="483" t="s">
        <v>447</v>
      </c>
      <c r="D190" s="484"/>
      <c r="E190" s="484"/>
      <c r="G190" s="485">
        <v>252800</v>
      </c>
      <c r="H190" s="477"/>
    </row>
    <row r="192" spans="1:8" ht="15.75" customHeight="1" x14ac:dyDescent="0.2">
      <c r="A192" s="486" t="s">
        <v>477</v>
      </c>
      <c r="B192" s="484"/>
      <c r="C192" s="484"/>
      <c r="D192" s="484"/>
      <c r="E192" s="484"/>
      <c r="F192" s="484"/>
      <c r="G192" s="484"/>
      <c r="H192" s="484"/>
    </row>
    <row r="193" spans="1:8" ht="15" customHeight="1" x14ac:dyDescent="0.2">
      <c r="C193" s="479" t="s">
        <v>324</v>
      </c>
      <c r="D193" s="480"/>
      <c r="E193" s="480"/>
      <c r="F193" s="434"/>
      <c r="G193" s="481">
        <v>1491007</v>
      </c>
      <c r="H193" s="482"/>
    </row>
    <row r="194" spans="1:8" ht="15" customHeight="1" x14ac:dyDescent="0.2">
      <c r="C194" s="483" t="s">
        <v>446</v>
      </c>
      <c r="D194" s="484"/>
      <c r="E194" s="484"/>
      <c r="G194" s="485">
        <v>1491007</v>
      </c>
      <c r="H194" s="477"/>
    </row>
    <row r="196" spans="1:8" ht="15.75" customHeight="1" x14ac:dyDescent="0.2">
      <c r="A196" s="486" t="s">
        <v>333</v>
      </c>
      <c r="B196" s="484"/>
      <c r="C196" s="484"/>
      <c r="D196" s="484"/>
      <c r="E196" s="484"/>
      <c r="F196" s="484"/>
      <c r="G196" s="484"/>
      <c r="H196" s="484"/>
    </row>
    <row r="197" spans="1:8" ht="15" customHeight="1" x14ac:dyDescent="0.2">
      <c r="C197" s="479" t="s">
        <v>324</v>
      </c>
      <c r="D197" s="480"/>
      <c r="E197" s="480"/>
      <c r="F197" s="434"/>
      <c r="G197" s="481">
        <v>2500</v>
      </c>
      <c r="H197" s="482"/>
    </row>
    <row r="198" spans="1:8" x14ac:dyDescent="0.2">
      <c r="C198" s="483" t="s">
        <v>443</v>
      </c>
      <c r="D198" s="484"/>
      <c r="E198" s="484"/>
      <c r="G198" s="485">
        <v>2500</v>
      </c>
      <c r="H198" s="477"/>
    </row>
    <row r="200" spans="1:8" ht="15.75" customHeight="1" x14ac:dyDescent="0.2">
      <c r="A200" s="486" t="s">
        <v>476</v>
      </c>
      <c r="B200" s="484"/>
      <c r="C200" s="484"/>
      <c r="D200" s="484"/>
      <c r="E200" s="484"/>
      <c r="F200" s="484"/>
      <c r="G200" s="484"/>
      <c r="H200" s="484"/>
    </row>
    <row r="201" spans="1:8" ht="15" customHeight="1" x14ac:dyDescent="0.2">
      <c r="C201" s="479" t="s">
        <v>324</v>
      </c>
      <c r="D201" s="480"/>
      <c r="E201" s="480"/>
      <c r="F201" s="434"/>
      <c r="G201" s="481">
        <v>455346</v>
      </c>
      <c r="H201" s="482"/>
    </row>
    <row r="202" spans="1:8" ht="15" customHeight="1" x14ac:dyDescent="0.2">
      <c r="C202" s="483" t="s">
        <v>446</v>
      </c>
      <c r="D202" s="484"/>
      <c r="E202" s="484"/>
      <c r="G202" s="485">
        <v>455346</v>
      </c>
      <c r="H202" s="477"/>
    </row>
    <row r="204" spans="1:8" ht="31.5" customHeight="1" x14ac:dyDescent="0.2">
      <c r="A204" s="486" t="s">
        <v>475</v>
      </c>
      <c r="B204" s="484"/>
      <c r="C204" s="484"/>
      <c r="D204" s="484"/>
      <c r="E204" s="484"/>
      <c r="F204" s="484"/>
      <c r="G204" s="484"/>
      <c r="H204" s="484"/>
    </row>
    <row r="205" spans="1:8" ht="15" customHeight="1" x14ac:dyDescent="0.2">
      <c r="C205" s="479" t="s">
        <v>324</v>
      </c>
      <c r="D205" s="480"/>
      <c r="E205" s="480"/>
      <c r="F205" s="434"/>
      <c r="G205" s="481">
        <v>250546</v>
      </c>
      <c r="H205" s="482"/>
    </row>
    <row r="206" spans="1:8" ht="15" customHeight="1" x14ac:dyDescent="0.2">
      <c r="C206" s="483" t="s">
        <v>446</v>
      </c>
      <c r="D206" s="484"/>
      <c r="E206" s="484"/>
      <c r="G206" s="485">
        <v>250546</v>
      </c>
      <c r="H206" s="477"/>
    </row>
    <row r="208" spans="1:8" ht="15.75" customHeight="1" x14ac:dyDescent="0.2">
      <c r="A208" s="486" t="s">
        <v>797</v>
      </c>
      <c r="B208" s="484"/>
      <c r="C208" s="484"/>
      <c r="D208" s="484"/>
      <c r="E208" s="484"/>
      <c r="F208" s="484"/>
      <c r="G208" s="484"/>
      <c r="H208" s="484"/>
    </row>
    <row r="209" spans="1:8" ht="15" customHeight="1" x14ac:dyDescent="0.2">
      <c r="C209" s="479" t="s">
        <v>324</v>
      </c>
      <c r="D209" s="480"/>
      <c r="E209" s="480"/>
      <c r="F209" s="434"/>
      <c r="G209" s="481">
        <v>12672</v>
      </c>
      <c r="H209" s="482"/>
    </row>
    <row r="210" spans="1:8" ht="15" customHeight="1" x14ac:dyDescent="0.2">
      <c r="C210" s="483" t="s">
        <v>446</v>
      </c>
      <c r="D210" s="484"/>
      <c r="E210" s="484"/>
      <c r="G210" s="485">
        <v>12672</v>
      </c>
      <c r="H210" s="477"/>
    </row>
    <row r="212" spans="1:8" ht="15.75" customHeight="1" x14ac:dyDescent="0.2">
      <c r="A212" s="486" t="s">
        <v>798</v>
      </c>
      <c r="B212" s="484"/>
      <c r="C212" s="484"/>
      <c r="D212" s="484"/>
      <c r="E212" s="484"/>
      <c r="F212" s="484"/>
      <c r="G212" s="484"/>
      <c r="H212" s="484"/>
    </row>
    <row r="213" spans="1:8" ht="15" customHeight="1" x14ac:dyDescent="0.2">
      <c r="C213" s="479" t="s">
        <v>324</v>
      </c>
      <c r="D213" s="480"/>
      <c r="E213" s="480"/>
      <c r="F213" s="434"/>
      <c r="G213" s="481">
        <v>5000</v>
      </c>
      <c r="H213" s="482"/>
    </row>
    <row r="214" spans="1:8" ht="15" customHeight="1" x14ac:dyDescent="0.2">
      <c r="C214" s="483" t="s">
        <v>446</v>
      </c>
      <c r="D214" s="484"/>
      <c r="E214" s="484"/>
      <c r="G214" s="485">
        <v>5000</v>
      </c>
      <c r="H214" s="477"/>
    </row>
    <row r="216" spans="1:8" ht="15.75" customHeight="1" x14ac:dyDescent="0.2">
      <c r="A216" s="486" t="s">
        <v>351</v>
      </c>
      <c r="B216" s="484"/>
      <c r="C216" s="484"/>
      <c r="D216" s="484"/>
      <c r="E216" s="484"/>
      <c r="F216" s="484"/>
      <c r="G216" s="484"/>
      <c r="H216" s="484"/>
    </row>
    <row r="217" spans="1:8" ht="15" customHeight="1" x14ac:dyDescent="0.2">
      <c r="C217" s="479" t="s">
        <v>324</v>
      </c>
      <c r="D217" s="480"/>
      <c r="E217" s="480"/>
      <c r="F217" s="434"/>
      <c r="G217" s="481">
        <v>151700</v>
      </c>
      <c r="H217" s="482"/>
    </row>
    <row r="218" spans="1:8" ht="15" customHeight="1" x14ac:dyDescent="0.2">
      <c r="C218" s="483" t="s">
        <v>446</v>
      </c>
      <c r="D218" s="484"/>
      <c r="E218" s="484"/>
      <c r="G218" s="485">
        <v>151700</v>
      </c>
      <c r="H218" s="477"/>
    </row>
    <row r="220" spans="1:8" ht="15.75" customHeight="1" x14ac:dyDescent="0.2">
      <c r="A220" s="486" t="s">
        <v>799</v>
      </c>
      <c r="B220" s="484"/>
      <c r="C220" s="484"/>
      <c r="D220" s="484"/>
      <c r="E220" s="484"/>
      <c r="F220" s="484"/>
      <c r="G220" s="484"/>
      <c r="H220" s="484"/>
    </row>
    <row r="221" spans="1:8" ht="15" customHeight="1" x14ac:dyDescent="0.2">
      <c r="C221" s="479" t="s">
        <v>324</v>
      </c>
      <c r="D221" s="480"/>
      <c r="E221" s="480"/>
      <c r="F221" s="434"/>
      <c r="G221" s="481">
        <v>4300</v>
      </c>
      <c r="H221" s="482"/>
    </row>
    <row r="222" spans="1:8" ht="15" customHeight="1" x14ac:dyDescent="0.2">
      <c r="C222" s="483" t="s">
        <v>446</v>
      </c>
      <c r="D222" s="484"/>
      <c r="E222" s="484"/>
      <c r="G222" s="485">
        <v>4300</v>
      </c>
      <c r="H222" s="477"/>
    </row>
    <row r="224" spans="1:8" ht="15.75" customHeight="1" x14ac:dyDescent="0.2">
      <c r="A224" s="486" t="s">
        <v>800</v>
      </c>
      <c r="B224" s="484"/>
      <c r="C224" s="484"/>
      <c r="D224" s="484"/>
      <c r="E224" s="484"/>
      <c r="F224" s="484"/>
      <c r="G224" s="484"/>
      <c r="H224" s="484"/>
    </row>
    <row r="225" spans="1:8" ht="15" customHeight="1" x14ac:dyDescent="0.2">
      <c r="C225" s="479" t="s">
        <v>324</v>
      </c>
      <c r="D225" s="480"/>
      <c r="E225" s="480"/>
      <c r="F225" s="434"/>
      <c r="G225" s="481">
        <v>97541</v>
      </c>
      <c r="H225" s="482"/>
    </row>
    <row r="226" spans="1:8" ht="15" customHeight="1" x14ac:dyDescent="0.2">
      <c r="C226" s="483" t="s">
        <v>447</v>
      </c>
      <c r="D226" s="484"/>
      <c r="E226" s="484"/>
      <c r="G226" s="485">
        <v>97541</v>
      </c>
      <c r="H226" s="477"/>
    </row>
    <row r="228" spans="1:8" ht="15.75" customHeight="1" x14ac:dyDescent="0.2">
      <c r="A228" s="486" t="s">
        <v>801</v>
      </c>
      <c r="B228" s="484"/>
      <c r="C228" s="484"/>
      <c r="D228" s="484"/>
      <c r="E228" s="484"/>
      <c r="F228" s="484"/>
      <c r="G228" s="484"/>
      <c r="H228" s="484"/>
    </row>
    <row r="229" spans="1:8" ht="15" customHeight="1" x14ac:dyDescent="0.2">
      <c r="C229" s="479" t="s">
        <v>324</v>
      </c>
      <c r="D229" s="480"/>
      <c r="E229" s="480"/>
      <c r="F229" s="434"/>
      <c r="G229" s="481">
        <v>6000</v>
      </c>
      <c r="H229" s="482"/>
    </row>
    <row r="230" spans="1:8" ht="15" customHeight="1" x14ac:dyDescent="0.2">
      <c r="C230" s="483" t="s">
        <v>446</v>
      </c>
      <c r="D230" s="484"/>
      <c r="E230" s="484"/>
      <c r="G230" s="485">
        <v>6000</v>
      </c>
      <c r="H230" s="477"/>
    </row>
    <row r="232" spans="1:8" ht="15.75" customHeight="1" x14ac:dyDescent="0.2">
      <c r="A232" s="486" t="s">
        <v>802</v>
      </c>
      <c r="B232" s="484"/>
      <c r="C232" s="484"/>
      <c r="D232" s="484"/>
      <c r="E232" s="484"/>
      <c r="F232" s="484"/>
      <c r="G232" s="484"/>
      <c r="H232" s="484"/>
    </row>
    <row r="233" spans="1:8" ht="15" customHeight="1" x14ac:dyDescent="0.2">
      <c r="C233" s="479" t="s">
        <v>324</v>
      </c>
      <c r="D233" s="480"/>
      <c r="E233" s="480"/>
      <c r="F233" s="434"/>
      <c r="G233" s="481">
        <v>1300</v>
      </c>
      <c r="H233" s="482"/>
    </row>
    <row r="234" spans="1:8" ht="15" customHeight="1" x14ac:dyDescent="0.2">
      <c r="C234" s="483" t="s">
        <v>446</v>
      </c>
      <c r="D234" s="484"/>
      <c r="E234" s="484"/>
      <c r="G234" s="485">
        <v>1300</v>
      </c>
      <c r="H234" s="477"/>
    </row>
    <row r="235" spans="1:8" ht="35.25" customHeight="1" x14ac:dyDescent="0.2"/>
    <row r="236" spans="1:8" ht="31.5" customHeight="1" x14ac:dyDescent="0.2">
      <c r="A236" s="491" t="s">
        <v>803</v>
      </c>
      <c r="B236" s="488"/>
      <c r="C236" s="488"/>
      <c r="D236" s="488"/>
      <c r="E236" s="488"/>
      <c r="F236" s="488"/>
      <c r="G236" s="488"/>
      <c r="H236" s="488"/>
    </row>
    <row r="237" spans="1:8" ht="15" customHeight="1" x14ac:dyDescent="0.2">
      <c r="A237" s="435"/>
      <c r="B237" s="435"/>
      <c r="C237" s="487" t="s">
        <v>324</v>
      </c>
      <c r="D237" s="488"/>
      <c r="E237" s="488"/>
      <c r="F237" s="435"/>
      <c r="G237" s="489">
        <v>280895</v>
      </c>
      <c r="H237" s="490"/>
    </row>
    <row r="238" spans="1:8" ht="15" customHeight="1" x14ac:dyDescent="0.2">
      <c r="A238" s="435"/>
      <c r="B238" s="435"/>
      <c r="C238" s="487" t="s">
        <v>448</v>
      </c>
      <c r="D238" s="488"/>
      <c r="E238" s="488"/>
      <c r="F238" s="435"/>
      <c r="G238" s="489">
        <v>262324</v>
      </c>
      <c r="H238" s="490"/>
    </row>
    <row r="239" spans="1:8" ht="15" customHeight="1" x14ac:dyDescent="0.2">
      <c r="A239" s="435"/>
      <c r="B239" s="435"/>
      <c r="C239" s="487" t="s">
        <v>447</v>
      </c>
      <c r="D239" s="488"/>
      <c r="E239" s="488"/>
      <c r="F239" s="435"/>
      <c r="G239" s="489">
        <v>14571</v>
      </c>
      <c r="H239" s="490"/>
    </row>
    <row r="240" spans="1:8" ht="15" customHeight="1" x14ac:dyDescent="0.2">
      <c r="A240" s="435"/>
      <c r="B240" s="435"/>
      <c r="C240" s="487" t="s">
        <v>445</v>
      </c>
      <c r="D240" s="488"/>
      <c r="E240" s="488"/>
      <c r="F240" s="435"/>
      <c r="G240" s="489">
        <v>4000</v>
      </c>
      <c r="H240" s="490"/>
    </row>
    <row r="242" spans="1:8" ht="15.75" customHeight="1" x14ac:dyDescent="0.2">
      <c r="A242" s="486" t="s">
        <v>474</v>
      </c>
      <c r="B242" s="484"/>
      <c r="C242" s="484"/>
      <c r="D242" s="484"/>
      <c r="E242" s="484"/>
      <c r="F242" s="484"/>
      <c r="G242" s="484"/>
      <c r="H242" s="484"/>
    </row>
    <row r="243" spans="1:8" ht="15" customHeight="1" x14ac:dyDescent="0.2">
      <c r="C243" s="479" t="s">
        <v>324</v>
      </c>
      <c r="D243" s="480"/>
      <c r="E243" s="480"/>
      <c r="F243" s="434"/>
      <c r="G243" s="481">
        <v>280895</v>
      </c>
      <c r="H243" s="482"/>
    </row>
    <row r="244" spans="1:8" ht="15" customHeight="1" x14ac:dyDescent="0.2">
      <c r="C244" s="483" t="s">
        <v>448</v>
      </c>
      <c r="D244" s="484"/>
      <c r="E244" s="484"/>
      <c r="G244" s="485">
        <v>262324</v>
      </c>
      <c r="H244" s="477"/>
    </row>
    <row r="245" spans="1:8" ht="15" customHeight="1" x14ac:dyDescent="0.2">
      <c r="C245" s="483" t="s">
        <v>447</v>
      </c>
      <c r="D245" s="484"/>
      <c r="E245" s="484"/>
      <c r="G245" s="485">
        <v>14571</v>
      </c>
      <c r="H245" s="477"/>
    </row>
    <row r="246" spans="1:8" ht="15" customHeight="1" x14ac:dyDescent="0.2">
      <c r="C246" s="483" t="s">
        <v>445</v>
      </c>
      <c r="D246" s="484"/>
      <c r="E246" s="484"/>
      <c r="G246" s="485">
        <v>4000</v>
      </c>
      <c r="H246" s="477"/>
    </row>
    <row r="247" spans="1:8" ht="28.5" customHeight="1" x14ac:dyDescent="0.2"/>
    <row r="248" spans="1:8" ht="31.5" customHeight="1" x14ac:dyDescent="0.2">
      <c r="A248" s="491" t="s">
        <v>804</v>
      </c>
      <c r="B248" s="488"/>
      <c r="C248" s="488"/>
      <c r="D248" s="488"/>
      <c r="E248" s="488"/>
      <c r="F248" s="488"/>
      <c r="G248" s="488"/>
      <c r="H248" s="488"/>
    </row>
    <row r="249" spans="1:8" ht="15" customHeight="1" x14ac:dyDescent="0.2">
      <c r="A249" s="435"/>
      <c r="B249" s="435"/>
      <c r="C249" s="487" t="s">
        <v>324</v>
      </c>
      <c r="D249" s="488"/>
      <c r="E249" s="488"/>
      <c r="F249" s="435"/>
      <c r="G249" s="489">
        <v>2872256</v>
      </c>
      <c r="H249" s="490"/>
    </row>
    <row r="250" spans="1:8" ht="15" customHeight="1" x14ac:dyDescent="0.2">
      <c r="A250" s="435"/>
      <c r="B250" s="435"/>
      <c r="C250" s="487" t="s">
        <v>448</v>
      </c>
      <c r="D250" s="488"/>
      <c r="E250" s="488"/>
      <c r="F250" s="435"/>
      <c r="G250" s="489">
        <v>2598428</v>
      </c>
      <c r="H250" s="490"/>
    </row>
    <row r="251" spans="1:8" ht="15" customHeight="1" x14ac:dyDescent="0.2">
      <c r="A251" s="435"/>
      <c r="B251" s="435"/>
      <c r="C251" s="487" t="s">
        <v>447</v>
      </c>
      <c r="D251" s="488"/>
      <c r="E251" s="488"/>
      <c r="F251" s="435"/>
      <c r="G251" s="489">
        <v>267078</v>
      </c>
      <c r="H251" s="490"/>
    </row>
    <row r="252" spans="1:8" ht="15" customHeight="1" x14ac:dyDescent="0.2">
      <c r="A252" s="435"/>
      <c r="B252" s="435"/>
      <c r="C252" s="487" t="s">
        <v>445</v>
      </c>
      <c r="D252" s="488"/>
      <c r="E252" s="488"/>
      <c r="F252" s="435"/>
      <c r="G252" s="489">
        <v>6750</v>
      </c>
      <c r="H252" s="490"/>
    </row>
    <row r="254" spans="1:8" ht="15.75" customHeight="1" x14ac:dyDescent="0.2">
      <c r="A254" s="486" t="s">
        <v>473</v>
      </c>
      <c r="B254" s="484"/>
      <c r="C254" s="484"/>
      <c r="D254" s="484"/>
      <c r="E254" s="484"/>
      <c r="F254" s="484"/>
      <c r="G254" s="484"/>
      <c r="H254" s="484"/>
    </row>
    <row r="255" spans="1:8" ht="15" customHeight="1" x14ac:dyDescent="0.2">
      <c r="C255" s="479" t="s">
        <v>324</v>
      </c>
      <c r="D255" s="480"/>
      <c r="E255" s="480"/>
      <c r="F255" s="434"/>
      <c r="G255" s="481">
        <v>2872256</v>
      </c>
      <c r="H255" s="482"/>
    </row>
    <row r="256" spans="1:8" ht="15" customHeight="1" x14ac:dyDescent="0.2">
      <c r="C256" s="483" t="s">
        <v>448</v>
      </c>
      <c r="D256" s="484"/>
      <c r="E256" s="484"/>
      <c r="G256" s="485">
        <v>2598428</v>
      </c>
      <c r="H256" s="477"/>
    </row>
    <row r="257" spans="1:8" ht="15" customHeight="1" x14ac:dyDescent="0.2">
      <c r="C257" s="483" t="s">
        <v>447</v>
      </c>
      <c r="D257" s="484"/>
      <c r="E257" s="484"/>
      <c r="G257" s="485">
        <v>267078</v>
      </c>
      <c r="H257" s="477"/>
    </row>
    <row r="258" spans="1:8" ht="15" customHeight="1" x14ac:dyDescent="0.2">
      <c r="C258" s="483" t="s">
        <v>445</v>
      </c>
      <c r="D258" s="484"/>
      <c r="E258" s="484"/>
      <c r="G258" s="485">
        <v>6750</v>
      </c>
      <c r="H258" s="477"/>
    </row>
    <row r="259" spans="1:8" ht="32.25" customHeight="1" x14ac:dyDescent="0.2"/>
    <row r="260" spans="1:8" ht="31.5" customHeight="1" x14ac:dyDescent="0.2">
      <c r="A260" s="491" t="s">
        <v>805</v>
      </c>
      <c r="B260" s="488"/>
      <c r="C260" s="488"/>
      <c r="D260" s="488"/>
      <c r="E260" s="488"/>
      <c r="F260" s="488"/>
      <c r="G260" s="488"/>
      <c r="H260" s="488"/>
    </row>
    <row r="261" spans="1:8" ht="15" customHeight="1" x14ac:dyDescent="0.2">
      <c r="A261" s="435"/>
      <c r="B261" s="435"/>
      <c r="C261" s="487" t="s">
        <v>324</v>
      </c>
      <c r="D261" s="488"/>
      <c r="E261" s="488"/>
      <c r="F261" s="435"/>
      <c r="G261" s="489">
        <v>892279</v>
      </c>
      <c r="H261" s="490"/>
    </row>
    <row r="262" spans="1:8" ht="15" customHeight="1" x14ac:dyDescent="0.2">
      <c r="A262" s="435"/>
      <c r="B262" s="435"/>
      <c r="C262" s="487" t="s">
        <v>448</v>
      </c>
      <c r="D262" s="488"/>
      <c r="E262" s="488"/>
      <c r="F262" s="435"/>
      <c r="G262" s="489">
        <v>249643</v>
      </c>
      <c r="H262" s="490"/>
    </row>
    <row r="263" spans="1:8" ht="15" customHeight="1" x14ac:dyDescent="0.2">
      <c r="A263" s="435"/>
      <c r="B263" s="435"/>
      <c r="C263" s="487" t="s">
        <v>447</v>
      </c>
      <c r="D263" s="488"/>
      <c r="E263" s="488"/>
      <c r="F263" s="435"/>
      <c r="G263" s="489">
        <v>136268</v>
      </c>
      <c r="H263" s="490"/>
    </row>
    <row r="264" spans="1:8" ht="15" customHeight="1" x14ac:dyDescent="0.2">
      <c r="A264" s="435"/>
      <c r="B264" s="435"/>
      <c r="C264" s="487" t="s">
        <v>445</v>
      </c>
      <c r="D264" s="488"/>
      <c r="E264" s="488"/>
      <c r="F264" s="435"/>
      <c r="G264" s="489">
        <v>506368</v>
      </c>
      <c r="H264" s="490"/>
    </row>
    <row r="266" spans="1:8" ht="15.75" customHeight="1" x14ac:dyDescent="0.2">
      <c r="A266" s="486" t="s">
        <v>806</v>
      </c>
      <c r="B266" s="484"/>
      <c r="C266" s="484"/>
      <c r="D266" s="484"/>
      <c r="E266" s="484"/>
      <c r="F266" s="484"/>
      <c r="G266" s="484"/>
      <c r="H266" s="484"/>
    </row>
    <row r="267" spans="1:8" ht="15" customHeight="1" x14ac:dyDescent="0.2">
      <c r="C267" s="479" t="s">
        <v>324</v>
      </c>
      <c r="D267" s="480"/>
      <c r="E267" s="480"/>
      <c r="F267" s="434"/>
      <c r="G267" s="481">
        <v>521514</v>
      </c>
      <c r="H267" s="482"/>
    </row>
    <row r="268" spans="1:8" ht="15" customHeight="1" x14ac:dyDescent="0.2">
      <c r="C268" s="483" t="s">
        <v>448</v>
      </c>
      <c r="D268" s="484"/>
      <c r="E268" s="484"/>
      <c r="G268" s="485">
        <v>238268</v>
      </c>
      <c r="H268" s="477"/>
    </row>
    <row r="269" spans="1:8" ht="15" customHeight="1" x14ac:dyDescent="0.2">
      <c r="C269" s="483" t="s">
        <v>447</v>
      </c>
      <c r="D269" s="484"/>
      <c r="E269" s="484"/>
      <c r="G269" s="485">
        <v>129946</v>
      </c>
      <c r="H269" s="477"/>
    </row>
    <row r="270" spans="1:8" ht="15" customHeight="1" x14ac:dyDescent="0.2">
      <c r="C270" s="483" t="s">
        <v>445</v>
      </c>
      <c r="D270" s="484"/>
      <c r="E270" s="484"/>
      <c r="G270" s="485">
        <v>153300</v>
      </c>
      <c r="H270" s="477"/>
    </row>
    <row r="272" spans="1:8" ht="31.5" customHeight="1" x14ac:dyDescent="0.2">
      <c r="A272" s="486" t="s">
        <v>807</v>
      </c>
      <c r="B272" s="484"/>
      <c r="C272" s="484"/>
      <c r="D272" s="484"/>
      <c r="E272" s="484"/>
      <c r="F272" s="484"/>
      <c r="G272" s="484"/>
      <c r="H272" s="484"/>
    </row>
    <row r="273" spans="1:8" ht="15" customHeight="1" x14ac:dyDescent="0.2">
      <c r="C273" s="479" t="s">
        <v>324</v>
      </c>
      <c r="D273" s="480"/>
      <c r="E273" s="480"/>
      <c r="F273" s="434"/>
      <c r="G273" s="481">
        <v>370765</v>
      </c>
      <c r="H273" s="482"/>
    </row>
    <row r="274" spans="1:8" ht="15" customHeight="1" x14ac:dyDescent="0.2">
      <c r="C274" s="483" t="s">
        <v>448</v>
      </c>
      <c r="D274" s="484"/>
      <c r="E274" s="484"/>
      <c r="G274" s="485">
        <v>11375</v>
      </c>
      <c r="H274" s="477"/>
    </row>
    <row r="275" spans="1:8" ht="15" customHeight="1" x14ac:dyDescent="0.2">
      <c r="C275" s="483" t="s">
        <v>447</v>
      </c>
      <c r="D275" s="484"/>
      <c r="E275" s="484"/>
      <c r="G275" s="485">
        <v>6322</v>
      </c>
      <c r="H275" s="477"/>
    </row>
    <row r="276" spans="1:8" ht="15" customHeight="1" x14ac:dyDescent="0.2">
      <c r="C276" s="483" t="s">
        <v>445</v>
      </c>
      <c r="D276" s="484"/>
      <c r="E276" s="484"/>
      <c r="G276" s="485">
        <v>353068</v>
      </c>
      <c r="H276" s="477"/>
    </row>
    <row r="277" spans="1:8" ht="27" customHeight="1" x14ac:dyDescent="0.2"/>
    <row r="278" spans="1:8" ht="31.5" customHeight="1" x14ac:dyDescent="0.2">
      <c r="A278" s="491" t="s">
        <v>808</v>
      </c>
      <c r="B278" s="488"/>
      <c r="C278" s="488"/>
      <c r="D278" s="488"/>
      <c r="E278" s="488"/>
      <c r="F278" s="488"/>
      <c r="G278" s="488"/>
      <c r="H278" s="488"/>
    </row>
    <row r="279" spans="1:8" ht="15" customHeight="1" x14ac:dyDescent="0.2">
      <c r="A279" s="435"/>
      <c r="B279" s="435"/>
      <c r="C279" s="487" t="s">
        <v>324</v>
      </c>
      <c r="D279" s="488"/>
      <c r="E279" s="488"/>
      <c r="F279" s="435"/>
      <c r="G279" s="489">
        <v>372542</v>
      </c>
      <c r="H279" s="490"/>
    </row>
    <row r="280" spans="1:8" ht="15" customHeight="1" x14ac:dyDescent="0.2">
      <c r="A280" s="435"/>
      <c r="B280" s="435"/>
      <c r="C280" s="487" t="s">
        <v>448</v>
      </c>
      <c r="D280" s="488"/>
      <c r="E280" s="488"/>
      <c r="F280" s="435"/>
      <c r="G280" s="489">
        <v>239892</v>
      </c>
      <c r="H280" s="490"/>
    </row>
    <row r="281" spans="1:8" ht="15" customHeight="1" x14ac:dyDescent="0.2">
      <c r="A281" s="435"/>
      <c r="B281" s="435"/>
      <c r="C281" s="487" t="s">
        <v>447</v>
      </c>
      <c r="D281" s="488"/>
      <c r="E281" s="488"/>
      <c r="F281" s="435"/>
      <c r="G281" s="489">
        <v>131650</v>
      </c>
      <c r="H281" s="490"/>
    </row>
    <row r="282" spans="1:8" ht="15" customHeight="1" x14ac:dyDescent="0.2">
      <c r="A282" s="435"/>
      <c r="B282" s="435"/>
      <c r="C282" s="487" t="s">
        <v>445</v>
      </c>
      <c r="D282" s="488"/>
      <c r="E282" s="488"/>
      <c r="F282" s="435"/>
      <c r="G282" s="489">
        <v>1000</v>
      </c>
      <c r="H282" s="490"/>
    </row>
    <row r="284" spans="1:8" ht="15.75" customHeight="1" x14ac:dyDescent="0.2">
      <c r="A284" s="486" t="s">
        <v>472</v>
      </c>
      <c r="B284" s="484"/>
      <c r="C284" s="484"/>
      <c r="D284" s="484"/>
      <c r="E284" s="484"/>
      <c r="F284" s="484"/>
      <c r="G284" s="484"/>
      <c r="H284" s="484"/>
    </row>
    <row r="285" spans="1:8" ht="15" customHeight="1" x14ac:dyDescent="0.2">
      <c r="C285" s="479" t="s">
        <v>324</v>
      </c>
      <c r="D285" s="480"/>
      <c r="E285" s="480"/>
      <c r="F285" s="434"/>
      <c r="G285" s="481">
        <v>372542</v>
      </c>
      <c r="H285" s="482"/>
    </row>
    <row r="286" spans="1:8" ht="15" customHeight="1" x14ac:dyDescent="0.2">
      <c r="C286" s="483" t="s">
        <v>448</v>
      </c>
      <c r="D286" s="484"/>
      <c r="E286" s="484"/>
      <c r="G286" s="485">
        <v>239892</v>
      </c>
      <c r="H286" s="477"/>
    </row>
    <row r="287" spans="1:8" ht="15" customHeight="1" x14ac:dyDescent="0.2">
      <c r="C287" s="483" t="s">
        <v>447</v>
      </c>
      <c r="D287" s="484"/>
      <c r="E287" s="484"/>
      <c r="G287" s="485">
        <v>131650</v>
      </c>
      <c r="H287" s="477"/>
    </row>
    <row r="288" spans="1:8" ht="15" customHeight="1" x14ac:dyDescent="0.2">
      <c r="C288" s="483" t="s">
        <v>445</v>
      </c>
      <c r="D288" s="484"/>
      <c r="E288" s="484"/>
      <c r="G288" s="485">
        <v>1000</v>
      </c>
      <c r="H288" s="477"/>
    </row>
    <row r="289" spans="1:8" ht="18.75" customHeight="1" x14ac:dyDescent="0.2"/>
    <row r="290" spans="1:8" ht="15.75" customHeight="1" x14ac:dyDescent="0.2">
      <c r="A290" s="491" t="s">
        <v>809</v>
      </c>
      <c r="B290" s="488"/>
      <c r="C290" s="488"/>
      <c r="D290" s="488"/>
      <c r="E290" s="488"/>
      <c r="F290" s="488"/>
      <c r="G290" s="488"/>
      <c r="H290" s="488"/>
    </row>
    <row r="291" spans="1:8" ht="15" customHeight="1" x14ac:dyDescent="0.2">
      <c r="A291" s="435"/>
      <c r="B291" s="435"/>
      <c r="C291" s="487" t="s">
        <v>324</v>
      </c>
      <c r="D291" s="488"/>
      <c r="E291" s="488"/>
      <c r="F291" s="435"/>
      <c r="G291" s="489">
        <f>9098130+150000</f>
        <v>9248130</v>
      </c>
      <c r="H291" s="490"/>
    </row>
    <row r="292" spans="1:8" ht="15" customHeight="1" x14ac:dyDescent="0.2">
      <c r="A292" s="435"/>
      <c r="B292" s="435"/>
      <c r="C292" s="487" t="s">
        <v>448</v>
      </c>
      <c r="D292" s="488"/>
      <c r="E292" s="488"/>
      <c r="F292" s="435"/>
      <c r="G292" s="489">
        <v>769215</v>
      </c>
      <c r="H292" s="490"/>
    </row>
    <row r="293" spans="1:8" ht="15" customHeight="1" x14ac:dyDescent="0.2">
      <c r="A293" s="435"/>
      <c r="B293" s="435"/>
      <c r="C293" s="487" t="s">
        <v>447</v>
      </c>
      <c r="D293" s="488"/>
      <c r="E293" s="488"/>
      <c r="F293" s="435"/>
      <c r="G293" s="489">
        <f>3663655+150000</f>
        <v>3813655</v>
      </c>
      <c r="H293" s="490"/>
    </row>
    <row r="294" spans="1:8" ht="15" customHeight="1" x14ac:dyDescent="0.2">
      <c r="A294" s="435"/>
      <c r="B294" s="435"/>
      <c r="C294" s="487" t="s">
        <v>446</v>
      </c>
      <c r="D294" s="488"/>
      <c r="E294" s="488"/>
      <c r="F294" s="435"/>
      <c r="G294" s="489">
        <v>100000</v>
      </c>
      <c r="H294" s="490"/>
    </row>
    <row r="295" spans="1:8" ht="15" customHeight="1" x14ac:dyDescent="0.2">
      <c r="A295" s="435"/>
      <c r="B295" s="435"/>
      <c r="C295" s="487" t="s">
        <v>445</v>
      </c>
      <c r="D295" s="488"/>
      <c r="E295" s="488"/>
      <c r="F295" s="435"/>
      <c r="G295" s="489">
        <v>4537333</v>
      </c>
      <c r="H295" s="490"/>
    </row>
    <row r="296" spans="1:8" ht="15" customHeight="1" x14ac:dyDescent="0.2">
      <c r="A296" s="435"/>
      <c r="B296" s="435"/>
      <c r="C296" s="487" t="s">
        <v>444</v>
      </c>
      <c r="D296" s="488"/>
      <c r="E296" s="488"/>
      <c r="F296" s="435"/>
      <c r="G296" s="489">
        <v>27927</v>
      </c>
      <c r="H296" s="490"/>
    </row>
    <row r="298" spans="1:8" ht="15.75" customHeight="1" x14ac:dyDescent="0.2">
      <c r="A298" s="486" t="s">
        <v>331</v>
      </c>
      <c r="B298" s="484"/>
      <c r="C298" s="484"/>
      <c r="D298" s="484"/>
      <c r="E298" s="484"/>
      <c r="F298" s="484"/>
      <c r="G298" s="484"/>
      <c r="H298" s="484"/>
    </row>
    <row r="299" spans="1:8" ht="15" customHeight="1" x14ac:dyDescent="0.2">
      <c r="C299" s="479" t="s">
        <v>324</v>
      </c>
      <c r="D299" s="480"/>
      <c r="E299" s="480"/>
      <c r="F299" s="434"/>
      <c r="G299" s="481">
        <f>568054+150000</f>
        <v>718054</v>
      </c>
      <c r="H299" s="482"/>
    </row>
    <row r="300" spans="1:8" ht="15" customHeight="1" x14ac:dyDescent="0.2">
      <c r="C300" s="483" t="s">
        <v>447</v>
      </c>
      <c r="D300" s="484"/>
      <c r="E300" s="484"/>
      <c r="G300" s="485">
        <f>226143+150000</f>
        <v>376143</v>
      </c>
      <c r="H300" s="477"/>
    </row>
    <row r="301" spans="1:8" ht="15" customHeight="1" x14ac:dyDescent="0.2">
      <c r="C301" s="483" t="s">
        <v>445</v>
      </c>
      <c r="D301" s="484"/>
      <c r="E301" s="484"/>
      <c r="G301" s="485">
        <v>341911</v>
      </c>
      <c r="H301" s="477"/>
    </row>
    <row r="303" spans="1:8" ht="31.5" customHeight="1" x14ac:dyDescent="0.2">
      <c r="A303" s="486" t="s">
        <v>810</v>
      </c>
      <c r="B303" s="484"/>
      <c r="C303" s="484"/>
      <c r="D303" s="484"/>
      <c r="E303" s="484"/>
      <c r="F303" s="484"/>
      <c r="G303" s="484"/>
      <c r="H303" s="484"/>
    </row>
    <row r="304" spans="1:8" ht="15" customHeight="1" x14ac:dyDescent="0.2">
      <c r="C304" s="479" t="s">
        <v>324</v>
      </c>
      <c r="D304" s="480"/>
      <c r="E304" s="480"/>
      <c r="F304" s="434"/>
      <c r="G304" s="481">
        <v>559365</v>
      </c>
      <c r="H304" s="482"/>
    </row>
    <row r="305" spans="1:8" ht="15" customHeight="1" x14ac:dyDescent="0.2">
      <c r="C305" s="483" t="s">
        <v>445</v>
      </c>
      <c r="D305" s="484"/>
      <c r="E305" s="484"/>
      <c r="G305" s="485">
        <v>559365</v>
      </c>
      <c r="H305" s="477"/>
    </row>
    <row r="307" spans="1:8" ht="15.75" customHeight="1" x14ac:dyDescent="0.2">
      <c r="A307" s="486" t="s">
        <v>811</v>
      </c>
      <c r="B307" s="484"/>
      <c r="C307" s="484"/>
      <c r="D307" s="484"/>
      <c r="E307" s="484"/>
      <c r="F307" s="484"/>
      <c r="G307" s="484"/>
      <c r="H307" s="484"/>
    </row>
    <row r="308" spans="1:8" ht="15" customHeight="1" x14ac:dyDescent="0.2">
      <c r="C308" s="479" t="s">
        <v>324</v>
      </c>
      <c r="D308" s="480"/>
      <c r="E308" s="480"/>
      <c r="F308" s="434"/>
      <c r="G308" s="481">
        <v>2947835</v>
      </c>
      <c r="H308" s="482"/>
    </row>
    <row r="309" spans="1:8" ht="15" customHeight="1" x14ac:dyDescent="0.2">
      <c r="C309" s="483" t="s">
        <v>445</v>
      </c>
      <c r="D309" s="484"/>
      <c r="E309" s="484"/>
      <c r="G309" s="485">
        <v>2947835</v>
      </c>
      <c r="H309" s="477"/>
    </row>
    <row r="311" spans="1:8" ht="15.75" customHeight="1" x14ac:dyDescent="0.2">
      <c r="A311" s="486" t="s">
        <v>334</v>
      </c>
      <c r="B311" s="484"/>
      <c r="C311" s="484"/>
      <c r="D311" s="484"/>
      <c r="E311" s="484"/>
      <c r="F311" s="484"/>
      <c r="G311" s="484"/>
      <c r="H311" s="484"/>
    </row>
    <row r="312" spans="1:8" ht="15" customHeight="1" x14ac:dyDescent="0.2">
      <c r="C312" s="479" t="s">
        <v>324</v>
      </c>
      <c r="D312" s="480"/>
      <c r="E312" s="480"/>
      <c r="F312" s="434"/>
      <c r="G312" s="481">
        <v>1069101</v>
      </c>
      <c r="H312" s="482"/>
    </row>
    <row r="313" spans="1:8" ht="15" customHeight="1" x14ac:dyDescent="0.2">
      <c r="C313" s="483" t="s">
        <v>447</v>
      </c>
      <c r="D313" s="484"/>
      <c r="E313" s="484"/>
      <c r="G313" s="485">
        <v>1069101</v>
      </c>
      <c r="H313" s="477"/>
    </row>
    <row r="315" spans="1:8" ht="15.75" customHeight="1" x14ac:dyDescent="0.2">
      <c r="A315" s="486" t="s">
        <v>335</v>
      </c>
      <c r="B315" s="484"/>
      <c r="C315" s="484"/>
      <c r="D315" s="484"/>
      <c r="E315" s="484"/>
      <c r="F315" s="484"/>
      <c r="G315" s="484"/>
      <c r="H315" s="484"/>
    </row>
    <row r="316" spans="1:8" ht="15" customHeight="1" x14ac:dyDescent="0.2">
      <c r="C316" s="479" t="s">
        <v>324</v>
      </c>
      <c r="D316" s="480"/>
      <c r="E316" s="480"/>
      <c r="F316" s="434"/>
      <c r="G316" s="481">
        <v>571750</v>
      </c>
      <c r="H316" s="482"/>
    </row>
    <row r="317" spans="1:8" ht="15" customHeight="1" x14ac:dyDescent="0.2">
      <c r="C317" s="483" t="s">
        <v>447</v>
      </c>
      <c r="D317" s="484"/>
      <c r="E317" s="484"/>
      <c r="G317" s="485">
        <v>555750</v>
      </c>
      <c r="H317" s="477"/>
    </row>
    <row r="318" spans="1:8" ht="15" customHeight="1" x14ac:dyDescent="0.2">
      <c r="C318" s="483" t="s">
        <v>445</v>
      </c>
      <c r="D318" s="484"/>
      <c r="E318" s="484"/>
      <c r="G318" s="485">
        <v>16000</v>
      </c>
      <c r="H318" s="477"/>
    </row>
    <row r="320" spans="1:8" ht="15.75" customHeight="1" x14ac:dyDescent="0.2">
      <c r="A320" s="486" t="s">
        <v>337</v>
      </c>
      <c r="B320" s="484"/>
      <c r="C320" s="484"/>
      <c r="D320" s="484"/>
      <c r="E320" s="484"/>
      <c r="F320" s="484"/>
      <c r="G320" s="484"/>
      <c r="H320" s="484"/>
    </row>
    <row r="321" spans="1:8" ht="15" customHeight="1" x14ac:dyDescent="0.2">
      <c r="C321" s="479" t="s">
        <v>324</v>
      </c>
      <c r="D321" s="480"/>
      <c r="E321" s="480"/>
      <c r="F321" s="434"/>
      <c r="G321" s="481">
        <v>654834</v>
      </c>
      <c r="H321" s="482"/>
    </row>
    <row r="322" spans="1:8" ht="15" customHeight="1" x14ac:dyDescent="0.2">
      <c r="C322" s="483" t="s">
        <v>447</v>
      </c>
      <c r="D322" s="484"/>
      <c r="E322" s="484"/>
      <c r="G322" s="485">
        <v>548437</v>
      </c>
      <c r="H322" s="477"/>
    </row>
    <row r="323" spans="1:8" ht="15" customHeight="1" x14ac:dyDescent="0.2">
      <c r="C323" s="483" t="s">
        <v>445</v>
      </c>
      <c r="D323" s="484"/>
      <c r="E323" s="484"/>
      <c r="G323" s="485">
        <v>106397</v>
      </c>
      <c r="H323" s="477"/>
    </row>
    <row r="325" spans="1:8" ht="31.5" customHeight="1" x14ac:dyDescent="0.2">
      <c r="A325" s="486" t="s">
        <v>812</v>
      </c>
      <c r="B325" s="484"/>
      <c r="C325" s="484"/>
      <c r="D325" s="484"/>
      <c r="E325" s="484"/>
      <c r="F325" s="484"/>
      <c r="G325" s="484"/>
      <c r="H325" s="484"/>
    </row>
    <row r="326" spans="1:8" ht="15" customHeight="1" x14ac:dyDescent="0.2">
      <c r="C326" s="479" t="s">
        <v>324</v>
      </c>
      <c r="D326" s="480"/>
      <c r="E326" s="480"/>
      <c r="F326" s="434"/>
      <c r="G326" s="481">
        <v>320357</v>
      </c>
      <c r="H326" s="482"/>
    </row>
    <row r="327" spans="1:8" ht="15" customHeight="1" x14ac:dyDescent="0.2">
      <c r="C327" s="483" t="s">
        <v>445</v>
      </c>
      <c r="D327" s="484"/>
      <c r="E327" s="484"/>
      <c r="G327" s="485">
        <v>320357</v>
      </c>
      <c r="H327" s="477"/>
    </row>
    <row r="329" spans="1:8" ht="15.75" customHeight="1" x14ac:dyDescent="0.2">
      <c r="A329" s="486" t="s">
        <v>471</v>
      </c>
      <c r="B329" s="484"/>
      <c r="C329" s="484"/>
      <c r="D329" s="484"/>
      <c r="E329" s="484"/>
      <c r="F329" s="484"/>
      <c r="G329" s="484"/>
      <c r="H329" s="484"/>
    </row>
    <row r="330" spans="1:8" ht="15" customHeight="1" x14ac:dyDescent="0.2">
      <c r="C330" s="479" t="s">
        <v>324</v>
      </c>
      <c r="D330" s="480"/>
      <c r="E330" s="480"/>
      <c r="F330" s="434"/>
      <c r="G330" s="481">
        <v>904177</v>
      </c>
      <c r="H330" s="482"/>
    </row>
    <row r="331" spans="1:8" ht="15" customHeight="1" x14ac:dyDescent="0.2">
      <c r="C331" s="483" t="s">
        <v>448</v>
      </c>
      <c r="D331" s="484"/>
      <c r="E331" s="484"/>
      <c r="G331" s="485">
        <v>767456</v>
      </c>
      <c r="H331" s="477"/>
    </row>
    <row r="332" spans="1:8" ht="15" customHeight="1" x14ac:dyDescent="0.2">
      <c r="C332" s="483" t="s">
        <v>447</v>
      </c>
      <c r="D332" s="484"/>
      <c r="E332" s="484"/>
      <c r="G332" s="485">
        <v>110231</v>
      </c>
      <c r="H332" s="477"/>
    </row>
    <row r="333" spans="1:8" ht="15" customHeight="1" x14ac:dyDescent="0.2">
      <c r="C333" s="483" t="s">
        <v>445</v>
      </c>
      <c r="D333" s="484"/>
      <c r="E333" s="484"/>
      <c r="G333" s="485">
        <v>26490</v>
      </c>
      <c r="H333" s="477"/>
    </row>
    <row r="335" spans="1:8" ht="15.75" customHeight="1" x14ac:dyDescent="0.2">
      <c r="A335" s="486" t="s">
        <v>338</v>
      </c>
      <c r="B335" s="484"/>
      <c r="C335" s="484"/>
      <c r="D335" s="484"/>
      <c r="E335" s="484"/>
      <c r="F335" s="484"/>
      <c r="G335" s="484"/>
      <c r="H335" s="484"/>
    </row>
    <row r="336" spans="1:8" ht="15" customHeight="1" x14ac:dyDescent="0.2">
      <c r="C336" s="479" t="s">
        <v>324</v>
      </c>
      <c r="D336" s="480"/>
      <c r="E336" s="480"/>
      <c r="F336" s="434"/>
      <c r="G336" s="481">
        <v>1449971</v>
      </c>
      <c r="H336" s="482"/>
    </row>
    <row r="337" spans="1:8" ht="15" customHeight="1" x14ac:dyDescent="0.2">
      <c r="C337" s="483" t="s">
        <v>447</v>
      </c>
      <c r="D337" s="484"/>
      <c r="E337" s="484"/>
      <c r="G337" s="485">
        <v>1130993</v>
      </c>
      <c r="H337" s="477"/>
    </row>
    <row r="338" spans="1:8" ht="15" customHeight="1" x14ac:dyDescent="0.2">
      <c r="C338" s="483" t="s">
        <v>446</v>
      </c>
      <c r="D338" s="484"/>
      <c r="E338" s="484"/>
      <c r="G338" s="485">
        <v>100000</v>
      </c>
      <c r="H338" s="477"/>
    </row>
    <row r="339" spans="1:8" ht="15" customHeight="1" x14ac:dyDescent="0.2">
      <c r="C339" s="483" t="s">
        <v>445</v>
      </c>
      <c r="D339" s="484"/>
      <c r="E339" s="484"/>
      <c r="G339" s="485">
        <v>218978</v>
      </c>
      <c r="H339" s="477"/>
    </row>
    <row r="341" spans="1:8" ht="15.75" customHeight="1" x14ac:dyDescent="0.2">
      <c r="A341" s="486" t="s">
        <v>363</v>
      </c>
      <c r="B341" s="484"/>
      <c r="C341" s="484"/>
      <c r="D341" s="484"/>
      <c r="E341" s="484"/>
      <c r="F341" s="484"/>
      <c r="G341" s="484"/>
      <c r="H341" s="484"/>
    </row>
    <row r="342" spans="1:8" ht="15" customHeight="1" x14ac:dyDescent="0.2">
      <c r="C342" s="479" t="s">
        <v>324</v>
      </c>
      <c r="D342" s="480"/>
      <c r="E342" s="480"/>
      <c r="F342" s="434"/>
      <c r="G342" s="481">
        <v>52686</v>
      </c>
      <c r="H342" s="482"/>
    </row>
    <row r="343" spans="1:8" ht="15" customHeight="1" x14ac:dyDescent="0.2">
      <c r="C343" s="483" t="s">
        <v>448</v>
      </c>
      <c r="D343" s="484"/>
      <c r="E343" s="484"/>
      <c r="G343" s="485">
        <v>1759</v>
      </c>
      <c r="H343" s="477"/>
    </row>
    <row r="344" spans="1:8" ht="15" customHeight="1" x14ac:dyDescent="0.2">
      <c r="C344" s="483" t="s">
        <v>447</v>
      </c>
      <c r="D344" s="484"/>
      <c r="E344" s="484"/>
      <c r="G344" s="485">
        <v>23000</v>
      </c>
      <c r="H344" s="477"/>
    </row>
    <row r="345" spans="1:8" ht="15" customHeight="1" x14ac:dyDescent="0.2">
      <c r="C345" s="483" t="s">
        <v>444</v>
      </c>
      <c r="D345" s="484"/>
      <c r="E345" s="484"/>
      <c r="G345" s="485">
        <v>27927</v>
      </c>
      <c r="H345" s="477"/>
    </row>
    <row r="346" spans="1:8" ht="26.25" customHeight="1" x14ac:dyDescent="0.2"/>
    <row r="347" spans="1:8" ht="15.75" customHeight="1" x14ac:dyDescent="0.2">
      <c r="A347" s="491" t="s">
        <v>813</v>
      </c>
      <c r="B347" s="488"/>
      <c r="C347" s="488"/>
      <c r="D347" s="488"/>
      <c r="E347" s="488"/>
      <c r="F347" s="488"/>
      <c r="G347" s="488"/>
      <c r="H347" s="488"/>
    </row>
    <row r="348" spans="1:8" ht="15" customHeight="1" x14ac:dyDescent="0.2">
      <c r="A348" s="435"/>
      <c r="B348" s="435"/>
      <c r="C348" s="487" t="s">
        <v>324</v>
      </c>
      <c r="D348" s="488"/>
      <c r="E348" s="488"/>
      <c r="F348" s="435"/>
      <c r="G348" s="489">
        <v>3642458</v>
      </c>
      <c r="H348" s="490"/>
    </row>
    <row r="349" spans="1:8" ht="15" customHeight="1" x14ac:dyDescent="0.2">
      <c r="A349" s="435"/>
      <c r="B349" s="435"/>
      <c r="C349" s="487" t="s">
        <v>448</v>
      </c>
      <c r="D349" s="488"/>
      <c r="E349" s="488"/>
      <c r="F349" s="435"/>
      <c r="G349" s="489">
        <v>1421473</v>
      </c>
      <c r="H349" s="490"/>
    </row>
    <row r="350" spans="1:8" ht="15" customHeight="1" x14ac:dyDescent="0.2">
      <c r="A350" s="435"/>
      <c r="B350" s="435"/>
      <c r="C350" s="487" t="s">
        <v>447</v>
      </c>
      <c r="D350" s="488"/>
      <c r="E350" s="488"/>
      <c r="F350" s="435"/>
      <c r="G350" s="489">
        <v>1720840</v>
      </c>
      <c r="H350" s="490"/>
    </row>
    <row r="351" spans="1:8" ht="15" customHeight="1" x14ac:dyDescent="0.2">
      <c r="A351" s="435"/>
      <c r="B351" s="435"/>
      <c r="C351" s="487" t="s">
        <v>446</v>
      </c>
      <c r="D351" s="488"/>
      <c r="E351" s="488"/>
      <c r="F351" s="435"/>
      <c r="G351" s="489">
        <v>478965</v>
      </c>
      <c r="H351" s="490"/>
    </row>
    <row r="352" spans="1:8" ht="15" customHeight="1" x14ac:dyDescent="0.2">
      <c r="A352" s="435"/>
      <c r="B352" s="435"/>
      <c r="C352" s="487" t="s">
        <v>445</v>
      </c>
      <c r="D352" s="488"/>
      <c r="E352" s="488"/>
      <c r="F352" s="435"/>
      <c r="G352" s="489">
        <v>21180</v>
      </c>
      <c r="H352" s="490"/>
    </row>
    <row r="354" spans="1:8" ht="15.75" customHeight="1" x14ac:dyDescent="0.2">
      <c r="A354" s="486" t="s">
        <v>470</v>
      </c>
      <c r="B354" s="484"/>
      <c r="C354" s="484"/>
      <c r="D354" s="484"/>
      <c r="E354" s="484"/>
      <c r="F354" s="484"/>
      <c r="G354" s="484"/>
      <c r="H354" s="484"/>
    </row>
    <row r="355" spans="1:8" ht="15" customHeight="1" x14ac:dyDescent="0.2">
      <c r="C355" s="479" t="s">
        <v>324</v>
      </c>
      <c r="D355" s="480"/>
      <c r="E355" s="480"/>
      <c r="F355" s="434"/>
      <c r="G355" s="481">
        <v>532561</v>
      </c>
      <c r="H355" s="482"/>
    </row>
    <row r="356" spans="1:8" ht="15" customHeight="1" x14ac:dyDescent="0.2">
      <c r="C356" s="483" t="s">
        <v>448</v>
      </c>
      <c r="D356" s="484"/>
      <c r="E356" s="484"/>
      <c r="G356" s="485">
        <v>292866</v>
      </c>
      <c r="H356" s="477"/>
    </row>
    <row r="357" spans="1:8" ht="15" customHeight="1" x14ac:dyDescent="0.2">
      <c r="C357" s="483" t="s">
        <v>447</v>
      </c>
      <c r="D357" s="484"/>
      <c r="E357" s="484"/>
      <c r="G357" s="485">
        <v>220515</v>
      </c>
      <c r="H357" s="477"/>
    </row>
    <row r="358" spans="1:8" ht="15" customHeight="1" x14ac:dyDescent="0.2">
      <c r="C358" s="483" t="s">
        <v>445</v>
      </c>
      <c r="D358" s="484"/>
      <c r="E358" s="484"/>
      <c r="G358" s="485">
        <v>19180</v>
      </c>
      <c r="H358" s="477"/>
    </row>
    <row r="360" spans="1:8" ht="15.75" customHeight="1" x14ac:dyDescent="0.2">
      <c r="A360" s="486" t="s">
        <v>345</v>
      </c>
      <c r="B360" s="484"/>
      <c r="C360" s="484"/>
      <c r="D360" s="484"/>
      <c r="E360" s="484"/>
      <c r="F360" s="484"/>
      <c r="G360" s="484"/>
      <c r="H360" s="484"/>
    </row>
    <row r="361" spans="1:8" ht="15" customHeight="1" x14ac:dyDescent="0.2">
      <c r="C361" s="479" t="s">
        <v>324</v>
      </c>
      <c r="D361" s="480"/>
      <c r="E361" s="480"/>
      <c r="F361" s="434"/>
      <c r="G361" s="481">
        <v>836270</v>
      </c>
      <c r="H361" s="482"/>
    </row>
    <row r="362" spans="1:8" ht="15" customHeight="1" x14ac:dyDescent="0.2">
      <c r="C362" s="483" t="s">
        <v>448</v>
      </c>
      <c r="D362" s="484"/>
      <c r="E362" s="484"/>
      <c r="G362" s="485">
        <v>3500</v>
      </c>
      <c r="H362" s="477"/>
    </row>
    <row r="363" spans="1:8" ht="15" customHeight="1" x14ac:dyDescent="0.2">
      <c r="C363" s="483" t="s">
        <v>447</v>
      </c>
      <c r="D363" s="484"/>
      <c r="E363" s="484"/>
      <c r="G363" s="485">
        <v>351805</v>
      </c>
      <c r="H363" s="477"/>
    </row>
    <row r="364" spans="1:8" ht="15" customHeight="1" x14ac:dyDescent="0.2">
      <c r="C364" s="483" t="s">
        <v>446</v>
      </c>
      <c r="D364" s="484"/>
      <c r="E364" s="484"/>
      <c r="G364" s="485">
        <v>478965</v>
      </c>
      <c r="H364" s="477"/>
    </row>
    <row r="365" spans="1:8" ht="15" customHeight="1" x14ac:dyDescent="0.2">
      <c r="C365" s="483" t="s">
        <v>445</v>
      </c>
      <c r="D365" s="484"/>
      <c r="E365" s="484"/>
      <c r="G365" s="485">
        <v>2000</v>
      </c>
      <c r="H365" s="477"/>
    </row>
    <row r="367" spans="1:8" ht="15.75" customHeight="1" x14ac:dyDescent="0.2">
      <c r="A367" s="486" t="s">
        <v>394</v>
      </c>
      <c r="B367" s="484"/>
      <c r="C367" s="484"/>
      <c r="D367" s="484"/>
      <c r="E367" s="484"/>
      <c r="F367" s="484"/>
      <c r="G367" s="484"/>
      <c r="H367" s="484"/>
    </row>
    <row r="368" spans="1:8" ht="15" customHeight="1" x14ac:dyDescent="0.2">
      <c r="C368" s="479" t="s">
        <v>324</v>
      </c>
      <c r="D368" s="480"/>
      <c r="E368" s="480"/>
      <c r="F368" s="434"/>
      <c r="G368" s="481">
        <v>2273627</v>
      </c>
      <c r="H368" s="482"/>
    </row>
    <row r="369" spans="1:8" ht="15" customHeight="1" x14ac:dyDescent="0.2">
      <c r="C369" s="483" t="s">
        <v>448</v>
      </c>
      <c r="D369" s="484"/>
      <c r="E369" s="484"/>
      <c r="G369" s="485">
        <v>1125107</v>
      </c>
      <c r="H369" s="477"/>
    </row>
    <row r="370" spans="1:8" ht="15" customHeight="1" x14ac:dyDescent="0.2">
      <c r="C370" s="483" t="s">
        <v>447</v>
      </c>
      <c r="D370" s="484"/>
      <c r="E370" s="484"/>
      <c r="G370" s="485">
        <v>1148520</v>
      </c>
      <c r="H370" s="477"/>
    </row>
    <row r="372" spans="1:8" ht="15.75" hidden="1" customHeight="1" x14ac:dyDescent="0.2">
      <c r="A372" s="486" t="s">
        <v>358</v>
      </c>
      <c r="B372" s="484"/>
      <c r="C372" s="484"/>
      <c r="D372" s="484"/>
      <c r="E372" s="484"/>
      <c r="F372" s="484"/>
      <c r="G372" s="484"/>
      <c r="H372" s="484"/>
    </row>
    <row r="373" spans="1:8" ht="15" hidden="1" customHeight="1" x14ac:dyDescent="0.2">
      <c r="C373" s="479" t="s">
        <v>324</v>
      </c>
      <c r="D373" s="480"/>
      <c r="E373" s="480"/>
      <c r="F373" s="434"/>
      <c r="G373" s="481">
        <v>965784</v>
      </c>
      <c r="H373" s="482"/>
    </row>
    <row r="374" spans="1:8" ht="15" hidden="1" customHeight="1" x14ac:dyDescent="0.2">
      <c r="C374" s="483" t="s">
        <v>448</v>
      </c>
      <c r="D374" s="484"/>
      <c r="E374" s="484"/>
      <c r="G374" s="485">
        <v>599136</v>
      </c>
      <c r="H374" s="477"/>
    </row>
    <row r="375" spans="1:8" ht="15" hidden="1" customHeight="1" x14ac:dyDescent="0.2">
      <c r="C375" s="483" t="s">
        <v>447</v>
      </c>
      <c r="D375" s="484"/>
      <c r="E375" s="484"/>
      <c r="G375" s="485">
        <v>366648</v>
      </c>
      <c r="H375" s="477"/>
    </row>
    <row r="376" spans="1:8" hidden="1" x14ac:dyDescent="0.2"/>
    <row r="377" spans="1:8" ht="15.75" hidden="1" customHeight="1" x14ac:dyDescent="0.2">
      <c r="A377" s="486" t="s">
        <v>359</v>
      </c>
      <c r="B377" s="484"/>
      <c r="C377" s="484"/>
      <c r="D377" s="484"/>
      <c r="E377" s="484"/>
      <c r="F377" s="484"/>
      <c r="G377" s="484"/>
      <c r="H377" s="484"/>
    </row>
    <row r="378" spans="1:8" ht="15" hidden="1" customHeight="1" x14ac:dyDescent="0.2">
      <c r="C378" s="479" t="s">
        <v>324</v>
      </c>
      <c r="D378" s="480"/>
      <c r="E378" s="480"/>
      <c r="F378" s="434"/>
      <c r="G378" s="481">
        <v>430537</v>
      </c>
      <c r="H378" s="482"/>
    </row>
    <row r="379" spans="1:8" ht="15" hidden="1" customHeight="1" x14ac:dyDescent="0.2">
      <c r="C379" s="483" t="s">
        <v>448</v>
      </c>
      <c r="D379" s="484"/>
      <c r="E379" s="484"/>
      <c r="G379" s="485">
        <v>162402</v>
      </c>
      <c r="H379" s="477"/>
    </row>
    <row r="380" spans="1:8" ht="15" hidden="1" customHeight="1" x14ac:dyDescent="0.2">
      <c r="C380" s="483" t="s">
        <v>447</v>
      </c>
      <c r="D380" s="484"/>
      <c r="E380" s="484"/>
      <c r="G380" s="485">
        <v>268135</v>
      </c>
      <c r="H380" s="477"/>
    </row>
    <row r="381" spans="1:8" hidden="1" x14ac:dyDescent="0.2"/>
    <row r="382" spans="1:8" ht="15.75" hidden="1" customHeight="1" x14ac:dyDescent="0.2">
      <c r="A382" s="486" t="s">
        <v>360</v>
      </c>
      <c r="B382" s="484"/>
      <c r="C382" s="484"/>
      <c r="D382" s="484"/>
      <c r="E382" s="484"/>
      <c r="F382" s="484"/>
      <c r="G382" s="484"/>
      <c r="H382" s="484"/>
    </row>
    <row r="383" spans="1:8" ht="15" hidden="1" customHeight="1" x14ac:dyDescent="0.2">
      <c r="C383" s="479" t="s">
        <v>324</v>
      </c>
      <c r="D383" s="480"/>
      <c r="E383" s="480"/>
      <c r="F383" s="434"/>
      <c r="G383" s="481">
        <v>877306</v>
      </c>
      <c r="H383" s="482"/>
    </row>
    <row r="384" spans="1:8" ht="15" hidden="1" customHeight="1" x14ac:dyDescent="0.2">
      <c r="C384" s="483" t="s">
        <v>448</v>
      </c>
      <c r="D384" s="484"/>
      <c r="E384" s="484"/>
      <c r="G384" s="485">
        <v>363569</v>
      </c>
      <c r="H384" s="477"/>
    </row>
    <row r="385" spans="1:8" ht="15" hidden="1" customHeight="1" x14ac:dyDescent="0.2">
      <c r="C385" s="483" t="s">
        <v>447</v>
      </c>
      <c r="D385" s="484"/>
      <c r="E385" s="484"/>
      <c r="G385" s="485">
        <v>513737</v>
      </c>
      <c r="H385" s="477"/>
    </row>
    <row r="386" spans="1:8" ht="14.25" customHeight="1" x14ac:dyDescent="0.2"/>
    <row r="387" spans="1:8" ht="15.75" customHeight="1" x14ac:dyDescent="0.2">
      <c r="A387" s="491" t="s">
        <v>814</v>
      </c>
      <c r="B387" s="488"/>
      <c r="C387" s="488"/>
      <c r="D387" s="488"/>
      <c r="E387" s="488"/>
      <c r="F387" s="488"/>
      <c r="G387" s="488"/>
      <c r="H387" s="488"/>
    </row>
    <row r="388" spans="1:8" ht="15" customHeight="1" x14ac:dyDescent="0.2">
      <c r="A388" s="435"/>
      <c r="B388" s="435"/>
      <c r="C388" s="487" t="s">
        <v>324</v>
      </c>
      <c r="D388" s="488"/>
      <c r="E388" s="488"/>
      <c r="F388" s="435"/>
      <c r="G388" s="489">
        <v>1104550</v>
      </c>
      <c r="H388" s="490"/>
    </row>
    <row r="389" spans="1:8" ht="15" customHeight="1" x14ac:dyDescent="0.2">
      <c r="A389" s="435"/>
      <c r="B389" s="435"/>
      <c r="C389" s="487" t="s">
        <v>448</v>
      </c>
      <c r="D389" s="488"/>
      <c r="E389" s="488"/>
      <c r="F389" s="435"/>
      <c r="G389" s="489">
        <v>525509</v>
      </c>
      <c r="H389" s="490"/>
    </row>
    <row r="390" spans="1:8" ht="15" customHeight="1" x14ac:dyDescent="0.2">
      <c r="A390" s="435"/>
      <c r="B390" s="435"/>
      <c r="C390" s="487" t="s">
        <v>447</v>
      </c>
      <c r="D390" s="488"/>
      <c r="E390" s="488"/>
      <c r="F390" s="435"/>
      <c r="G390" s="489">
        <v>202226</v>
      </c>
      <c r="H390" s="490"/>
    </row>
    <row r="391" spans="1:8" ht="15" customHeight="1" x14ac:dyDescent="0.2">
      <c r="A391" s="435"/>
      <c r="B391" s="435"/>
      <c r="C391" s="487" t="s">
        <v>445</v>
      </c>
      <c r="D391" s="488"/>
      <c r="E391" s="488"/>
      <c r="F391" s="435"/>
      <c r="G391" s="489">
        <v>338807</v>
      </c>
      <c r="H391" s="490"/>
    </row>
    <row r="392" spans="1:8" ht="30" customHeight="1" x14ac:dyDescent="0.2">
      <c r="A392" s="435"/>
      <c r="B392" s="435"/>
      <c r="C392" s="487" t="s">
        <v>443</v>
      </c>
      <c r="D392" s="488"/>
      <c r="E392" s="488"/>
      <c r="F392" s="435"/>
      <c r="G392" s="489">
        <v>38008</v>
      </c>
      <c r="H392" s="490"/>
    </row>
    <row r="394" spans="1:8" ht="15.75" customHeight="1" x14ac:dyDescent="0.2">
      <c r="A394" s="486" t="s">
        <v>469</v>
      </c>
      <c r="B394" s="484"/>
      <c r="C394" s="484"/>
      <c r="D394" s="484"/>
      <c r="E394" s="484"/>
      <c r="F394" s="484"/>
      <c r="G394" s="484"/>
      <c r="H394" s="484"/>
    </row>
    <row r="395" spans="1:8" ht="15" customHeight="1" x14ac:dyDescent="0.2">
      <c r="C395" s="479" t="s">
        <v>324</v>
      </c>
      <c r="D395" s="480"/>
      <c r="E395" s="480"/>
      <c r="F395" s="434"/>
      <c r="G395" s="481">
        <v>897708</v>
      </c>
      <c r="H395" s="482"/>
    </row>
    <row r="396" spans="1:8" ht="15" customHeight="1" x14ac:dyDescent="0.2">
      <c r="C396" s="483" t="s">
        <v>448</v>
      </c>
      <c r="D396" s="484"/>
      <c r="E396" s="484"/>
      <c r="G396" s="485">
        <v>519786</v>
      </c>
      <c r="H396" s="477"/>
    </row>
    <row r="397" spans="1:8" ht="15" customHeight="1" x14ac:dyDescent="0.2">
      <c r="C397" s="483" t="s">
        <v>447</v>
      </c>
      <c r="D397" s="484"/>
      <c r="E397" s="484"/>
      <c r="G397" s="485">
        <v>185826</v>
      </c>
      <c r="H397" s="477"/>
    </row>
    <row r="398" spans="1:8" ht="15" customHeight="1" x14ac:dyDescent="0.2">
      <c r="C398" s="483" t="s">
        <v>445</v>
      </c>
      <c r="D398" s="484"/>
      <c r="E398" s="484"/>
      <c r="G398" s="485">
        <v>192096</v>
      </c>
      <c r="H398" s="477"/>
    </row>
    <row r="400" spans="1:8" ht="31.5" customHeight="1" x14ac:dyDescent="0.2">
      <c r="A400" s="486" t="s">
        <v>815</v>
      </c>
      <c r="B400" s="484"/>
      <c r="C400" s="484"/>
      <c r="D400" s="484"/>
      <c r="E400" s="484"/>
      <c r="F400" s="484"/>
      <c r="G400" s="484"/>
      <c r="H400" s="484"/>
    </row>
    <row r="401" spans="1:8" ht="15" customHeight="1" x14ac:dyDescent="0.2">
      <c r="C401" s="479" t="s">
        <v>324</v>
      </c>
      <c r="D401" s="480"/>
      <c r="E401" s="480"/>
      <c r="F401" s="434"/>
      <c r="G401" s="481">
        <v>206842</v>
      </c>
      <c r="H401" s="482"/>
    </row>
    <row r="402" spans="1:8" ht="15" customHeight="1" x14ac:dyDescent="0.2">
      <c r="C402" s="483" t="s">
        <v>448</v>
      </c>
      <c r="D402" s="484"/>
      <c r="E402" s="484"/>
      <c r="G402" s="485">
        <v>5723</v>
      </c>
      <c r="H402" s="477"/>
    </row>
    <row r="403" spans="1:8" ht="15" customHeight="1" x14ac:dyDescent="0.2">
      <c r="C403" s="483" t="s">
        <v>447</v>
      </c>
      <c r="D403" s="484"/>
      <c r="E403" s="484"/>
      <c r="G403" s="485">
        <v>16400</v>
      </c>
      <c r="H403" s="477"/>
    </row>
    <row r="404" spans="1:8" ht="15" customHeight="1" x14ac:dyDescent="0.2">
      <c r="C404" s="483" t="s">
        <v>445</v>
      </c>
      <c r="D404" s="484"/>
      <c r="E404" s="484"/>
      <c r="G404" s="485">
        <v>146711</v>
      </c>
      <c r="H404" s="477"/>
    </row>
    <row r="405" spans="1:8" x14ac:dyDescent="0.2">
      <c r="C405" s="483" t="s">
        <v>443</v>
      </c>
      <c r="D405" s="484"/>
      <c r="E405" s="484"/>
      <c r="G405" s="485">
        <v>38008</v>
      </c>
      <c r="H405" s="477"/>
    </row>
    <row r="406" spans="1:8" ht="21" customHeight="1" x14ac:dyDescent="0.2"/>
    <row r="407" spans="1:8" ht="31.5" customHeight="1" x14ac:dyDescent="0.2">
      <c r="A407" s="491" t="s">
        <v>816</v>
      </c>
      <c r="B407" s="488"/>
      <c r="C407" s="488"/>
      <c r="D407" s="488"/>
      <c r="E407" s="488"/>
      <c r="F407" s="488"/>
      <c r="G407" s="488"/>
      <c r="H407" s="488"/>
    </row>
    <row r="408" spans="1:8" ht="15" customHeight="1" x14ac:dyDescent="0.2">
      <c r="A408" s="435"/>
      <c r="B408" s="435"/>
      <c r="C408" s="487" t="s">
        <v>324</v>
      </c>
      <c r="D408" s="488"/>
      <c r="E408" s="488"/>
      <c r="F408" s="435"/>
      <c r="G408" s="489">
        <v>478718</v>
      </c>
      <c r="H408" s="490"/>
    </row>
    <row r="409" spans="1:8" ht="15" customHeight="1" x14ac:dyDescent="0.2">
      <c r="A409" s="435"/>
      <c r="B409" s="435"/>
      <c r="C409" s="487" t="s">
        <v>448</v>
      </c>
      <c r="D409" s="488"/>
      <c r="E409" s="488"/>
      <c r="F409" s="435"/>
      <c r="G409" s="489">
        <v>370413</v>
      </c>
      <c r="H409" s="490"/>
    </row>
    <row r="410" spans="1:8" ht="15" customHeight="1" x14ac:dyDescent="0.2">
      <c r="A410" s="435"/>
      <c r="B410" s="435"/>
      <c r="C410" s="487" t="s">
        <v>447</v>
      </c>
      <c r="D410" s="488"/>
      <c r="E410" s="488"/>
      <c r="F410" s="435"/>
      <c r="G410" s="489">
        <v>104305</v>
      </c>
      <c r="H410" s="490"/>
    </row>
    <row r="411" spans="1:8" ht="15" customHeight="1" x14ac:dyDescent="0.2">
      <c r="A411" s="435"/>
      <c r="B411" s="435"/>
      <c r="C411" s="487" t="s">
        <v>445</v>
      </c>
      <c r="D411" s="488"/>
      <c r="E411" s="488"/>
      <c r="F411" s="435"/>
      <c r="G411" s="489">
        <v>4000</v>
      </c>
      <c r="H411" s="490"/>
    </row>
    <row r="413" spans="1:8" ht="15.75" customHeight="1" x14ac:dyDescent="0.2">
      <c r="A413" s="486" t="s">
        <v>468</v>
      </c>
      <c r="B413" s="484"/>
      <c r="C413" s="484"/>
      <c r="D413" s="484"/>
      <c r="E413" s="484"/>
      <c r="F413" s="484"/>
      <c r="G413" s="484"/>
      <c r="H413" s="484"/>
    </row>
    <row r="414" spans="1:8" ht="15" customHeight="1" x14ac:dyDescent="0.2">
      <c r="C414" s="479" t="s">
        <v>324</v>
      </c>
      <c r="D414" s="480"/>
      <c r="E414" s="480"/>
      <c r="F414" s="434"/>
      <c r="G414" s="481">
        <v>478718</v>
      </c>
      <c r="H414" s="482"/>
    </row>
    <row r="415" spans="1:8" ht="15" customHeight="1" x14ac:dyDescent="0.2">
      <c r="C415" s="483" t="s">
        <v>448</v>
      </c>
      <c r="D415" s="484"/>
      <c r="E415" s="484"/>
      <c r="G415" s="485">
        <v>370413</v>
      </c>
      <c r="H415" s="477"/>
    </row>
    <row r="416" spans="1:8" ht="15" customHeight="1" x14ac:dyDescent="0.2">
      <c r="C416" s="483" t="s">
        <v>447</v>
      </c>
      <c r="D416" s="484"/>
      <c r="E416" s="484"/>
      <c r="G416" s="485">
        <v>104305</v>
      </c>
      <c r="H416" s="477"/>
    </row>
    <row r="417" spans="1:8" ht="15" customHeight="1" x14ac:dyDescent="0.2">
      <c r="C417" s="483" t="s">
        <v>445</v>
      </c>
      <c r="D417" s="484"/>
      <c r="E417" s="484"/>
      <c r="G417" s="485">
        <v>4000</v>
      </c>
      <c r="H417" s="477"/>
    </row>
    <row r="418" spans="1:8" ht="22.5" customHeight="1" x14ac:dyDescent="0.2"/>
    <row r="419" spans="1:8" ht="15.75" customHeight="1" x14ac:dyDescent="0.2">
      <c r="A419" s="491" t="s">
        <v>817</v>
      </c>
      <c r="B419" s="488"/>
      <c r="C419" s="488"/>
      <c r="D419" s="488"/>
      <c r="E419" s="488"/>
      <c r="F419" s="488"/>
      <c r="G419" s="488"/>
      <c r="H419" s="488"/>
    </row>
    <row r="420" spans="1:8" ht="15" customHeight="1" x14ac:dyDescent="0.2">
      <c r="A420" s="435"/>
      <c r="B420" s="435"/>
      <c r="C420" s="487" t="s">
        <v>324</v>
      </c>
      <c r="D420" s="488"/>
      <c r="E420" s="488"/>
      <c r="F420" s="435"/>
      <c r="G420" s="489">
        <v>2696589</v>
      </c>
      <c r="H420" s="490"/>
    </row>
    <row r="421" spans="1:8" ht="15" customHeight="1" x14ac:dyDescent="0.2">
      <c r="A421" s="435"/>
      <c r="B421" s="435"/>
      <c r="C421" s="487" t="s">
        <v>448</v>
      </c>
      <c r="D421" s="488"/>
      <c r="E421" s="488"/>
      <c r="F421" s="435"/>
      <c r="G421" s="489">
        <v>1488729</v>
      </c>
      <c r="H421" s="490"/>
    </row>
    <row r="422" spans="1:8" ht="15" customHeight="1" x14ac:dyDescent="0.2">
      <c r="A422" s="435"/>
      <c r="B422" s="435"/>
      <c r="C422" s="487" t="s">
        <v>447</v>
      </c>
      <c r="D422" s="488"/>
      <c r="E422" s="488"/>
      <c r="F422" s="435"/>
      <c r="G422" s="489">
        <v>1156252</v>
      </c>
      <c r="H422" s="490"/>
    </row>
    <row r="423" spans="1:8" ht="15" customHeight="1" x14ac:dyDescent="0.2">
      <c r="A423" s="435"/>
      <c r="B423" s="435"/>
      <c r="C423" s="487" t="s">
        <v>446</v>
      </c>
      <c r="D423" s="488"/>
      <c r="E423" s="488"/>
      <c r="F423" s="435"/>
      <c r="G423" s="489">
        <v>9450</v>
      </c>
      <c r="H423" s="490"/>
    </row>
    <row r="424" spans="1:8" ht="15" customHeight="1" x14ac:dyDescent="0.2">
      <c r="A424" s="435"/>
      <c r="B424" s="435"/>
      <c r="C424" s="487" t="s">
        <v>445</v>
      </c>
      <c r="D424" s="488"/>
      <c r="E424" s="488"/>
      <c r="F424" s="435"/>
      <c r="G424" s="489">
        <v>30000</v>
      </c>
      <c r="H424" s="490"/>
    </row>
    <row r="425" spans="1:8" ht="30" customHeight="1" x14ac:dyDescent="0.2">
      <c r="A425" s="435"/>
      <c r="B425" s="435"/>
      <c r="C425" s="487" t="s">
        <v>443</v>
      </c>
      <c r="D425" s="488"/>
      <c r="E425" s="488"/>
      <c r="F425" s="435"/>
      <c r="G425" s="489">
        <v>12158</v>
      </c>
      <c r="H425" s="490"/>
    </row>
    <row r="427" spans="1:8" ht="15.75" customHeight="1" x14ac:dyDescent="0.2">
      <c r="A427" s="486" t="s">
        <v>467</v>
      </c>
      <c r="B427" s="484"/>
      <c r="C427" s="484"/>
      <c r="D427" s="484"/>
      <c r="E427" s="484"/>
      <c r="F427" s="484"/>
      <c r="G427" s="484"/>
      <c r="H427" s="484"/>
    </row>
    <row r="428" spans="1:8" ht="15" customHeight="1" x14ac:dyDescent="0.2">
      <c r="C428" s="479" t="s">
        <v>324</v>
      </c>
      <c r="D428" s="480"/>
      <c r="E428" s="480"/>
      <c r="F428" s="434"/>
      <c r="G428" s="481">
        <v>1392493</v>
      </c>
      <c r="H428" s="482"/>
    </row>
    <row r="429" spans="1:8" ht="15" customHeight="1" x14ac:dyDescent="0.2">
      <c r="C429" s="483" t="s">
        <v>448</v>
      </c>
      <c r="D429" s="484"/>
      <c r="E429" s="484"/>
      <c r="G429" s="485">
        <v>853596</v>
      </c>
      <c r="H429" s="477"/>
    </row>
    <row r="430" spans="1:8" ht="15" customHeight="1" x14ac:dyDescent="0.2">
      <c r="C430" s="483" t="s">
        <v>447</v>
      </c>
      <c r="D430" s="484"/>
      <c r="E430" s="484"/>
      <c r="G430" s="485">
        <v>521897</v>
      </c>
      <c r="H430" s="477"/>
    </row>
    <row r="431" spans="1:8" ht="15" customHeight="1" x14ac:dyDescent="0.2">
      <c r="C431" s="483" t="s">
        <v>445</v>
      </c>
      <c r="D431" s="484"/>
      <c r="E431" s="484"/>
      <c r="G431" s="485">
        <v>17000</v>
      </c>
      <c r="H431" s="477"/>
    </row>
    <row r="432" spans="1:8" ht="10.5" customHeight="1" x14ac:dyDescent="0.2"/>
    <row r="433" spans="1:8" ht="15.75" customHeight="1" x14ac:dyDescent="0.2">
      <c r="A433" s="486" t="s">
        <v>466</v>
      </c>
      <c r="B433" s="484"/>
      <c r="C433" s="484"/>
      <c r="D433" s="484"/>
      <c r="E433" s="484"/>
      <c r="F433" s="484"/>
      <c r="G433" s="484"/>
      <c r="H433" s="484"/>
    </row>
    <row r="434" spans="1:8" ht="15" customHeight="1" x14ac:dyDescent="0.2">
      <c r="C434" s="479" t="s">
        <v>324</v>
      </c>
      <c r="D434" s="480"/>
      <c r="E434" s="480"/>
      <c r="F434" s="434"/>
      <c r="G434" s="481">
        <v>691540</v>
      </c>
      <c r="H434" s="482"/>
    </row>
    <row r="435" spans="1:8" ht="15" customHeight="1" x14ac:dyDescent="0.2">
      <c r="C435" s="483" t="s">
        <v>448</v>
      </c>
      <c r="D435" s="484"/>
      <c r="E435" s="484"/>
      <c r="G435" s="485">
        <v>125327</v>
      </c>
      <c r="H435" s="477"/>
    </row>
    <row r="436" spans="1:8" ht="15" customHeight="1" x14ac:dyDescent="0.2">
      <c r="C436" s="483" t="s">
        <v>447</v>
      </c>
      <c r="D436" s="484"/>
      <c r="E436" s="484"/>
      <c r="G436" s="485">
        <v>553213</v>
      </c>
      <c r="H436" s="477"/>
    </row>
    <row r="437" spans="1:8" ht="15" customHeight="1" x14ac:dyDescent="0.2">
      <c r="C437" s="483" t="s">
        <v>445</v>
      </c>
      <c r="D437" s="484"/>
      <c r="E437" s="484"/>
      <c r="G437" s="485">
        <v>13000</v>
      </c>
      <c r="H437" s="477"/>
    </row>
    <row r="439" spans="1:8" ht="15.75" customHeight="1" x14ac:dyDescent="0.2">
      <c r="A439" s="486" t="s">
        <v>346</v>
      </c>
      <c r="B439" s="484"/>
      <c r="C439" s="484"/>
      <c r="D439" s="484"/>
      <c r="E439" s="484"/>
      <c r="F439" s="484"/>
      <c r="G439" s="484"/>
      <c r="H439" s="484"/>
    </row>
    <row r="440" spans="1:8" ht="15" customHeight="1" x14ac:dyDescent="0.2">
      <c r="C440" s="479" t="s">
        <v>324</v>
      </c>
      <c r="D440" s="480"/>
      <c r="E440" s="480"/>
      <c r="F440" s="434"/>
      <c r="G440" s="481">
        <v>95001</v>
      </c>
      <c r="H440" s="482"/>
    </row>
    <row r="441" spans="1:8" ht="15" customHeight="1" x14ac:dyDescent="0.2">
      <c r="C441" s="483" t="s">
        <v>448</v>
      </c>
      <c r="D441" s="484"/>
      <c r="E441" s="484"/>
      <c r="G441" s="485">
        <v>95001</v>
      </c>
      <c r="H441" s="477"/>
    </row>
    <row r="443" spans="1:8" ht="15.75" customHeight="1" x14ac:dyDescent="0.2">
      <c r="A443" s="486" t="s">
        <v>347</v>
      </c>
      <c r="B443" s="484"/>
      <c r="C443" s="484"/>
      <c r="D443" s="484"/>
      <c r="E443" s="484"/>
      <c r="F443" s="484"/>
      <c r="G443" s="484"/>
      <c r="H443" s="484"/>
    </row>
    <row r="444" spans="1:8" ht="15" customHeight="1" x14ac:dyDescent="0.2">
      <c r="C444" s="479" t="s">
        <v>324</v>
      </c>
      <c r="D444" s="480"/>
      <c r="E444" s="480"/>
      <c r="F444" s="434"/>
      <c r="G444" s="481">
        <v>79871</v>
      </c>
      <c r="H444" s="482"/>
    </row>
    <row r="445" spans="1:8" ht="15" customHeight="1" x14ac:dyDescent="0.2">
      <c r="C445" s="483" t="s">
        <v>448</v>
      </c>
      <c r="D445" s="484"/>
      <c r="E445" s="484"/>
      <c r="G445" s="485">
        <v>72016</v>
      </c>
      <c r="H445" s="477"/>
    </row>
    <row r="446" spans="1:8" ht="15" customHeight="1" x14ac:dyDescent="0.2">
      <c r="C446" s="483" t="s">
        <v>447</v>
      </c>
      <c r="D446" s="484"/>
      <c r="E446" s="484"/>
      <c r="G446" s="485">
        <v>7855</v>
      </c>
      <c r="H446" s="477"/>
    </row>
    <row r="448" spans="1:8" ht="15.75" customHeight="1" x14ac:dyDescent="0.2">
      <c r="A448" s="486" t="s">
        <v>348</v>
      </c>
      <c r="B448" s="484"/>
      <c r="C448" s="484"/>
      <c r="D448" s="484"/>
      <c r="E448" s="484"/>
      <c r="F448" s="484"/>
      <c r="G448" s="484"/>
      <c r="H448" s="484"/>
    </row>
    <row r="449" spans="1:8" ht="15" customHeight="1" x14ac:dyDescent="0.2">
      <c r="C449" s="479" t="s">
        <v>324</v>
      </c>
      <c r="D449" s="480"/>
      <c r="E449" s="480"/>
      <c r="F449" s="434"/>
      <c r="G449" s="481">
        <v>21014</v>
      </c>
      <c r="H449" s="482"/>
    </row>
    <row r="450" spans="1:8" ht="15" customHeight="1" x14ac:dyDescent="0.2">
      <c r="C450" s="483" t="s">
        <v>448</v>
      </c>
      <c r="D450" s="484"/>
      <c r="E450" s="484"/>
      <c r="G450" s="485">
        <v>15303</v>
      </c>
      <c r="H450" s="477"/>
    </row>
    <row r="451" spans="1:8" ht="15" customHeight="1" x14ac:dyDescent="0.2">
      <c r="C451" s="483" t="s">
        <v>447</v>
      </c>
      <c r="D451" s="484"/>
      <c r="E451" s="484"/>
      <c r="G451" s="485">
        <v>5711</v>
      </c>
      <c r="H451" s="477"/>
    </row>
    <row r="453" spans="1:8" ht="15.75" customHeight="1" x14ac:dyDescent="0.2">
      <c r="A453" s="486" t="s">
        <v>349</v>
      </c>
      <c r="B453" s="484"/>
      <c r="C453" s="484"/>
      <c r="D453" s="484"/>
      <c r="E453" s="484"/>
      <c r="F453" s="484"/>
      <c r="G453" s="484"/>
      <c r="H453" s="484"/>
    </row>
    <row r="454" spans="1:8" ht="15" customHeight="1" x14ac:dyDescent="0.2">
      <c r="C454" s="479" t="s">
        <v>324</v>
      </c>
      <c r="D454" s="480"/>
      <c r="E454" s="480"/>
      <c r="F454" s="434"/>
      <c r="G454" s="481">
        <v>394320</v>
      </c>
      <c r="H454" s="482"/>
    </row>
    <row r="455" spans="1:8" ht="15" customHeight="1" x14ac:dyDescent="0.2">
      <c r="C455" s="483" t="s">
        <v>448</v>
      </c>
      <c r="D455" s="484"/>
      <c r="E455" s="484"/>
      <c r="G455" s="485">
        <v>322276</v>
      </c>
      <c r="H455" s="477"/>
    </row>
    <row r="456" spans="1:8" ht="15" customHeight="1" x14ac:dyDescent="0.2">
      <c r="C456" s="483" t="s">
        <v>447</v>
      </c>
      <c r="D456" s="484"/>
      <c r="E456" s="484"/>
      <c r="G456" s="485">
        <v>59886</v>
      </c>
      <c r="H456" s="477"/>
    </row>
    <row r="457" spans="1:8" x14ac:dyDescent="0.2">
      <c r="C457" s="483" t="s">
        <v>443</v>
      </c>
      <c r="D457" s="484"/>
      <c r="E457" s="484"/>
      <c r="G457" s="485">
        <v>12158</v>
      </c>
      <c r="H457" s="477"/>
    </row>
    <row r="459" spans="1:8" ht="15.75" customHeight="1" x14ac:dyDescent="0.2">
      <c r="A459" s="486" t="s">
        <v>352</v>
      </c>
      <c r="B459" s="484"/>
      <c r="C459" s="484"/>
      <c r="D459" s="484"/>
      <c r="E459" s="484"/>
      <c r="F459" s="484"/>
      <c r="G459" s="484"/>
      <c r="H459" s="484"/>
    </row>
    <row r="460" spans="1:8" ht="15" customHeight="1" x14ac:dyDescent="0.2">
      <c r="C460" s="479" t="s">
        <v>324</v>
      </c>
      <c r="D460" s="480"/>
      <c r="E460" s="480"/>
      <c r="F460" s="434"/>
      <c r="G460" s="481">
        <v>22350</v>
      </c>
      <c r="H460" s="482"/>
    </row>
    <row r="461" spans="1:8" ht="15" customHeight="1" x14ac:dyDescent="0.2">
      <c r="C461" s="483" t="s">
        <v>448</v>
      </c>
      <c r="D461" s="484"/>
      <c r="E461" s="484"/>
      <c r="G461" s="485">
        <v>5210</v>
      </c>
      <c r="H461" s="477"/>
    </row>
    <row r="462" spans="1:8" ht="15" customHeight="1" x14ac:dyDescent="0.2">
      <c r="C462" s="483" t="s">
        <v>447</v>
      </c>
      <c r="D462" s="484"/>
      <c r="E462" s="484"/>
      <c r="G462" s="485">
        <v>7690</v>
      </c>
      <c r="H462" s="477"/>
    </row>
    <row r="463" spans="1:8" ht="15" customHeight="1" x14ac:dyDescent="0.2">
      <c r="C463" s="483" t="s">
        <v>446</v>
      </c>
      <c r="D463" s="484"/>
      <c r="E463" s="484"/>
      <c r="G463" s="485">
        <v>9450</v>
      </c>
      <c r="H463" s="477"/>
    </row>
    <row r="464" spans="1:8" ht="24" customHeight="1" x14ac:dyDescent="0.2"/>
    <row r="465" spans="1:8" ht="15.75" customHeight="1" x14ac:dyDescent="0.2">
      <c r="A465" s="491" t="s">
        <v>818</v>
      </c>
      <c r="B465" s="488"/>
      <c r="C465" s="488"/>
      <c r="D465" s="488"/>
      <c r="E465" s="488"/>
      <c r="F465" s="488"/>
      <c r="G465" s="488"/>
      <c r="H465" s="488"/>
    </row>
    <row r="466" spans="1:8" ht="15" customHeight="1" x14ac:dyDescent="0.2">
      <c r="A466" s="435"/>
      <c r="B466" s="435"/>
      <c r="C466" s="487" t="s">
        <v>324</v>
      </c>
      <c r="D466" s="488"/>
      <c r="E466" s="488"/>
      <c r="F466" s="435"/>
      <c r="G466" s="489">
        <v>394918</v>
      </c>
      <c r="H466" s="490"/>
    </row>
    <row r="467" spans="1:8" ht="15" customHeight="1" x14ac:dyDescent="0.2">
      <c r="A467" s="435"/>
      <c r="B467" s="435"/>
      <c r="C467" s="487" t="s">
        <v>448</v>
      </c>
      <c r="D467" s="488"/>
      <c r="E467" s="488"/>
      <c r="F467" s="435"/>
      <c r="G467" s="489">
        <v>189906</v>
      </c>
      <c r="H467" s="490"/>
    </row>
    <row r="468" spans="1:8" ht="15" customHeight="1" x14ac:dyDescent="0.2">
      <c r="A468" s="435"/>
      <c r="B468" s="435"/>
      <c r="C468" s="487" t="s">
        <v>447</v>
      </c>
      <c r="D468" s="488"/>
      <c r="E468" s="488"/>
      <c r="F468" s="435"/>
      <c r="G468" s="489">
        <v>202212</v>
      </c>
      <c r="H468" s="490"/>
    </row>
    <row r="469" spans="1:8" ht="15" customHeight="1" x14ac:dyDescent="0.2">
      <c r="A469" s="435"/>
      <c r="B469" s="435"/>
      <c r="C469" s="487" t="s">
        <v>445</v>
      </c>
      <c r="D469" s="488"/>
      <c r="E469" s="488"/>
      <c r="F469" s="435"/>
      <c r="G469" s="489">
        <v>2800</v>
      </c>
      <c r="H469" s="490"/>
    </row>
    <row r="471" spans="1:8" ht="15.75" customHeight="1" x14ac:dyDescent="0.2">
      <c r="A471" s="486" t="s">
        <v>465</v>
      </c>
      <c r="B471" s="484"/>
      <c r="C471" s="484"/>
      <c r="D471" s="484"/>
      <c r="E471" s="484"/>
      <c r="F471" s="484"/>
      <c r="G471" s="484"/>
      <c r="H471" s="484"/>
    </row>
    <row r="472" spans="1:8" ht="15" customHeight="1" x14ac:dyDescent="0.2">
      <c r="C472" s="479" t="s">
        <v>324</v>
      </c>
      <c r="D472" s="480"/>
      <c r="E472" s="480"/>
      <c r="F472" s="434"/>
      <c r="G472" s="481">
        <v>394918</v>
      </c>
      <c r="H472" s="482"/>
    </row>
    <row r="473" spans="1:8" ht="15" customHeight="1" x14ac:dyDescent="0.2">
      <c r="C473" s="483" t="s">
        <v>448</v>
      </c>
      <c r="D473" s="484"/>
      <c r="E473" s="484"/>
      <c r="G473" s="485">
        <v>189906</v>
      </c>
      <c r="H473" s="477"/>
    </row>
    <row r="474" spans="1:8" ht="15" customHeight="1" x14ac:dyDescent="0.2">
      <c r="C474" s="483" t="s">
        <v>447</v>
      </c>
      <c r="D474" s="484"/>
      <c r="E474" s="484"/>
      <c r="G474" s="485">
        <v>202212</v>
      </c>
      <c r="H474" s="477"/>
    </row>
    <row r="475" spans="1:8" ht="15" customHeight="1" x14ac:dyDescent="0.2">
      <c r="C475" s="483" t="s">
        <v>445</v>
      </c>
      <c r="D475" s="484"/>
      <c r="E475" s="484"/>
      <c r="G475" s="485">
        <v>2800</v>
      </c>
      <c r="H475" s="477"/>
    </row>
    <row r="476" spans="1:8" ht="24" customHeight="1" x14ac:dyDescent="0.2"/>
    <row r="477" spans="1:8" ht="31.5" customHeight="1" x14ac:dyDescent="0.2">
      <c r="A477" s="491" t="s">
        <v>819</v>
      </c>
      <c r="B477" s="488"/>
      <c r="C477" s="488"/>
      <c r="D477" s="488"/>
      <c r="E477" s="488"/>
      <c r="F477" s="488"/>
      <c r="G477" s="488"/>
      <c r="H477" s="488"/>
    </row>
    <row r="478" spans="1:8" ht="15" customHeight="1" x14ac:dyDescent="0.2">
      <c r="A478" s="435"/>
      <c r="B478" s="435"/>
      <c r="C478" s="487" t="s">
        <v>324</v>
      </c>
      <c r="D478" s="488"/>
      <c r="E478" s="488"/>
      <c r="F478" s="435"/>
      <c r="G478" s="489">
        <v>1088229</v>
      </c>
      <c r="H478" s="490"/>
    </row>
    <row r="479" spans="1:8" ht="15" customHeight="1" x14ac:dyDescent="0.2">
      <c r="A479" s="435"/>
      <c r="B479" s="435"/>
      <c r="C479" s="487" t="s">
        <v>448</v>
      </c>
      <c r="D479" s="488"/>
      <c r="E479" s="488"/>
      <c r="F479" s="435"/>
      <c r="G479" s="489">
        <v>674264</v>
      </c>
      <c r="H479" s="490"/>
    </row>
    <row r="480" spans="1:8" ht="15" customHeight="1" x14ac:dyDescent="0.2">
      <c r="A480" s="435"/>
      <c r="B480" s="435"/>
      <c r="C480" s="487" t="s">
        <v>447</v>
      </c>
      <c r="D480" s="488"/>
      <c r="E480" s="488"/>
      <c r="F480" s="435"/>
      <c r="G480" s="489">
        <v>392621</v>
      </c>
      <c r="H480" s="490"/>
    </row>
    <row r="481" spans="1:8" ht="15" customHeight="1" x14ac:dyDescent="0.2">
      <c r="A481" s="435"/>
      <c r="B481" s="435"/>
      <c r="C481" s="487" t="s">
        <v>445</v>
      </c>
      <c r="D481" s="488"/>
      <c r="E481" s="488"/>
      <c r="F481" s="435"/>
      <c r="G481" s="489">
        <v>5250</v>
      </c>
      <c r="H481" s="490"/>
    </row>
    <row r="482" spans="1:8" ht="15" customHeight="1" x14ac:dyDescent="0.2">
      <c r="A482" s="435"/>
      <c r="B482" s="435"/>
      <c r="C482" s="487" t="s">
        <v>444</v>
      </c>
      <c r="D482" s="488"/>
      <c r="E482" s="488"/>
      <c r="F482" s="435"/>
      <c r="G482" s="489">
        <v>16094</v>
      </c>
      <c r="H482" s="490"/>
    </row>
    <row r="484" spans="1:8" ht="15.75" customHeight="1" x14ac:dyDescent="0.2">
      <c r="A484" s="486" t="s">
        <v>458</v>
      </c>
      <c r="B484" s="484"/>
      <c r="C484" s="484"/>
      <c r="D484" s="484"/>
      <c r="E484" s="484"/>
      <c r="F484" s="484"/>
      <c r="G484" s="484"/>
      <c r="H484" s="484"/>
    </row>
    <row r="485" spans="1:8" ht="15" customHeight="1" x14ac:dyDescent="0.2">
      <c r="C485" s="479" t="s">
        <v>324</v>
      </c>
      <c r="D485" s="480"/>
      <c r="E485" s="480"/>
      <c r="F485" s="434"/>
      <c r="G485" s="481">
        <v>953259</v>
      </c>
      <c r="H485" s="482"/>
    </row>
    <row r="486" spans="1:8" ht="15" customHeight="1" x14ac:dyDescent="0.2">
      <c r="C486" s="483" t="s">
        <v>448</v>
      </c>
      <c r="D486" s="484"/>
      <c r="E486" s="484"/>
      <c r="G486" s="485">
        <v>646204</v>
      </c>
      <c r="H486" s="477"/>
    </row>
    <row r="487" spans="1:8" ht="15" customHeight="1" x14ac:dyDescent="0.2">
      <c r="C487" s="483" t="s">
        <v>447</v>
      </c>
      <c r="D487" s="484"/>
      <c r="E487" s="484"/>
      <c r="G487" s="485">
        <v>305055</v>
      </c>
      <c r="H487" s="477"/>
    </row>
    <row r="488" spans="1:8" ht="15" customHeight="1" x14ac:dyDescent="0.2">
      <c r="C488" s="483" t="s">
        <v>445</v>
      </c>
      <c r="D488" s="484"/>
      <c r="E488" s="484"/>
      <c r="G488" s="485">
        <v>2000</v>
      </c>
      <c r="H488" s="477"/>
    </row>
    <row r="490" spans="1:8" ht="15.75" customHeight="1" x14ac:dyDescent="0.2">
      <c r="A490" s="486" t="s">
        <v>457</v>
      </c>
      <c r="B490" s="484"/>
      <c r="C490" s="484"/>
      <c r="D490" s="484"/>
      <c r="E490" s="484"/>
      <c r="F490" s="484"/>
      <c r="G490" s="484"/>
      <c r="H490" s="484"/>
    </row>
    <row r="491" spans="1:8" ht="15" customHeight="1" x14ac:dyDescent="0.2">
      <c r="C491" s="479" t="s">
        <v>324</v>
      </c>
      <c r="D491" s="480"/>
      <c r="E491" s="480"/>
      <c r="F491" s="434"/>
      <c r="G491" s="481">
        <v>134970</v>
      </c>
      <c r="H491" s="482"/>
    </row>
    <row r="492" spans="1:8" ht="15" customHeight="1" x14ac:dyDescent="0.2">
      <c r="C492" s="483" t="s">
        <v>448</v>
      </c>
      <c r="D492" s="484"/>
      <c r="E492" s="484"/>
      <c r="G492" s="485">
        <v>28060</v>
      </c>
      <c r="H492" s="477"/>
    </row>
    <row r="493" spans="1:8" ht="15" customHeight="1" x14ac:dyDescent="0.2">
      <c r="C493" s="483" t="s">
        <v>447</v>
      </c>
      <c r="D493" s="484"/>
      <c r="E493" s="484"/>
      <c r="G493" s="485">
        <v>87566</v>
      </c>
      <c r="H493" s="477"/>
    </row>
    <row r="494" spans="1:8" ht="15" customHeight="1" x14ac:dyDescent="0.2">
      <c r="C494" s="483" t="s">
        <v>445</v>
      </c>
      <c r="D494" s="484"/>
      <c r="E494" s="484"/>
      <c r="G494" s="485">
        <v>3250</v>
      </c>
      <c r="H494" s="477"/>
    </row>
    <row r="495" spans="1:8" ht="15" customHeight="1" x14ac:dyDescent="0.2">
      <c r="C495" s="483" t="s">
        <v>444</v>
      </c>
      <c r="D495" s="484"/>
      <c r="E495" s="484"/>
      <c r="G495" s="485">
        <v>16094</v>
      </c>
      <c r="H495" s="477"/>
    </row>
    <row r="496" spans="1:8" ht="22.5" customHeight="1" x14ac:dyDescent="0.2"/>
    <row r="497" spans="1:8" ht="15.75" customHeight="1" x14ac:dyDescent="0.2">
      <c r="A497" s="491" t="s">
        <v>820</v>
      </c>
      <c r="B497" s="488"/>
      <c r="C497" s="488"/>
      <c r="D497" s="488"/>
      <c r="E497" s="488"/>
      <c r="F497" s="488"/>
      <c r="G497" s="488"/>
      <c r="H497" s="488"/>
    </row>
    <row r="498" spans="1:8" ht="15" customHeight="1" x14ac:dyDescent="0.2">
      <c r="A498" s="435"/>
      <c r="B498" s="435"/>
      <c r="C498" s="487" t="s">
        <v>324</v>
      </c>
      <c r="D498" s="488"/>
      <c r="E498" s="488"/>
      <c r="F498" s="435"/>
      <c r="G498" s="489">
        <v>24696672</v>
      </c>
      <c r="H498" s="490"/>
    </row>
    <row r="499" spans="1:8" ht="15" customHeight="1" x14ac:dyDescent="0.2">
      <c r="A499" s="435"/>
      <c r="B499" s="435"/>
      <c r="C499" s="487" t="s">
        <v>448</v>
      </c>
      <c r="D499" s="488"/>
      <c r="E499" s="488"/>
      <c r="F499" s="435"/>
      <c r="G499" s="489">
        <v>16006669</v>
      </c>
      <c r="H499" s="490"/>
    </row>
    <row r="500" spans="1:8" ht="15" customHeight="1" x14ac:dyDescent="0.2">
      <c r="A500" s="435"/>
      <c r="B500" s="435"/>
      <c r="C500" s="487" t="s">
        <v>447</v>
      </c>
      <c r="D500" s="488"/>
      <c r="E500" s="488"/>
      <c r="F500" s="435"/>
      <c r="G500" s="489">
        <v>4318656</v>
      </c>
      <c r="H500" s="490"/>
    </row>
    <row r="501" spans="1:8" ht="15" customHeight="1" x14ac:dyDescent="0.2">
      <c r="A501" s="435"/>
      <c r="B501" s="435"/>
      <c r="C501" s="487" t="s">
        <v>446</v>
      </c>
      <c r="D501" s="488"/>
      <c r="E501" s="488"/>
      <c r="F501" s="435"/>
      <c r="G501" s="489">
        <v>2442164</v>
      </c>
      <c r="H501" s="490"/>
    </row>
    <row r="502" spans="1:8" ht="15" customHeight="1" x14ac:dyDescent="0.2">
      <c r="A502" s="435"/>
      <c r="B502" s="435"/>
      <c r="C502" s="487" t="s">
        <v>445</v>
      </c>
      <c r="D502" s="488"/>
      <c r="E502" s="488"/>
      <c r="F502" s="435"/>
      <c r="G502" s="489">
        <v>742235</v>
      </c>
      <c r="H502" s="490"/>
    </row>
    <row r="503" spans="1:8" ht="15" customHeight="1" x14ac:dyDescent="0.2">
      <c r="A503" s="435"/>
      <c r="B503" s="435"/>
      <c r="C503" s="487" t="s">
        <v>444</v>
      </c>
      <c r="D503" s="488"/>
      <c r="E503" s="488"/>
      <c r="F503" s="435"/>
      <c r="G503" s="489">
        <v>450284</v>
      </c>
      <c r="H503" s="490"/>
    </row>
    <row r="504" spans="1:8" ht="30" customHeight="1" x14ac:dyDescent="0.2">
      <c r="A504" s="435"/>
      <c r="B504" s="435"/>
      <c r="C504" s="487" t="s">
        <v>443</v>
      </c>
      <c r="D504" s="488"/>
      <c r="E504" s="488"/>
      <c r="F504" s="435"/>
      <c r="G504" s="489">
        <v>736664</v>
      </c>
      <c r="H504" s="490"/>
    </row>
    <row r="506" spans="1:8" ht="15.75" customHeight="1" x14ac:dyDescent="0.2">
      <c r="A506" s="486" t="s">
        <v>328</v>
      </c>
      <c r="B506" s="484"/>
      <c r="C506" s="484"/>
      <c r="D506" s="484"/>
      <c r="E506" s="484"/>
      <c r="F506" s="484"/>
      <c r="G506" s="484"/>
      <c r="H506" s="484"/>
    </row>
    <row r="507" spans="1:8" ht="15" customHeight="1" x14ac:dyDescent="0.2">
      <c r="C507" s="479" t="s">
        <v>324</v>
      </c>
      <c r="D507" s="480"/>
      <c r="E507" s="480"/>
      <c r="F507" s="434"/>
      <c r="G507" s="481">
        <v>732940</v>
      </c>
      <c r="H507" s="482"/>
    </row>
    <row r="508" spans="1:8" ht="15" customHeight="1" x14ac:dyDescent="0.2">
      <c r="C508" s="483" t="s">
        <v>447</v>
      </c>
      <c r="D508" s="484"/>
      <c r="E508" s="484"/>
      <c r="G508" s="485">
        <v>100</v>
      </c>
      <c r="H508" s="477"/>
    </row>
    <row r="509" spans="1:8" x14ac:dyDescent="0.2">
      <c r="C509" s="483" t="s">
        <v>443</v>
      </c>
      <c r="D509" s="484"/>
      <c r="E509" s="484"/>
      <c r="G509" s="485">
        <v>732840</v>
      </c>
      <c r="H509" s="477"/>
    </row>
    <row r="511" spans="1:8" ht="15.75" customHeight="1" x14ac:dyDescent="0.2">
      <c r="A511" s="486" t="s">
        <v>353</v>
      </c>
      <c r="B511" s="484"/>
      <c r="C511" s="484"/>
      <c r="D511" s="484"/>
      <c r="E511" s="484"/>
      <c r="F511" s="484"/>
      <c r="G511" s="484"/>
      <c r="H511" s="484"/>
    </row>
    <row r="512" spans="1:8" ht="15" customHeight="1" x14ac:dyDescent="0.2">
      <c r="C512" s="479" t="s">
        <v>324</v>
      </c>
      <c r="D512" s="480"/>
      <c r="E512" s="480"/>
      <c r="F512" s="434"/>
      <c r="G512" s="481">
        <v>7663797</v>
      </c>
      <c r="H512" s="482"/>
    </row>
    <row r="513" spans="1:8" ht="15" customHeight="1" x14ac:dyDescent="0.2">
      <c r="C513" s="483" t="s">
        <v>448</v>
      </c>
      <c r="D513" s="484"/>
      <c r="E513" s="484"/>
      <c r="G513" s="485">
        <v>4550875</v>
      </c>
      <c r="H513" s="477"/>
    </row>
    <row r="514" spans="1:8" ht="15" customHeight="1" x14ac:dyDescent="0.2">
      <c r="C514" s="483" t="s">
        <v>447</v>
      </c>
      <c r="D514" s="484"/>
      <c r="E514" s="484"/>
      <c r="G514" s="485">
        <v>824943</v>
      </c>
      <c r="H514" s="477"/>
    </row>
    <row r="515" spans="1:8" ht="15" customHeight="1" x14ac:dyDescent="0.2">
      <c r="C515" s="483" t="s">
        <v>446</v>
      </c>
      <c r="D515" s="484"/>
      <c r="E515" s="484"/>
      <c r="G515" s="485">
        <v>2199929</v>
      </c>
      <c r="H515" s="477"/>
    </row>
    <row r="516" spans="1:8" ht="15" customHeight="1" x14ac:dyDescent="0.2">
      <c r="C516" s="483" t="s">
        <v>445</v>
      </c>
      <c r="D516" s="484"/>
      <c r="E516" s="484"/>
      <c r="G516" s="485">
        <v>88050</v>
      </c>
      <c r="H516" s="477"/>
    </row>
    <row r="518" spans="1:8" ht="15.75" customHeight="1" x14ac:dyDescent="0.2">
      <c r="A518" s="486" t="s">
        <v>354</v>
      </c>
      <c r="B518" s="484"/>
      <c r="C518" s="484"/>
      <c r="D518" s="484"/>
      <c r="E518" s="484"/>
      <c r="F518" s="484"/>
      <c r="G518" s="484"/>
      <c r="H518" s="484"/>
    </row>
    <row r="519" spans="1:8" ht="15" customHeight="1" x14ac:dyDescent="0.2">
      <c r="C519" s="479" t="s">
        <v>324</v>
      </c>
      <c r="D519" s="480"/>
      <c r="E519" s="480"/>
      <c r="F519" s="434"/>
      <c r="G519" s="481">
        <v>10244425</v>
      </c>
      <c r="H519" s="482"/>
    </row>
    <row r="520" spans="1:8" ht="15" customHeight="1" x14ac:dyDescent="0.2">
      <c r="C520" s="483" t="s">
        <v>448</v>
      </c>
      <c r="D520" s="484"/>
      <c r="E520" s="484"/>
      <c r="G520" s="485">
        <v>7683825</v>
      </c>
      <c r="H520" s="477"/>
    </row>
    <row r="521" spans="1:8" ht="15" customHeight="1" x14ac:dyDescent="0.2">
      <c r="C521" s="483" t="s">
        <v>447</v>
      </c>
      <c r="D521" s="484"/>
      <c r="E521" s="484"/>
      <c r="G521" s="485">
        <v>2006459</v>
      </c>
      <c r="H521" s="477"/>
    </row>
    <row r="522" spans="1:8" ht="15" customHeight="1" x14ac:dyDescent="0.2">
      <c r="C522" s="483" t="s">
        <v>446</v>
      </c>
      <c r="D522" s="484"/>
      <c r="E522" s="484"/>
      <c r="G522" s="485">
        <v>242235</v>
      </c>
      <c r="H522" s="477"/>
    </row>
    <row r="523" spans="1:8" ht="15" customHeight="1" x14ac:dyDescent="0.2">
      <c r="C523" s="483" t="s">
        <v>445</v>
      </c>
      <c r="D523" s="484"/>
      <c r="E523" s="484"/>
      <c r="G523" s="485">
        <v>283631</v>
      </c>
      <c r="H523" s="477"/>
    </row>
    <row r="524" spans="1:8" ht="15" customHeight="1" x14ac:dyDescent="0.2">
      <c r="C524" s="483" t="s">
        <v>444</v>
      </c>
      <c r="D524" s="484"/>
      <c r="E524" s="484"/>
      <c r="G524" s="485">
        <v>28275</v>
      </c>
      <c r="H524" s="477"/>
    </row>
    <row r="526" spans="1:8" ht="15.75" customHeight="1" x14ac:dyDescent="0.2">
      <c r="A526" s="486" t="s">
        <v>464</v>
      </c>
      <c r="B526" s="484"/>
      <c r="C526" s="484"/>
      <c r="D526" s="484"/>
      <c r="E526" s="484"/>
      <c r="F526" s="484"/>
      <c r="G526" s="484"/>
      <c r="H526" s="484"/>
    </row>
    <row r="527" spans="1:8" ht="15" customHeight="1" x14ac:dyDescent="0.2">
      <c r="C527" s="479" t="s">
        <v>324</v>
      </c>
      <c r="D527" s="480"/>
      <c r="E527" s="480"/>
      <c r="F527" s="434"/>
      <c r="G527" s="481">
        <v>1430557</v>
      </c>
      <c r="H527" s="482"/>
    </row>
    <row r="528" spans="1:8" ht="15" customHeight="1" x14ac:dyDescent="0.2">
      <c r="C528" s="483" t="s">
        <v>448</v>
      </c>
      <c r="D528" s="484"/>
      <c r="E528" s="484"/>
      <c r="G528" s="485">
        <v>1167144</v>
      </c>
      <c r="H528" s="477"/>
    </row>
    <row r="529" spans="1:8" ht="15" customHeight="1" x14ac:dyDescent="0.2">
      <c r="C529" s="483" t="s">
        <v>447</v>
      </c>
      <c r="D529" s="484"/>
      <c r="E529" s="484"/>
      <c r="G529" s="485">
        <v>255929</v>
      </c>
      <c r="H529" s="477"/>
    </row>
    <row r="530" spans="1:8" ht="15" customHeight="1" x14ac:dyDescent="0.2">
      <c r="C530" s="483" t="s">
        <v>445</v>
      </c>
      <c r="D530" s="484"/>
      <c r="E530" s="484"/>
      <c r="G530" s="485">
        <v>7484</v>
      </c>
      <c r="H530" s="477"/>
    </row>
    <row r="532" spans="1:8" ht="15.75" customHeight="1" x14ac:dyDescent="0.2">
      <c r="A532" s="486" t="s">
        <v>355</v>
      </c>
      <c r="B532" s="484"/>
      <c r="C532" s="484"/>
      <c r="D532" s="484"/>
      <c r="E532" s="484"/>
      <c r="F532" s="484"/>
      <c r="G532" s="484"/>
      <c r="H532" s="484"/>
    </row>
    <row r="533" spans="1:8" ht="15" customHeight="1" x14ac:dyDescent="0.2">
      <c r="C533" s="479" t="s">
        <v>324</v>
      </c>
      <c r="D533" s="480"/>
      <c r="E533" s="480"/>
      <c r="F533" s="434"/>
      <c r="G533" s="481">
        <v>155814</v>
      </c>
      <c r="H533" s="482"/>
    </row>
    <row r="534" spans="1:8" ht="15" customHeight="1" x14ac:dyDescent="0.2">
      <c r="C534" s="483" t="s">
        <v>447</v>
      </c>
      <c r="D534" s="484"/>
      <c r="E534" s="484"/>
      <c r="G534" s="485">
        <v>151464</v>
      </c>
      <c r="H534" s="477"/>
    </row>
    <row r="535" spans="1:8" ht="15" customHeight="1" x14ac:dyDescent="0.2">
      <c r="C535" s="483" t="s">
        <v>445</v>
      </c>
      <c r="D535" s="484"/>
      <c r="E535" s="484"/>
      <c r="G535" s="485">
        <v>526</v>
      </c>
      <c r="H535" s="477"/>
    </row>
    <row r="536" spans="1:8" x14ac:dyDescent="0.2">
      <c r="C536" s="483" t="s">
        <v>443</v>
      </c>
      <c r="D536" s="484"/>
      <c r="E536" s="484"/>
      <c r="G536" s="485">
        <v>3824</v>
      </c>
      <c r="H536" s="477"/>
    </row>
    <row r="538" spans="1:8" ht="15.75" customHeight="1" x14ac:dyDescent="0.2">
      <c r="A538" s="486" t="s">
        <v>356</v>
      </c>
      <c r="B538" s="484"/>
      <c r="C538" s="484"/>
      <c r="D538" s="484"/>
      <c r="E538" s="484"/>
      <c r="F538" s="484"/>
      <c r="G538" s="484"/>
      <c r="H538" s="484"/>
    </row>
    <row r="539" spans="1:8" ht="15" customHeight="1" x14ac:dyDescent="0.2">
      <c r="C539" s="479" t="s">
        <v>324</v>
      </c>
      <c r="D539" s="480"/>
      <c r="E539" s="480"/>
      <c r="F539" s="434"/>
      <c r="G539" s="481">
        <v>714534</v>
      </c>
      <c r="H539" s="482"/>
    </row>
    <row r="540" spans="1:8" ht="15" customHeight="1" x14ac:dyDescent="0.2">
      <c r="C540" s="483" t="s">
        <v>448</v>
      </c>
      <c r="D540" s="484"/>
      <c r="E540" s="484"/>
      <c r="G540" s="485">
        <v>490656</v>
      </c>
      <c r="H540" s="477"/>
    </row>
    <row r="541" spans="1:8" ht="15" customHeight="1" x14ac:dyDescent="0.2">
      <c r="C541" s="483" t="s">
        <v>447</v>
      </c>
      <c r="D541" s="484"/>
      <c r="E541" s="484"/>
      <c r="G541" s="485">
        <v>160669</v>
      </c>
      <c r="H541" s="477"/>
    </row>
    <row r="542" spans="1:8" ht="15" customHeight="1" x14ac:dyDescent="0.2">
      <c r="C542" s="483" t="s">
        <v>444</v>
      </c>
      <c r="D542" s="484"/>
      <c r="E542" s="484"/>
      <c r="G542" s="485">
        <v>63209</v>
      </c>
      <c r="H542" s="477"/>
    </row>
    <row r="544" spans="1:8" ht="15.75" customHeight="1" x14ac:dyDescent="0.2">
      <c r="A544" s="486" t="s">
        <v>821</v>
      </c>
      <c r="B544" s="484"/>
      <c r="C544" s="484"/>
      <c r="D544" s="484"/>
      <c r="E544" s="484"/>
      <c r="F544" s="484"/>
      <c r="G544" s="484"/>
      <c r="H544" s="484"/>
    </row>
    <row r="545" spans="1:8" ht="15" customHeight="1" x14ac:dyDescent="0.2">
      <c r="C545" s="479" t="s">
        <v>324</v>
      </c>
      <c r="D545" s="480"/>
      <c r="E545" s="480"/>
      <c r="F545" s="434"/>
      <c r="G545" s="481">
        <v>777883</v>
      </c>
      <c r="H545" s="482"/>
    </row>
    <row r="546" spans="1:8" ht="15" customHeight="1" x14ac:dyDescent="0.2">
      <c r="C546" s="483" t="s">
        <v>448</v>
      </c>
      <c r="D546" s="484"/>
      <c r="E546" s="484"/>
      <c r="G546" s="485">
        <v>319096</v>
      </c>
      <c r="H546" s="477"/>
    </row>
    <row r="547" spans="1:8" ht="15" customHeight="1" x14ac:dyDescent="0.2">
      <c r="C547" s="483" t="s">
        <v>447</v>
      </c>
      <c r="D547" s="484"/>
      <c r="E547" s="484"/>
      <c r="G547" s="485">
        <v>352987</v>
      </c>
      <c r="H547" s="477"/>
    </row>
    <row r="548" spans="1:8" ht="15" customHeight="1" x14ac:dyDescent="0.2">
      <c r="C548" s="483" t="s">
        <v>444</v>
      </c>
      <c r="D548" s="484"/>
      <c r="E548" s="484"/>
      <c r="G548" s="485">
        <v>105800</v>
      </c>
      <c r="H548" s="477"/>
    </row>
    <row r="550" spans="1:8" ht="15.75" customHeight="1" x14ac:dyDescent="0.2">
      <c r="A550" s="486" t="s">
        <v>463</v>
      </c>
      <c r="B550" s="484"/>
      <c r="C550" s="484"/>
      <c r="D550" s="484"/>
      <c r="E550" s="484"/>
      <c r="F550" s="484"/>
      <c r="G550" s="484"/>
      <c r="H550" s="484"/>
    </row>
    <row r="551" spans="1:8" ht="15" customHeight="1" x14ac:dyDescent="0.2">
      <c r="C551" s="479" t="s">
        <v>324</v>
      </c>
      <c r="D551" s="480"/>
      <c r="E551" s="480"/>
      <c r="F551" s="434"/>
      <c r="G551" s="481">
        <v>1251866</v>
      </c>
      <c r="H551" s="482"/>
    </row>
    <row r="552" spans="1:8" ht="15" customHeight="1" x14ac:dyDescent="0.2">
      <c r="C552" s="483" t="s">
        <v>448</v>
      </c>
      <c r="D552" s="484"/>
      <c r="E552" s="484"/>
      <c r="G552" s="485">
        <v>560467</v>
      </c>
      <c r="H552" s="477"/>
    </row>
    <row r="553" spans="1:8" ht="15" customHeight="1" x14ac:dyDescent="0.2">
      <c r="C553" s="483" t="s">
        <v>447</v>
      </c>
      <c r="D553" s="484"/>
      <c r="E553" s="484"/>
      <c r="G553" s="485">
        <v>349210</v>
      </c>
      <c r="H553" s="477"/>
    </row>
    <row r="554" spans="1:8" ht="15" customHeight="1" x14ac:dyDescent="0.2">
      <c r="C554" s="483" t="s">
        <v>445</v>
      </c>
      <c r="D554" s="484"/>
      <c r="E554" s="484"/>
      <c r="G554" s="485">
        <v>342189</v>
      </c>
      <c r="H554" s="477"/>
    </row>
    <row r="556" spans="1:8" ht="15.75" customHeight="1" x14ac:dyDescent="0.2">
      <c r="A556" s="486" t="s">
        <v>357</v>
      </c>
      <c r="B556" s="484"/>
      <c r="C556" s="484"/>
      <c r="D556" s="484"/>
      <c r="E556" s="484"/>
      <c r="F556" s="484"/>
      <c r="G556" s="484"/>
      <c r="H556" s="484"/>
    </row>
    <row r="557" spans="1:8" ht="15" customHeight="1" x14ac:dyDescent="0.2">
      <c r="C557" s="479" t="s">
        <v>324</v>
      </c>
      <c r="D557" s="480"/>
      <c r="E557" s="480"/>
      <c r="F557" s="434"/>
      <c r="G557" s="481">
        <v>216222</v>
      </c>
      <c r="H557" s="482"/>
    </row>
    <row r="558" spans="1:8" ht="15" customHeight="1" x14ac:dyDescent="0.2">
      <c r="C558" s="483" t="s">
        <v>448</v>
      </c>
      <c r="D558" s="484"/>
      <c r="E558" s="484"/>
      <c r="G558" s="485">
        <v>159986</v>
      </c>
      <c r="H558" s="477"/>
    </row>
    <row r="559" spans="1:8" ht="15" customHeight="1" x14ac:dyDescent="0.2">
      <c r="C559" s="483" t="s">
        <v>447</v>
      </c>
      <c r="D559" s="484"/>
      <c r="E559" s="484"/>
      <c r="G559" s="485">
        <v>54371</v>
      </c>
      <c r="H559" s="477"/>
    </row>
    <row r="560" spans="1:8" ht="15" customHeight="1" x14ac:dyDescent="0.2">
      <c r="C560" s="483" t="s">
        <v>445</v>
      </c>
      <c r="D560" s="484"/>
      <c r="E560" s="484"/>
      <c r="G560" s="485">
        <v>1865</v>
      </c>
      <c r="H560" s="477"/>
    </row>
    <row r="561" spans="1:8" ht="20.25" customHeight="1" x14ac:dyDescent="0.2"/>
    <row r="562" spans="1:8" ht="15.75" customHeight="1" x14ac:dyDescent="0.2">
      <c r="A562" s="486" t="s">
        <v>462</v>
      </c>
      <c r="B562" s="484"/>
      <c r="C562" s="484"/>
      <c r="D562" s="484"/>
      <c r="E562" s="484"/>
      <c r="F562" s="484"/>
      <c r="G562" s="484"/>
      <c r="H562" s="484"/>
    </row>
    <row r="563" spans="1:8" ht="15" customHeight="1" x14ac:dyDescent="0.2">
      <c r="C563" s="479" t="s">
        <v>324</v>
      </c>
      <c r="D563" s="480"/>
      <c r="E563" s="480"/>
      <c r="F563" s="434"/>
      <c r="G563" s="481">
        <v>6954</v>
      </c>
      <c r="H563" s="482"/>
    </row>
    <row r="564" spans="1:8" ht="15" customHeight="1" x14ac:dyDescent="0.2">
      <c r="C564" s="483" t="s">
        <v>448</v>
      </c>
      <c r="D564" s="484"/>
      <c r="E564" s="484"/>
      <c r="G564" s="485">
        <v>528</v>
      </c>
      <c r="H564" s="477"/>
    </row>
    <row r="565" spans="1:8" ht="15" customHeight="1" x14ac:dyDescent="0.2">
      <c r="C565" s="483" t="s">
        <v>447</v>
      </c>
      <c r="D565" s="484"/>
      <c r="E565" s="484"/>
      <c r="G565" s="485">
        <v>6426</v>
      </c>
      <c r="H565" s="477"/>
    </row>
    <row r="567" spans="1:8" ht="15.75" customHeight="1" x14ac:dyDescent="0.2">
      <c r="A567" s="486" t="s">
        <v>461</v>
      </c>
      <c r="B567" s="484"/>
      <c r="C567" s="484"/>
      <c r="D567" s="484"/>
      <c r="E567" s="484"/>
      <c r="F567" s="484"/>
      <c r="G567" s="484"/>
      <c r="H567" s="484"/>
    </row>
    <row r="568" spans="1:8" ht="15" customHeight="1" x14ac:dyDescent="0.2">
      <c r="C568" s="479" t="s">
        <v>324</v>
      </c>
      <c r="D568" s="480"/>
      <c r="E568" s="480"/>
      <c r="F568" s="434"/>
      <c r="G568" s="481">
        <v>694950</v>
      </c>
      <c r="H568" s="482"/>
    </row>
    <row r="569" spans="1:8" ht="15" customHeight="1" x14ac:dyDescent="0.2">
      <c r="C569" s="483" t="s">
        <v>448</v>
      </c>
      <c r="D569" s="484"/>
      <c r="E569" s="484"/>
      <c r="G569" s="485">
        <v>591184</v>
      </c>
      <c r="H569" s="477"/>
    </row>
    <row r="570" spans="1:8" ht="15" customHeight="1" x14ac:dyDescent="0.2">
      <c r="C570" s="483" t="s">
        <v>447</v>
      </c>
      <c r="D570" s="484"/>
      <c r="E570" s="484"/>
      <c r="G570" s="485">
        <v>82276</v>
      </c>
      <c r="H570" s="477"/>
    </row>
    <row r="571" spans="1:8" ht="15" customHeight="1" x14ac:dyDescent="0.2">
      <c r="C571" s="483" t="s">
        <v>445</v>
      </c>
      <c r="D571" s="484"/>
      <c r="E571" s="484"/>
      <c r="G571" s="485">
        <v>18490</v>
      </c>
      <c r="H571" s="477"/>
    </row>
    <row r="572" spans="1:8" ht="15" customHeight="1" x14ac:dyDescent="0.2">
      <c r="C572" s="483" t="s">
        <v>444</v>
      </c>
      <c r="D572" s="484"/>
      <c r="E572" s="484"/>
      <c r="G572" s="485">
        <v>3000</v>
      </c>
      <c r="H572" s="477"/>
    </row>
    <row r="574" spans="1:8" ht="15.75" customHeight="1" x14ac:dyDescent="0.2">
      <c r="A574" s="486" t="s">
        <v>460</v>
      </c>
      <c r="B574" s="484"/>
      <c r="C574" s="484"/>
      <c r="D574" s="484"/>
      <c r="E574" s="484"/>
      <c r="F574" s="484"/>
      <c r="G574" s="484"/>
      <c r="H574" s="484"/>
    </row>
    <row r="575" spans="1:8" ht="15" customHeight="1" x14ac:dyDescent="0.2">
      <c r="C575" s="479" t="s">
        <v>324</v>
      </c>
      <c r="D575" s="480"/>
      <c r="E575" s="480"/>
      <c r="F575" s="434"/>
      <c r="G575" s="481">
        <v>481277</v>
      </c>
      <c r="H575" s="482"/>
    </row>
    <row r="576" spans="1:8" ht="15" customHeight="1" x14ac:dyDescent="0.2">
      <c r="C576" s="483" t="s">
        <v>448</v>
      </c>
      <c r="D576" s="484"/>
      <c r="E576" s="484"/>
      <c r="G576" s="485">
        <v>415157</v>
      </c>
      <c r="H576" s="477"/>
    </row>
    <row r="577" spans="1:8" ht="15" customHeight="1" x14ac:dyDescent="0.2">
      <c r="C577" s="483" t="s">
        <v>447</v>
      </c>
      <c r="D577" s="484"/>
      <c r="E577" s="484"/>
      <c r="G577" s="485">
        <v>66120</v>
      </c>
      <c r="H577" s="477"/>
    </row>
    <row r="579" spans="1:8" ht="15.75" customHeight="1" x14ac:dyDescent="0.2">
      <c r="A579" s="486" t="s">
        <v>459</v>
      </c>
      <c r="B579" s="484"/>
      <c r="C579" s="484"/>
      <c r="D579" s="484"/>
      <c r="E579" s="484"/>
      <c r="F579" s="484"/>
      <c r="G579" s="484"/>
      <c r="H579" s="484"/>
    </row>
    <row r="580" spans="1:8" ht="15" customHeight="1" x14ac:dyDescent="0.2">
      <c r="C580" s="479" t="s">
        <v>324</v>
      </c>
      <c r="D580" s="480"/>
      <c r="E580" s="480"/>
      <c r="F580" s="434"/>
      <c r="G580" s="481">
        <v>75453</v>
      </c>
      <c r="H580" s="482"/>
    </row>
    <row r="581" spans="1:8" ht="15" customHeight="1" x14ac:dyDescent="0.2">
      <c r="C581" s="483" t="s">
        <v>448</v>
      </c>
      <c r="D581" s="484"/>
      <c r="E581" s="484"/>
      <c r="G581" s="485">
        <v>67751</v>
      </c>
      <c r="H581" s="477"/>
    </row>
    <row r="582" spans="1:8" ht="15" customHeight="1" x14ac:dyDescent="0.2">
      <c r="C582" s="483" t="s">
        <v>447</v>
      </c>
      <c r="D582" s="484"/>
      <c r="E582" s="484"/>
      <c r="G582" s="485">
        <v>7702</v>
      </c>
      <c r="H582" s="477"/>
    </row>
    <row r="584" spans="1:8" ht="15.75" customHeight="1" x14ac:dyDescent="0.2">
      <c r="A584" s="486" t="s">
        <v>369</v>
      </c>
      <c r="B584" s="484"/>
      <c r="C584" s="484"/>
      <c r="D584" s="484"/>
      <c r="E584" s="484"/>
      <c r="F584" s="484"/>
      <c r="G584" s="484"/>
      <c r="H584" s="484"/>
    </row>
    <row r="585" spans="1:8" ht="15" customHeight="1" x14ac:dyDescent="0.2">
      <c r="C585" s="479" t="s">
        <v>324</v>
      </c>
      <c r="D585" s="480"/>
      <c r="E585" s="480"/>
      <c r="F585" s="434"/>
      <c r="G585" s="481">
        <v>250000</v>
      </c>
      <c r="H585" s="482"/>
    </row>
    <row r="586" spans="1:8" ht="15" customHeight="1" x14ac:dyDescent="0.2">
      <c r="C586" s="483" t="s">
        <v>444</v>
      </c>
      <c r="D586" s="484"/>
      <c r="E586" s="484"/>
      <c r="G586" s="485">
        <v>250000</v>
      </c>
      <c r="H586" s="477"/>
    </row>
    <row r="587" spans="1:8" ht="25.5" customHeight="1" x14ac:dyDescent="0.2"/>
    <row r="588" spans="1:8" ht="15.75" customHeight="1" x14ac:dyDescent="0.2">
      <c r="A588" s="491" t="s">
        <v>822</v>
      </c>
      <c r="B588" s="488"/>
      <c r="C588" s="488"/>
      <c r="D588" s="488"/>
      <c r="E588" s="488"/>
      <c r="F588" s="488"/>
      <c r="G588" s="488"/>
      <c r="H588" s="488"/>
    </row>
    <row r="589" spans="1:8" ht="15" customHeight="1" x14ac:dyDescent="0.2">
      <c r="A589" s="435"/>
      <c r="B589" s="435"/>
      <c r="C589" s="487" t="s">
        <v>324</v>
      </c>
      <c r="D589" s="488"/>
      <c r="E589" s="488"/>
      <c r="F589" s="435"/>
      <c r="G589" s="489">
        <v>181560</v>
      </c>
      <c r="H589" s="490"/>
    </row>
    <row r="590" spans="1:8" ht="15" customHeight="1" x14ac:dyDescent="0.2">
      <c r="A590" s="435"/>
      <c r="B590" s="435"/>
      <c r="C590" s="487" t="s">
        <v>448</v>
      </c>
      <c r="D590" s="488"/>
      <c r="E590" s="488"/>
      <c r="F590" s="435"/>
      <c r="G590" s="489">
        <v>160017</v>
      </c>
      <c r="H590" s="490"/>
    </row>
    <row r="591" spans="1:8" ht="15" customHeight="1" x14ac:dyDescent="0.2">
      <c r="A591" s="435"/>
      <c r="B591" s="435"/>
      <c r="C591" s="487" t="s">
        <v>447</v>
      </c>
      <c r="D591" s="488"/>
      <c r="E591" s="488"/>
      <c r="F591" s="435"/>
      <c r="G591" s="489">
        <v>21543</v>
      </c>
      <c r="H591" s="490"/>
    </row>
    <row r="593" spans="1:8" ht="15.75" customHeight="1" x14ac:dyDescent="0.2">
      <c r="A593" s="486" t="s">
        <v>456</v>
      </c>
      <c r="B593" s="484"/>
      <c r="C593" s="484"/>
      <c r="D593" s="484"/>
      <c r="E593" s="484"/>
      <c r="F593" s="484"/>
      <c r="G593" s="484"/>
      <c r="H593" s="484"/>
    </row>
    <row r="594" spans="1:8" ht="15" customHeight="1" x14ac:dyDescent="0.2">
      <c r="C594" s="479" t="s">
        <v>324</v>
      </c>
      <c r="D594" s="480"/>
      <c r="E594" s="480"/>
      <c r="F594" s="434"/>
      <c r="G594" s="481">
        <v>181560</v>
      </c>
      <c r="H594" s="482"/>
    </row>
    <row r="595" spans="1:8" ht="15" customHeight="1" x14ac:dyDescent="0.2">
      <c r="C595" s="483" t="s">
        <v>448</v>
      </c>
      <c r="D595" s="484"/>
      <c r="E595" s="484"/>
      <c r="G595" s="485">
        <v>160017</v>
      </c>
      <c r="H595" s="477"/>
    </row>
    <row r="596" spans="1:8" ht="15" customHeight="1" x14ac:dyDescent="0.2">
      <c r="C596" s="483" t="s">
        <v>447</v>
      </c>
      <c r="D596" s="484"/>
      <c r="E596" s="484"/>
      <c r="G596" s="485">
        <v>21543</v>
      </c>
      <c r="H596" s="477"/>
    </row>
    <row r="597" spans="1:8" ht="24" customHeight="1" x14ac:dyDescent="0.2"/>
    <row r="598" spans="1:8" ht="33" customHeight="1" x14ac:dyDescent="0.2">
      <c r="A598" s="491" t="s">
        <v>823</v>
      </c>
      <c r="B598" s="488"/>
      <c r="C598" s="488"/>
      <c r="D598" s="488"/>
      <c r="E598" s="488"/>
      <c r="F598" s="488"/>
      <c r="G598" s="488"/>
      <c r="H598" s="488"/>
    </row>
    <row r="599" spans="1:8" ht="15" customHeight="1" x14ac:dyDescent="0.2">
      <c r="A599" s="435"/>
      <c r="B599" s="435"/>
      <c r="C599" s="487" t="s">
        <v>324</v>
      </c>
      <c r="D599" s="488"/>
      <c r="E599" s="488"/>
      <c r="F599" s="435"/>
      <c r="G599" s="489">
        <v>4709798</v>
      </c>
      <c r="H599" s="490"/>
    </row>
    <row r="600" spans="1:8" ht="15" customHeight="1" x14ac:dyDescent="0.2">
      <c r="A600" s="435"/>
      <c r="B600" s="435"/>
      <c r="C600" s="487" t="s">
        <v>448</v>
      </c>
      <c r="D600" s="488"/>
      <c r="E600" s="488"/>
      <c r="F600" s="435"/>
      <c r="G600" s="489">
        <v>1788352</v>
      </c>
      <c r="H600" s="490"/>
    </row>
    <row r="601" spans="1:8" ht="15" customHeight="1" x14ac:dyDescent="0.2">
      <c r="A601" s="435"/>
      <c r="B601" s="435"/>
      <c r="C601" s="487" t="s">
        <v>447</v>
      </c>
      <c r="D601" s="488"/>
      <c r="E601" s="488"/>
      <c r="F601" s="435"/>
      <c r="G601" s="489">
        <v>457202</v>
      </c>
      <c r="H601" s="490"/>
    </row>
    <row r="602" spans="1:8" ht="15" customHeight="1" x14ac:dyDescent="0.2">
      <c r="A602" s="435"/>
      <c r="B602" s="435"/>
      <c r="C602" s="487" t="s">
        <v>444</v>
      </c>
      <c r="D602" s="488"/>
      <c r="E602" s="488"/>
      <c r="F602" s="435"/>
      <c r="G602" s="489">
        <v>1929906</v>
      </c>
      <c r="H602" s="490"/>
    </row>
    <row r="603" spans="1:8" ht="30" customHeight="1" x14ac:dyDescent="0.2">
      <c r="A603" s="435"/>
      <c r="B603" s="435"/>
      <c r="C603" s="487" t="s">
        <v>443</v>
      </c>
      <c r="D603" s="488"/>
      <c r="E603" s="488"/>
      <c r="F603" s="435"/>
      <c r="G603" s="489">
        <v>534338</v>
      </c>
      <c r="H603" s="490"/>
    </row>
    <row r="605" spans="1:8" ht="15.75" customHeight="1" x14ac:dyDescent="0.2">
      <c r="A605" s="486" t="s">
        <v>329</v>
      </c>
      <c r="B605" s="484"/>
      <c r="C605" s="484"/>
      <c r="D605" s="484"/>
      <c r="E605" s="484"/>
      <c r="F605" s="484"/>
      <c r="G605" s="484"/>
      <c r="H605" s="484"/>
    </row>
    <row r="606" spans="1:8" ht="15" customHeight="1" x14ac:dyDescent="0.2">
      <c r="C606" s="479" t="s">
        <v>324</v>
      </c>
      <c r="D606" s="480"/>
      <c r="E606" s="480"/>
      <c r="F606" s="434"/>
      <c r="G606" s="481">
        <v>532485</v>
      </c>
      <c r="H606" s="482"/>
    </row>
    <row r="607" spans="1:8" x14ac:dyDescent="0.2">
      <c r="C607" s="483" t="s">
        <v>443</v>
      </c>
      <c r="D607" s="484"/>
      <c r="E607" s="484"/>
      <c r="G607" s="485">
        <v>532485</v>
      </c>
      <c r="H607" s="477"/>
    </row>
    <row r="608" spans="1:8" ht="9" customHeight="1" x14ac:dyDescent="0.2"/>
    <row r="609" spans="1:8" ht="15.75" customHeight="1" x14ac:dyDescent="0.2">
      <c r="A609" s="486" t="s">
        <v>341</v>
      </c>
      <c r="B609" s="484"/>
      <c r="C609" s="484"/>
      <c r="D609" s="484"/>
      <c r="E609" s="484"/>
      <c r="F609" s="484"/>
      <c r="G609" s="484"/>
      <c r="H609" s="484"/>
    </row>
    <row r="610" spans="1:8" ht="15" customHeight="1" x14ac:dyDescent="0.2">
      <c r="C610" s="479" t="s">
        <v>324</v>
      </c>
      <c r="D610" s="480"/>
      <c r="E610" s="480"/>
      <c r="F610" s="434"/>
      <c r="G610" s="481">
        <v>64900</v>
      </c>
      <c r="H610" s="482"/>
    </row>
    <row r="611" spans="1:8" ht="15" customHeight="1" x14ac:dyDescent="0.2">
      <c r="C611" s="483" t="s">
        <v>444</v>
      </c>
      <c r="D611" s="484"/>
      <c r="E611" s="484"/>
      <c r="G611" s="485">
        <v>64900</v>
      </c>
      <c r="H611" s="477"/>
    </row>
    <row r="613" spans="1:8" ht="15.75" customHeight="1" x14ac:dyDescent="0.2">
      <c r="A613" s="486" t="s">
        <v>342</v>
      </c>
      <c r="B613" s="484"/>
      <c r="C613" s="484"/>
      <c r="D613" s="484"/>
      <c r="E613" s="484"/>
      <c r="F613" s="484"/>
      <c r="G613" s="484"/>
      <c r="H613" s="484"/>
    </row>
    <row r="614" spans="1:8" ht="15" customHeight="1" x14ac:dyDescent="0.2">
      <c r="C614" s="479" t="s">
        <v>324</v>
      </c>
      <c r="D614" s="480"/>
      <c r="E614" s="480"/>
      <c r="F614" s="434"/>
      <c r="G614" s="481">
        <v>12400</v>
      </c>
      <c r="H614" s="482"/>
    </row>
    <row r="615" spans="1:8" ht="15" customHeight="1" x14ac:dyDescent="0.2">
      <c r="C615" s="483" t="s">
        <v>444</v>
      </c>
      <c r="D615" s="484"/>
      <c r="E615" s="484"/>
      <c r="G615" s="485">
        <v>12400</v>
      </c>
      <c r="H615" s="477"/>
    </row>
    <row r="617" spans="1:8" ht="15.75" customHeight="1" x14ac:dyDescent="0.2">
      <c r="A617" s="486" t="s">
        <v>343</v>
      </c>
      <c r="B617" s="484"/>
      <c r="C617" s="484"/>
      <c r="D617" s="484"/>
      <c r="E617" s="484"/>
      <c r="F617" s="484"/>
      <c r="G617" s="484"/>
      <c r="H617" s="484"/>
    </row>
    <row r="618" spans="1:8" ht="15" customHeight="1" x14ac:dyDescent="0.2">
      <c r="C618" s="479" t="s">
        <v>324</v>
      </c>
      <c r="D618" s="480"/>
      <c r="E618" s="480"/>
      <c r="F618" s="434"/>
      <c r="G618" s="481">
        <v>37500</v>
      </c>
      <c r="H618" s="482"/>
    </row>
    <row r="619" spans="1:8" ht="15" customHeight="1" x14ac:dyDescent="0.2">
      <c r="C619" s="483" t="s">
        <v>444</v>
      </c>
      <c r="D619" s="484"/>
      <c r="E619" s="484"/>
      <c r="G619" s="485">
        <v>37500</v>
      </c>
      <c r="H619" s="477"/>
    </row>
    <row r="621" spans="1:8" ht="15.75" customHeight="1" x14ac:dyDescent="0.2">
      <c r="A621" s="486" t="s">
        <v>344</v>
      </c>
      <c r="B621" s="484"/>
      <c r="C621" s="484"/>
      <c r="D621" s="484"/>
      <c r="E621" s="484"/>
      <c r="F621" s="484"/>
      <c r="G621" s="484"/>
      <c r="H621" s="484"/>
    </row>
    <row r="622" spans="1:8" ht="15" customHeight="1" x14ac:dyDescent="0.2">
      <c r="C622" s="479" t="s">
        <v>324</v>
      </c>
      <c r="D622" s="480"/>
      <c r="E622" s="480"/>
      <c r="F622" s="434"/>
      <c r="G622" s="481">
        <v>4750</v>
      </c>
      <c r="H622" s="482"/>
    </row>
    <row r="623" spans="1:8" ht="15" customHeight="1" x14ac:dyDescent="0.2">
      <c r="C623" s="483" t="s">
        <v>447</v>
      </c>
      <c r="D623" s="484"/>
      <c r="E623" s="484"/>
      <c r="G623" s="485">
        <v>4750</v>
      </c>
      <c r="H623" s="477"/>
    </row>
    <row r="625" spans="1:8" ht="15.75" customHeight="1" x14ac:dyDescent="0.2">
      <c r="A625" s="486" t="s">
        <v>455</v>
      </c>
      <c r="B625" s="484"/>
      <c r="C625" s="484"/>
      <c r="D625" s="484"/>
      <c r="E625" s="484"/>
      <c r="F625" s="484"/>
      <c r="G625" s="484"/>
      <c r="H625" s="484"/>
    </row>
    <row r="626" spans="1:8" ht="15" customHeight="1" x14ac:dyDescent="0.2">
      <c r="C626" s="479" t="s">
        <v>324</v>
      </c>
      <c r="D626" s="480"/>
      <c r="E626" s="480"/>
      <c r="F626" s="434"/>
      <c r="G626" s="481">
        <v>414041</v>
      </c>
      <c r="H626" s="482"/>
    </row>
    <row r="627" spans="1:8" ht="15" customHeight="1" x14ac:dyDescent="0.2">
      <c r="C627" s="483" t="s">
        <v>448</v>
      </c>
      <c r="D627" s="484"/>
      <c r="E627" s="484"/>
      <c r="G627" s="485">
        <v>293215</v>
      </c>
      <c r="H627" s="477"/>
    </row>
    <row r="628" spans="1:8" ht="15" customHeight="1" x14ac:dyDescent="0.2">
      <c r="C628" s="483" t="s">
        <v>447</v>
      </c>
      <c r="D628" s="484"/>
      <c r="E628" s="484"/>
      <c r="G628" s="485">
        <v>11893</v>
      </c>
      <c r="H628" s="477"/>
    </row>
    <row r="629" spans="1:8" ht="15" customHeight="1" x14ac:dyDescent="0.2">
      <c r="C629" s="483" t="s">
        <v>444</v>
      </c>
      <c r="D629" s="484"/>
      <c r="E629" s="484"/>
      <c r="G629" s="485">
        <v>108933</v>
      </c>
      <c r="H629" s="477"/>
    </row>
    <row r="631" spans="1:8" ht="15.75" customHeight="1" x14ac:dyDescent="0.2">
      <c r="A631" s="486" t="s">
        <v>824</v>
      </c>
      <c r="B631" s="484"/>
      <c r="C631" s="484"/>
      <c r="D631" s="484"/>
      <c r="E631" s="484"/>
      <c r="F631" s="484"/>
      <c r="G631" s="484"/>
      <c r="H631" s="484"/>
    </row>
    <row r="632" spans="1:8" ht="15" customHeight="1" x14ac:dyDescent="0.2">
      <c r="C632" s="479" t="s">
        <v>324</v>
      </c>
      <c r="D632" s="480"/>
      <c r="E632" s="480"/>
      <c r="F632" s="434"/>
      <c r="G632" s="481">
        <v>89101</v>
      </c>
      <c r="H632" s="482"/>
    </row>
    <row r="633" spans="1:8" ht="15" customHeight="1" x14ac:dyDescent="0.2">
      <c r="C633" s="483" t="s">
        <v>448</v>
      </c>
      <c r="D633" s="484"/>
      <c r="E633" s="484"/>
      <c r="G633" s="485">
        <v>70628</v>
      </c>
      <c r="H633" s="477"/>
    </row>
    <row r="634" spans="1:8" ht="15" customHeight="1" x14ac:dyDescent="0.2">
      <c r="C634" s="483" t="s">
        <v>447</v>
      </c>
      <c r="D634" s="484"/>
      <c r="E634" s="484"/>
      <c r="G634" s="485">
        <v>18473</v>
      </c>
      <c r="H634" s="477"/>
    </row>
    <row r="636" spans="1:8" ht="15.75" customHeight="1" x14ac:dyDescent="0.2">
      <c r="A636" s="486" t="s">
        <v>454</v>
      </c>
      <c r="B636" s="484"/>
      <c r="C636" s="484"/>
      <c r="D636" s="484"/>
      <c r="E636" s="484"/>
      <c r="F636" s="484"/>
      <c r="G636" s="484"/>
      <c r="H636" s="484"/>
    </row>
    <row r="637" spans="1:8" ht="15" customHeight="1" x14ac:dyDescent="0.2">
      <c r="C637" s="479" t="s">
        <v>324</v>
      </c>
      <c r="D637" s="480"/>
      <c r="E637" s="480"/>
      <c r="F637" s="434"/>
      <c r="G637" s="481">
        <v>76015</v>
      </c>
      <c r="H637" s="482"/>
    </row>
    <row r="638" spans="1:8" ht="15" customHeight="1" x14ac:dyDescent="0.2">
      <c r="C638" s="483" t="s">
        <v>448</v>
      </c>
      <c r="D638" s="484"/>
      <c r="E638" s="484"/>
      <c r="G638" s="485">
        <v>58090</v>
      </c>
      <c r="H638" s="477"/>
    </row>
    <row r="639" spans="1:8" ht="15" customHeight="1" x14ac:dyDescent="0.2">
      <c r="C639" s="483" t="s">
        <v>447</v>
      </c>
      <c r="D639" s="484"/>
      <c r="E639" s="484"/>
      <c r="G639" s="485">
        <v>17925</v>
      </c>
      <c r="H639" s="477"/>
    </row>
    <row r="641" spans="1:8" ht="15.75" customHeight="1" x14ac:dyDescent="0.2">
      <c r="A641" s="486" t="s">
        <v>453</v>
      </c>
      <c r="B641" s="484"/>
      <c r="C641" s="484"/>
      <c r="D641" s="484"/>
      <c r="E641" s="484"/>
      <c r="F641" s="484"/>
      <c r="G641" s="484"/>
      <c r="H641" s="484"/>
    </row>
    <row r="642" spans="1:8" ht="15" customHeight="1" x14ac:dyDescent="0.2">
      <c r="C642" s="479" t="s">
        <v>324</v>
      </c>
      <c r="D642" s="480"/>
      <c r="E642" s="480"/>
      <c r="F642" s="434"/>
      <c r="G642" s="481">
        <v>68757</v>
      </c>
      <c r="H642" s="482"/>
    </row>
    <row r="643" spans="1:8" ht="15" customHeight="1" x14ac:dyDescent="0.2">
      <c r="C643" s="483" t="s">
        <v>448</v>
      </c>
      <c r="D643" s="484"/>
      <c r="E643" s="484"/>
      <c r="G643" s="485">
        <v>43415</v>
      </c>
      <c r="H643" s="477"/>
    </row>
    <row r="644" spans="1:8" ht="15" customHeight="1" x14ac:dyDescent="0.2">
      <c r="C644" s="483" t="s">
        <v>447</v>
      </c>
      <c r="D644" s="484"/>
      <c r="E644" s="484"/>
      <c r="G644" s="485">
        <v>25342</v>
      </c>
      <c r="H644" s="477"/>
    </row>
    <row r="646" spans="1:8" ht="15.75" customHeight="1" x14ac:dyDescent="0.2">
      <c r="A646" s="486" t="s">
        <v>361</v>
      </c>
      <c r="B646" s="484"/>
      <c r="C646" s="484"/>
      <c r="D646" s="484"/>
      <c r="E646" s="484"/>
      <c r="F646" s="484"/>
      <c r="G646" s="484"/>
      <c r="H646" s="484"/>
    </row>
    <row r="647" spans="1:8" ht="15" customHeight="1" x14ac:dyDescent="0.2">
      <c r="C647" s="479" t="s">
        <v>324</v>
      </c>
      <c r="D647" s="480"/>
      <c r="E647" s="480"/>
      <c r="F647" s="434"/>
      <c r="G647" s="481">
        <v>105354</v>
      </c>
      <c r="H647" s="482"/>
    </row>
    <row r="648" spans="1:8" ht="15" customHeight="1" x14ac:dyDescent="0.2">
      <c r="C648" s="483" t="s">
        <v>448</v>
      </c>
      <c r="D648" s="484"/>
      <c r="E648" s="484"/>
      <c r="G648" s="485">
        <v>82654</v>
      </c>
      <c r="H648" s="477"/>
    </row>
    <row r="649" spans="1:8" ht="15" customHeight="1" x14ac:dyDescent="0.2">
      <c r="C649" s="483" t="s">
        <v>447</v>
      </c>
      <c r="D649" s="484"/>
      <c r="E649" s="484"/>
      <c r="G649" s="485">
        <v>22700</v>
      </c>
      <c r="H649" s="477"/>
    </row>
    <row r="651" spans="1:8" ht="31.5" customHeight="1" x14ac:dyDescent="0.2">
      <c r="A651" s="486" t="s">
        <v>825</v>
      </c>
      <c r="B651" s="484"/>
      <c r="C651" s="484"/>
      <c r="D651" s="484"/>
      <c r="E651" s="484"/>
      <c r="F651" s="484"/>
      <c r="G651" s="484"/>
      <c r="H651" s="484"/>
    </row>
    <row r="652" spans="1:8" ht="15" customHeight="1" x14ac:dyDescent="0.2">
      <c r="C652" s="479" t="s">
        <v>324</v>
      </c>
      <c r="D652" s="480"/>
      <c r="E652" s="480"/>
      <c r="F652" s="434"/>
      <c r="G652" s="481">
        <v>81740</v>
      </c>
      <c r="H652" s="482"/>
    </row>
    <row r="653" spans="1:8" ht="15" customHeight="1" x14ac:dyDescent="0.2">
      <c r="C653" s="483" t="s">
        <v>448</v>
      </c>
      <c r="D653" s="484"/>
      <c r="E653" s="484"/>
      <c r="G653" s="485">
        <v>9630</v>
      </c>
      <c r="H653" s="477"/>
    </row>
    <row r="654" spans="1:8" ht="15" customHeight="1" x14ac:dyDescent="0.2">
      <c r="C654" s="483" t="s">
        <v>447</v>
      </c>
      <c r="D654" s="484"/>
      <c r="E654" s="484"/>
      <c r="G654" s="485">
        <v>2413</v>
      </c>
      <c r="H654" s="477"/>
    </row>
    <row r="655" spans="1:8" ht="15" customHeight="1" x14ac:dyDescent="0.2">
      <c r="C655" s="483" t="s">
        <v>444</v>
      </c>
      <c r="D655" s="484"/>
      <c r="E655" s="484"/>
      <c r="G655" s="485">
        <v>68697</v>
      </c>
      <c r="H655" s="477"/>
    </row>
    <row r="656" spans="1:8" x14ac:dyDescent="0.2">
      <c r="C656" s="483" t="s">
        <v>443</v>
      </c>
      <c r="D656" s="484"/>
      <c r="E656" s="484"/>
      <c r="G656" s="485">
        <v>1000</v>
      </c>
      <c r="H656" s="477"/>
    </row>
    <row r="658" spans="1:8" ht="15.75" customHeight="1" x14ac:dyDescent="0.2">
      <c r="A658" s="486" t="s">
        <v>397</v>
      </c>
      <c r="B658" s="484"/>
      <c r="C658" s="484"/>
      <c r="D658" s="484"/>
      <c r="E658" s="484"/>
      <c r="F658" s="484"/>
      <c r="G658" s="484"/>
      <c r="H658" s="484"/>
    </row>
    <row r="659" spans="1:8" ht="15" customHeight="1" x14ac:dyDescent="0.2">
      <c r="C659" s="479" t="s">
        <v>324</v>
      </c>
      <c r="D659" s="480"/>
      <c r="E659" s="480"/>
      <c r="F659" s="434"/>
      <c r="G659" s="481">
        <v>228305</v>
      </c>
      <c r="H659" s="482"/>
    </row>
    <row r="660" spans="1:8" ht="15" customHeight="1" x14ac:dyDescent="0.2">
      <c r="C660" s="483" t="s">
        <v>448</v>
      </c>
      <c r="D660" s="484"/>
      <c r="E660" s="484"/>
      <c r="G660" s="485">
        <v>89882</v>
      </c>
      <c r="H660" s="477"/>
    </row>
    <row r="661" spans="1:8" ht="15" customHeight="1" x14ac:dyDescent="0.2">
      <c r="C661" s="483" t="s">
        <v>447</v>
      </c>
      <c r="D661" s="484"/>
      <c r="E661" s="484"/>
      <c r="G661" s="485">
        <v>8977</v>
      </c>
      <c r="H661" s="477"/>
    </row>
    <row r="662" spans="1:8" ht="15" customHeight="1" x14ac:dyDescent="0.2">
      <c r="C662" s="483" t="s">
        <v>444</v>
      </c>
      <c r="D662" s="484"/>
      <c r="E662" s="484"/>
      <c r="G662" s="485">
        <v>129446</v>
      </c>
      <c r="H662" s="477"/>
    </row>
    <row r="664" spans="1:8" ht="15.75" customHeight="1" x14ac:dyDescent="0.2">
      <c r="A664" s="486" t="s">
        <v>362</v>
      </c>
      <c r="B664" s="484"/>
      <c r="C664" s="484"/>
      <c r="D664" s="484"/>
      <c r="E664" s="484"/>
      <c r="F664" s="484"/>
      <c r="G664" s="484"/>
      <c r="H664" s="484"/>
    </row>
    <row r="665" spans="1:8" ht="15" customHeight="1" x14ac:dyDescent="0.2">
      <c r="C665" s="479" t="s">
        <v>324</v>
      </c>
      <c r="D665" s="480"/>
      <c r="E665" s="480"/>
      <c r="F665" s="434"/>
      <c r="G665" s="481">
        <v>274277</v>
      </c>
      <c r="H665" s="482"/>
    </row>
    <row r="666" spans="1:8" ht="15" customHeight="1" x14ac:dyDescent="0.2">
      <c r="C666" s="483" t="s">
        <v>444</v>
      </c>
      <c r="D666" s="484"/>
      <c r="E666" s="484"/>
      <c r="G666" s="485">
        <v>274277</v>
      </c>
      <c r="H666" s="477"/>
    </row>
    <row r="668" spans="1:8" ht="15.75" customHeight="1" x14ac:dyDescent="0.2">
      <c r="A668" s="486" t="s">
        <v>396</v>
      </c>
      <c r="B668" s="484"/>
      <c r="C668" s="484"/>
      <c r="D668" s="484"/>
      <c r="E668" s="484"/>
      <c r="F668" s="484"/>
      <c r="G668" s="484"/>
      <c r="H668" s="484"/>
    </row>
    <row r="669" spans="1:8" ht="15" customHeight="1" x14ac:dyDescent="0.2">
      <c r="C669" s="479" t="s">
        <v>324</v>
      </c>
      <c r="D669" s="480"/>
      <c r="E669" s="480"/>
      <c r="F669" s="434"/>
      <c r="G669" s="481">
        <v>801999</v>
      </c>
      <c r="H669" s="482"/>
    </row>
    <row r="670" spans="1:8" ht="15" customHeight="1" x14ac:dyDescent="0.2">
      <c r="C670" s="483" t="s">
        <v>448</v>
      </c>
      <c r="D670" s="484"/>
      <c r="E670" s="484"/>
      <c r="G670" s="485">
        <v>4398</v>
      </c>
      <c r="H670" s="477"/>
    </row>
    <row r="671" spans="1:8" ht="15" customHeight="1" x14ac:dyDescent="0.2">
      <c r="C671" s="483" t="s">
        <v>444</v>
      </c>
      <c r="D671" s="484"/>
      <c r="E671" s="484"/>
      <c r="G671" s="485">
        <v>797601</v>
      </c>
      <c r="H671" s="477"/>
    </row>
    <row r="673" spans="1:8" ht="15.75" customHeight="1" x14ac:dyDescent="0.2">
      <c r="A673" s="486" t="s">
        <v>364</v>
      </c>
      <c r="B673" s="484"/>
      <c r="C673" s="484"/>
      <c r="D673" s="484"/>
      <c r="E673" s="484"/>
      <c r="F673" s="484"/>
      <c r="G673" s="484"/>
      <c r="H673" s="484"/>
    </row>
    <row r="674" spans="1:8" ht="15" customHeight="1" x14ac:dyDescent="0.2">
      <c r="C674" s="479" t="s">
        <v>324</v>
      </c>
      <c r="D674" s="480"/>
      <c r="E674" s="480"/>
      <c r="F674" s="434"/>
      <c r="G674" s="481">
        <v>345000</v>
      </c>
      <c r="H674" s="482"/>
    </row>
    <row r="675" spans="1:8" ht="15" customHeight="1" x14ac:dyDescent="0.2">
      <c r="C675" s="483" t="s">
        <v>444</v>
      </c>
      <c r="D675" s="484"/>
      <c r="E675" s="484"/>
      <c r="G675" s="485">
        <v>345000</v>
      </c>
      <c r="H675" s="477"/>
    </row>
    <row r="677" spans="1:8" ht="15.75" customHeight="1" x14ac:dyDescent="0.2">
      <c r="A677" s="486" t="s">
        <v>365</v>
      </c>
      <c r="B677" s="484"/>
      <c r="C677" s="484"/>
      <c r="D677" s="484"/>
      <c r="E677" s="484"/>
      <c r="F677" s="484"/>
      <c r="G677" s="484"/>
      <c r="H677" s="484"/>
    </row>
    <row r="678" spans="1:8" ht="15" customHeight="1" x14ac:dyDescent="0.2">
      <c r="C678" s="479" t="s">
        <v>324</v>
      </c>
      <c r="D678" s="480"/>
      <c r="E678" s="480"/>
      <c r="F678" s="434"/>
      <c r="G678" s="481">
        <v>15677</v>
      </c>
      <c r="H678" s="482"/>
    </row>
    <row r="679" spans="1:8" ht="15" customHeight="1" x14ac:dyDescent="0.2">
      <c r="C679" s="483" t="s">
        <v>447</v>
      </c>
      <c r="D679" s="484"/>
      <c r="E679" s="484"/>
      <c r="G679" s="485">
        <v>8392</v>
      </c>
      <c r="H679" s="477"/>
    </row>
    <row r="680" spans="1:8" ht="15" customHeight="1" x14ac:dyDescent="0.2">
      <c r="C680" s="483" t="s">
        <v>444</v>
      </c>
      <c r="D680" s="484"/>
      <c r="E680" s="484"/>
      <c r="G680" s="485">
        <v>7285</v>
      </c>
      <c r="H680" s="477"/>
    </row>
    <row r="682" spans="1:8" ht="31.5" customHeight="1" x14ac:dyDescent="0.2">
      <c r="A682" s="486" t="s">
        <v>452</v>
      </c>
      <c r="B682" s="484"/>
      <c r="C682" s="484"/>
      <c r="D682" s="484"/>
      <c r="E682" s="484"/>
      <c r="F682" s="484"/>
      <c r="G682" s="484"/>
      <c r="H682" s="484"/>
    </row>
    <row r="683" spans="1:8" ht="15" customHeight="1" x14ac:dyDescent="0.2">
      <c r="C683" s="479" t="s">
        <v>324</v>
      </c>
      <c r="D683" s="480"/>
      <c r="E683" s="480"/>
      <c r="F683" s="434"/>
      <c r="G683" s="481">
        <v>66794</v>
      </c>
      <c r="H683" s="482"/>
    </row>
    <row r="684" spans="1:8" ht="15" customHeight="1" x14ac:dyDescent="0.2">
      <c r="C684" s="483" t="s">
        <v>444</v>
      </c>
      <c r="D684" s="484"/>
      <c r="E684" s="484"/>
      <c r="G684" s="485">
        <v>66794</v>
      </c>
      <c r="H684" s="477"/>
    </row>
    <row r="686" spans="1:8" ht="15.75" customHeight="1" x14ac:dyDescent="0.2">
      <c r="A686" s="486" t="s">
        <v>366</v>
      </c>
      <c r="B686" s="484"/>
      <c r="C686" s="484"/>
      <c r="D686" s="484"/>
      <c r="E686" s="484"/>
      <c r="F686" s="484"/>
      <c r="G686" s="484"/>
      <c r="H686" s="484"/>
    </row>
    <row r="687" spans="1:8" ht="15" customHeight="1" x14ac:dyDescent="0.2">
      <c r="C687" s="479" t="s">
        <v>324</v>
      </c>
      <c r="D687" s="480"/>
      <c r="E687" s="480"/>
      <c r="F687" s="434"/>
      <c r="G687" s="481">
        <v>89649</v>
      </c>
      <c r="H687" s="482"/>
    </row>
    <row r="688" spans="1:8" ht="15" customHeight="1" x14ac:dyDescent="0.2">
      <c r="C688" s="483" t="s">
        <v>448</v>
      </c>
      <c r="D688" s="484"/>
      <c r="E688" s="484"/>
      <c r="G688" s="485">
        <v>44467</v>
      </c>
      <c r="H688" s="477"/>
    </row>
    <row r="689" spans="1:8" ht="15" customHeight="1" x14ac:dyDescent="0.2">
      <c r="C689" s="483" t="s">
        <v>447</v>
      </c>
      <c r="D689" s="484"/>
      <c r="E689" s="484"/>
      <c r="G689" s="485">
        <v>45182</v>
      </c>
      <c r="H689" s="477"/>
    </row>
    <row r="691" spans="1:8" ht="15.75" customHeight="1" x14ac:dyDescent="0.2">
      <c r="A691" s="486" t="s">
        <v>367</v>
      </c>
      <c r="B691" s="484"/>
      <c r="C691" s="484"/>
      <c r="D691" s="484"/>
      <c r="E691" s="484"/>
      <c r="F691" s="484"/>
      <c r="G691" s="484"/>
      <c r="H691" s="484"/>
    </row>
    <row r="692" spans="1:8" ht="15" customHeight="1" x14ac:dyDescent="0.2">
      <c r="C692" s="479" t="s">
        <v>324</v>
      </c>
      <c r="D692" s="480"/>
      <c r="E692" s="480"/>
      <c r="F692" s="434"/>
      <c r="G692" s="481">
        <v>15240</v>
      </c>
      <c r="H692" s="482"/>
    </row>
    <row r="693" spans="1:8" ht="15" customHeight="1" x14ac:dyDescent="0.2">
      <c r="C693" s="483" t="s">
        <v>448</v>
      </c>
      <c r="D693" s="484"/>
      <c r="E693" s="484"/>
      <c r="G693" s="485">
        <v>7519</v>
      </c>
      <c r="H693" s="477"/>
    </row>
    <row r="694" spans="1:8" ht="15" customHeight="1" x14ac:dyDescent="0.2">
      <c r="C694" s="483" t="s">
        <v>447</v>
      </c>
      <c r="D694" s="484"/>
      <c r="E694" s="484"/>
      <c r="G694" s="485">
        <v>7721</v>
      </c>
      <c r="H694" s="477"/>
    </row>
    <row r="696" spans="1:8" ht="15.75" customHeight="1" x14ac:dyDescent="0.2">
      <c r="A696" s="486" t="s">
        <v>826</v>
      </c>
      <c r="B696" s="484"/>
      <c r="C696" s="484"/>
      <c r="D696" s="484"/>
      <c r="E696" s="484"/>
      <c r="F696" s="484"/>
      <c r="G696" s="484"/>
      <c r="H696" s="484"/>
    </row>
    <row r="697" spans="1:8" ht="15" customHeight="1" x14ac:dyDescent="0.2">
      <c r="C697" s="479" t="s">
        <v>324</v>
      </c>
      <c r="D697" s="480"/>
      <c r="E697" s="480"/>
      <c r="F697" s="434"/>
      <c r="G697" s="481">
        <v>333522</v>
      </c>
      <c r="H697" s="482"/>
    </row>
    <row r="698" spans="1:8" ht="15" customHeight="1" x14ac:dyDescent="0.2">
      <c r="C698" s="483" t="s">
        <v>448</v>
      </c>
      <c r="D698" s="484"/>
      <c r="E698" s="484"/>
      <c r="G698" s="485">
        <v>174177</v>
      </c>
      <c r="H698" s="477"/>
    </row>
    <row r="699" spans="1:8" ht="15" customHeight="1" x14ac:dyDescent="0.2">
      <c r="C699" s="483" t="s">
        <v>447</v>
      </c>
      <c r="D699" s="484"/>
      <c r="E699" s="484"/>
      <c r="G699" s="485">
        <v>149472</v>
      </c>
      <c r="H699" s="477"/>
    </row>
    <row r="700" spans="1:8" ht="15" customHeight="1" x14ac:dyDescent="0.2">
      <c r="C700" s="483" t="s">
        <v>444</v>
      </c>
      <c r="D700" s="484"/>
      <c r="E700" s="484"/>
      <c r="G700" s="485">
        <v>9873</v>
      </c>
      <c r="H700" s="477"/>
    </row>
    <row r="702" spans="1:8" ht="15.75" customHeight="1" x14ac:dyDescent="0.2">
      <c r="A702" s="486" t="s">
        <v>451</v>
      </c>
      <c r="B702" s="484"/>
      <c r="C702" s="484"/>
      <c r="D702" s="484"/>
      <c r="E702" s="484"/>
      <c r="F702" s="484"/>
      <c r="G702" s="484"/>
      <c r="H702" s="484"/>
    </row>
    <row r="703" spans="1:8" ht="15" customHeight="1" x14ac:dyDescent="0.2">
      <c r="C703" s="479" t="s">
        <v>324</v>
      </c>
      <c r="D703" s="480"/>
      <c r="E703" s="480"/>
      <c r="F703" s="434"/>
      <c r="G703" s="481">
        <v>1045092</v>
      </c>
      <c r="H703" s="482"/>
    </row>
    <row r="704" spans="1:8" ht="15" customHeight="1" x14ac:dyDescent="0.2">
      <c r="C704" s="483" t="s">
        <v>448</v>
      </c>
      <c r="D704" s="484"/>
      <c r="E704" s="484"/>
      <c r="G704" s="485">
        <v>910277</v>
      </c>
      <c r="H704" s="477"/>
    </row>
    <row r="705" spans="1:8" ht="15" customHeight="1" x14ac:dyDescent="0.2">
      <c r="C705" s="483" t="s">
        <v>447</v>
      </c>
      <c r="D705" s="484"/>
      <c r="E705" s="484"/>
      <c r="G705" s="485">
        <v>133962</v>
      </c>
      <c r="H705" s="477"/>
    </row>
    <row r="706" spans="1:8" x14ac:dyDescent="0.2">
      <c r="C706" s="483" t="s">
        <v>443</v>
      </c>
      <c r="D706" s="484"/>
      <c r="E706" s="484"/>
      <c r="G706" s="485">
        <v>853</v>
      </c>
      <c r="H706" s="477"/>
    </row>
    <row r="708" spans="1:8" ht="15.75" customHeight="1" x14ac:dyDescent="0.2">
      <c r="A708" s="486" t="s">
        <v>368</v>
      </c>
      <c r="B708" s="484"/>
      <c r="C708" s="484"/>
      <c r="D708" s="484"/>
      <c r="E708" s="484"/>
      <c r="F708" s="484"/>
      <c r="G708" s="484"/>
      <c r="H708" s="484"/>
    </row>
    <row r="709" spans="1:8" ht="15" customHeight="1" x14ac:dyDescent="0.2">
      <c r="C709" s="479" t="s">
        <v>324</v>
      </c>
      <c r="D709" s="480"/>
      <c r="E709" s="480"/>
      <c r="F709" s="434"/>
      <c r="G709" s="481">
        <v>7200</v>
      </c>
      <c r="H709" s="482"/>
    </row>
    <row r="710" spans="1:8" ht="15" customHeight="1" x14ac:dyDescent="0.2">
      <c r="C710" s="483" t="s">
        <v>444</v>
      </c>
      <c r="D710" s="484"/>
      <c r="E710" s="484"/>
      <c r="G710" s="485">
        <v>7200</v>
      </c>
      <c r="H710" s="477"/>
    </row>
    <row r="711" spans="1:8" ht="27" customHeight="1" x14ac:dyDescent="0.2"/>
    <row r="712" spans="1:8" ht="15.75" customHeight="1" x14ac:dyDescent="0.2">
      <c r="A712" s="491" t="s">
        <v>829</v>
      </c>
      <c r="B712" s="488"/>
      <c r="C712" s="488"/>
      <c r="D712" s="488"/>
      <c r="E712" s="488"/>
      <c r="F712" s="488"/>
      <c r="G712" s="488"/>
      <c r="H712" s="488"/>
    </row>
    <row r="713" spans="1:8" ht="15" customHeight="1" x14ac:dyDescent="0.2">
      <c r="A713" s="435"/>
      <c r="B713" s="435"/>
      <c r="C713" s="487" t="s">
        <v>324</v>
      </c>
      <c r="D713" s="488"/>
      <c r="E713" s="488"/>
      <c r="F713" s="435"/>
      <c r="G713" s="489">
        <v>7830141</v>
      </c>
      <c r="H713" s="490"/>
    </row>
    <row r="714" spans="1:8" ht="15" customHeight="1" x14ac:dyDescent="0.2">
      <c r="A714" s="435"/>
      <c r="B714" s="435"/>
      <c r="C714" s="487" t="s">
        <v>370</v>
      </c>
      <c r="D714" s="488"/>
      <c r="E714" s="488"/>
      <c r="F714" s="435"/>
      <c r="G714" s="489">
        <v>5162310</v>
      </c>
      <c r="H714" s="490"/>
    </row>
    <row r="715" spans="1:8" ht="15" customHeight="1" x14ac:dyDescent="0.2">
      <c r="A715" s="435"/>
      <c r="B715" s="435"/>
      <c r="C715" s="487" t="s">
        <v>827</v>
      </c>
      <c r="D715" s="488"/>
      <c r="E715" s="488"/>
      <c r="F715" s="435"/>
      <c r="G715" s="489">
        <v>1271178</v>
      </c>
      <c r="H715" s="490"/>
    </row>
    <row r="716" spans="1:8" ht="15" customHeight="1" x14ac:dyDescent="0.2">
      <c r="A716" s="435"/>
      <c r="B716" s="435"/>
      <c r="C716" s="487" t="s">
        <v>371</v>
      </c>
      <c r="D716" s="488"/>
      <c r="E716" s="488"/>
      <c r="F716" s="435"/>
      <c r="G716" s="489">
        <f>1396653-150000</f>
        <v>1246653</v>
      </c>
      <c r="H716" s="490"/>
    </row>
    <row r="718" spans="1:8" ht="15.75" customHeight="1" x14ac:dyDescent="0.2">
      <c r="A718" s="486" t="s">
        <v>450</v>
      </c>
      <c r="B718" s="484"/>
      <c r="C718" s="484"/>
      <c r="D718" s="484"/>
      <c r="E718" s="484"/>
      <c r="F718" s="484"/>
      <c r="G718" s="484"/>
      <c r="H718" s="484"/>
    </row>
    <row r="719" spans="1:8" ht="15" customHeight="1" x14ac:dyDescent="0.2">
      <c r="C719" s="483" t="s">
        <v>370</v>
      </c>
      <c r="D719" s="484"/>
      <c r="E719" s="484"/>
      <c r="G719" s="485">
        <v>5162310</v>
      </c>
      <c r="H719" s="477"/>
    </row>
    <row r="721" spans="1:8" ht="15.75" customHeight="1" x14ac:dyDescent="0.2">
      <c r="A721" s="486" t="s">
        <v>449</v>
      </c>
      <c r="B721" s="484"/>
      <c r="C721" s="484"/>
      <c r="D721" s="484"/>
      <c r="E721" s="484"/>
      <c r="F721" s="484"/>
      <c r="G721" s="484"/>
      <c r="H721" s="484"/>
    </row>
    <row r="722" spans="1:8" ht="15" customHeight="1" x14ac:dyDescent="0.2">
      <c r="C722" s="483" t="s">
        <v>827</v>
      </c>
      <c r="D722" s="484"/>
      <c r="E722" s="484"/>
      <c r="G722" s="485">
        <v>1271178</v>
      </c>
      <c r="H722" s="477"/>
    </row>
    <row r="723" spans="1:8" ht="26.25" customHeight="1" x14ac:dyDescent="0.2"/>
    <row r="724" spans="1:8" ht="15.75" customHeight="1" x14ac:dyDescent="0.2">
      <c r="A724" s="486" t="s">
        <v>322</v>
      </c>
      <c r="B724" s="480"/>
      <c r="C724" s="480"/>
      <c r="D724" s="480"/>
      <c r="E724" s="480"/>
      <c r="F724" s="480"/>
      <c r="G724" s="480"/>
      <c r="H724" s="480"/>
    </row>
    <row r="725" spans="1:8" ht="15" customHeight="1" x14ac:dyDescent="0.2">
      <c r="A725" s="434"/>
      <c r="B725" s="434"/>
      <c r="C725" s="479" t="s">
        <v>324</v>
      </c>
      <c r="D725" s="480"/>
      <c r="E725" s="480"/>
      <c r="F725" s="434"/>
      <c r="G725" s="481">
        <v>96386247</v>
      </c>
      <c r="H725" s="482"/>
    </row>
    <row r="726" spans="1:8" ht="15" customHeight="1" x14ac:dyDescent="0.2">
      <c r="A726" s="434"/>
      <c r="B726" s="434"/>
      <c r="C726" s="479" t="s">
        <v>448</v>
      </c>
      <c r="D726" s="480"/>
      <c r="E726" s="480"/>
      <c r="F726" s="434"/>
      <c r="G726" s="481">
        <v>30210049</v>
      </c>
      <c r="H726" s="482"/>
    </row>
    <row r="727" spans="1:8" ht="15" customHeight="1" x14ac:dyDescent="0.2">
      <c r="A727" s="434"/>
      <c r="B727" s="434"/>
      <c r="C727" s="479" t="s">
        <v>447</v>
      </c>
      <c r="D727" s="480"/>
      <c r="E727" s="480"/>
      <c r="F727" s="434"/>
      <c r="G727" s="481">
        <f>15626843+150000</f>
        <v>15776843</v>
      </c>
      <c r="H727" s="482"/>
    </row>
    <row r="728" spans="1:8" ht="15" customHeight="1" x14ac:dyDescent="0.2">
      <c r="A728" s="434"/>
      <c r="B728" s="434"/>
      <c r="C728" s="479" t="s">
        <v>446</v>
      </c>
      <c r="D728" s="480"/>
      <c r="E728" s="480"/>
      <c r="F728" s="434"/>
      <c r="G728" s="481">
        <v>5448450</v>
      </c>
      <c r="H728" s="482"/>
    </row>
    <row r="729" spans="1:8" ht="15" customHeight="1" x14ac:dyDescent="0.2">
      <c r="A729" s="434"/>
      <c r="B729" s="434"/>
      <c r="C729" s="479" t="s">
        <v>445</v>
      </c>
      <c r="D729" s="480"/>
      <c r="E729" s="480"/>
      <c r="F729" s="434"/>
      <c r="G729" s="481">
        <v>33246563</v>
      </c>
      <c r="H729" s="482"/>
    </row>
    <row r="730" spans="1:8" ht="15" customHeight="1" x14ac:dyDescent="0.2">
      <c r="A730" s="434"/>
      <c r="B730" s="434"/>
      <c r="C730" s="479" t="s">
        <v>444</v>
      </c>
      <c r="D730" s="480"/>
      <c r="E730" s="480"/>
      <c r="F730" s="434"/>
      <c r="G730" s="481">
        <v>2424211</v>
      </c>
      <c r="H730" s="482"/>
    </row>
    <row r="731" spans="1:8" ht="30" customHeight="1" x14ac:dyDescent="0.2">
      <c r="A731" s="434"/>
      <c r="B731" s="434"/>
      <c r="C731" s="479" t="s">
        <v>443</v>
      </c>
      <c r="D731" s="480"/>
      <c r="E731" s="480"/>
      <c r="F731" s="434"/>
      <c r="G731" s="481">
        <v>1599990</v>
      </c>
      <c r="H731" s="482"/>
    </row>
    <row r="732" spans="1:8" ht="15" customHeight="1" x14ac:dyDescent="0.2">
      <c r="A732" s="434"/>
      <c r="B732" s="434"/>
      <c r="C732" s="479" t="s">
        <v>370</v>
      </c>
      <c r="D732" s="480"/>
      <c r="E732" s="480"/>
      <c r="F732" s="434"/>
      <c r="G732" s="481">
        <v>5162310</v>
      </c>
      <c r="H732" s="482"/>
    </row>
    <row r="733" spans="1:8" ht="15" customHeight="1" x14ac:dyDescent="0.2">
      <c r="A733" s="434"/>
      <c r="B733" s="434"/>
      <c r="C733" s="479" t="s">
        <v>827</v>
      </c>
      <c r="D733" s="480"/>
      <c r="E733" s="480"/>
      <c r="F733" s="434"/>
      <c r="G733" s="481">
        <v>1271178</v>
      </c>
      <c r="H733" s="482"/>
    </row>
    <row r="734" spans="1:8" ht="15" customHeight="1" x14ac:dyDescent="0.2">
      <c r="A734" s="434"/>
      <c r="B734" s="434"/>
      <c r="C734" s="479" t="s">
        <v>371</v>
      </c>
      <c r="D734" s="480"/>
      <c r="E734" s="480"/>
      <c r="F734" s="434"/>
      <c r="G734" s="481">
        <f>1396653-150000</f>
        <v>1246653</v>
      </c>
      <c r="H734" s="482"/>
    </row>
    <row r="735" spans="1:8" ht="14.25" customHeight="1" x14ac:dyDescent="0.2">
      <c r="E735" s="476"/>
      <c r="F735" s="477"/>
      <c r="G735" s="477"/>
      <c r="H735" s="477"/>
    </row>
    <row r="737" spans="2:8" ht="15.75" x14ac:dyDescent="0.25">
      <c r="B737" s="299" t="s">
        <v>25</v>
      </c>
      <c r="C737" s="299"/>
      <c r="D737" s="440"/>
      <c r="E737" s="440"/>
      <c r="F737" s="441" t="s">
        <v>26</v>
      </c>
      <c r="G737" s="440"/>
      <c r="H737" s="442"/>
    </row>
  </sheetData>
  <mergeCells count="1045">
    <mergeCell ref="D3:H3"/>
    <mergeCell ref="D4:H4"/>
    <mergeCell ref="B6:H6"/>
    <mergeCell ref="A7:E7"/>
    <mergeCell ref="F7:H7"/>
    <mergeCell ref="A10:H10"/>
    <mergeCell ref="A18:H18"/>
    <mergeCell ref="C19:E19"/>
    <mergeCell ref="G19:H19"/>
    <mergeCell ref="C20:E20"/>
    <mergeCell ref="G20:H20"/>
    <mergeCell ref="C21:E21"/>
    <mergeCell ref="G21:H21"/>
    <mergeCell ref="C14:E14"/>
    <mergeCell ref="G14:H14"/>
    <mergeCell ref="C15:E15"/>
    <mergeCell ref="G15:H15"/>
    <mergeCell ref="C16:E16"/>
    <mergeCell ref="G16:H16"/>
    <mergeCell ref="C11:E11"/>
    <mergeCell ref="G11:H11"/>
    <mergeCell ref="C12:E12"/>
    <mergeCell ref="G12:H12"/>
    <mergeCell ref="C13:E13"/>
    <mergeCell ref="G13:H13"/>
    <mergeCell ref="A33:H33"/>
    <mergeCell ref="C34:E34"/>
    <mergeCell ref="G34:H34"/>
    <mergeCell ref="C35:E35"/>
    <mergeCell ref="G35:H35"/>
    <mergeCell ref="C36:E36"/>
    <mergeCell ref="G36:H36"/>
    <mergeCell ref="C27:E27"/>
    <mergeCell ref="G27:H27"/>
    <mergeCell ref="A29:H29"/>
    <mergeCell ref="C30:E30"/>
    <mergeCell ref="G30:H30"/>
    <mergeCell ref="C31:E31"/>
    <mergeCell ref="G31:H31"/>
    <mergeCell ref="A23:H23"/>
    <mergeCell ref="C24:E24"/>
    <mergeCell ref="G24:H24"/>
    <mergeCell ref="C25:E25"/>
    <mergeCell ref="G25:H25"/>
    <mergeCell ref="C26:E26"/>
    <mergeCell ref="G26:H26"/>
    <mergeCell ref="A48:H48"/>
    <mergeCell ref="C49:E49"/>
    <mergeCell ref="G49:H49"/>
    <mergeCell ref="C50:E50"/>
    <mergeCell ref="G50:H50"/>
    <mergeCell ref="C51:E51"/>
    <mergeCell ref="G51:H51"/>
    <mergeCell ref="A43:H43"/>
    <mergeCell ref="C44:E44"/>
    <mergeCell ref="G44:H44"/>
    <mergeCell ref="C45:E45"/>
    <mergeCell ref="G45:H45"/>
    <mergeCell ref="C46:E46"/>
    <mergeCell ref="G46:H46"/>
    <mergeCell ref="A38:H38"/>
    <mergeCell ref="C39:E39"/>
    <mergeCell ref="G39:H39"/>
    <mergeCell ref="C40:E40"/>
    <mergeCell ref="G40:H40"/>
    <mergeCell ref="C41:E41"/>
    <mergeCell ref="G41:H41"/>
    <mergeCell ref="C63:E63"/>
    <mergeCell ref="G63:H63"/>
    <mergeCell ref="A65:H65"/>
    <mergeCell ref="C66:E66"/>
    <mergeCell ref="G66:H66"/>
    <mergeCell ref="C67:E67"/>
    <mergeCell ref="G67:H67"/>
    <mergeCell ref="C58:E58"/>
    <mergeCell ref="G58:H58"/>
    <mergeCell ref="C59:E59"/>
    <mergeCell ref="G59:H59"/>
    <mergeCell ref="A61:H61"/>
    <mergeCell ref="C62:E62"/>
    <mergeCell ref="G62:H62"/>
    <mergeCell ref="A53:H53"/>
    <mergeCell ref="C54:E54"/>
    <mergeCell ref="G54:H54"/>
    <mergeCell ref="C55:E55"/>
    <mergeCell ref="G55:H55"/>
    <mergeCell ref="A57:H57"/>
    <mergeCell ref="A79:H79"/>
    <mergeCell ref="C80:E80"/>
    <mergeCell ref="G80:H80"/>
    <mergeCell ref="C81:E81"/>
    <mergeCell ref="G81:H81"/>
    <mergeCell ref="C82:E82"/>
    <mergeCell ref="G82:H82"/>
    <mergeCell ref="A74:H74"/>
    <mergeCell ref="C75:E75"/>
    <mergeCell ref="G75:H75"/>
    <mergeCell ref="C76:E76"/>
    <mergeCell ref="G76:H76"/>
    <mergeCell ref="C77:E77"/>
    <mergeCell ref="G77:H77"/>
    <mergeCell ref="A69:H69"/>
    <mergeCell ref="C70:E70"/>
    <mergeCell ref="G70:H70"/>
    <mergeCell ref="C71:E71"/>
    <mergeCell ref="G71:H71"/>
    <mergeCell ref="C72:E72"/>
    <mergeCell ref="G72:H72"/>
    <mergeCell ref="C93:E93"/>
    <mergeCell ref="G93:H93"/>
    <mergeCell ref="A95:H95"/>
    <mergeCell ref="C96:E96"/>
    <mergeCell ref="G96:H96"/>
    <mergeCell ref="C97:E97"/>
    <mergeCell ref="G97:H97"/>
    <mergeCell ref="C88:E88"/>
    <mergeCell ref="G88:H88"/>
    <mergeCell ref="A90:H90"/>
    <mergeCell ref="C91:E91"/>
    <mergeCell ref="G91:H91"/>
    <mergeCell ref="C92:E92"/>
    <mergeCell ref="G92:H92"/>
    <mergeCell ref="A84:H84"/>
    <mergeCell ref="C85:E85"/>
    <mergeCell ref="G85:H85"/>
    <mergeCell ref="C86:E86"/>
    <mergeCell ref="G86:H86"/>
    <mergeCell ref="C87:E87"/>
    <mergeCell ref="G87:H87"/>
    <mergeCell ref="A107:H107"/>
    <mergeCell ref="C108:E108"/>
    <mergeCell ref="G108:H108"/>
    <mergeCell ref="C109:E109"/>
    <mergeCell ref="G109:H109"/>
    <mergeCell ref="A111:H111"/>
    <mergeCell ref="C103:E103"/>
    <mergeCell ref="G103:H103"/>
    <mergeCell ref="C104:E104"/>
    <mergeCell ref="G104:H104"/>
    <mergeCell ref="C105:E105"/>
    <mergeCell ref="G105:H105"/>
    <mergeCell ref="C98:E98"/>
    <mergeCell ref="G98:H98"/>
    <mergeCell ref="C99:E99"/>
    <mergeCell ref="G99:H99"/>
    <mergeCell ref="A101:H101"/>
    <mergeCell ref="C102:E102"/>
    <mergeCell ref="G102:H102"/>
    <mergeCell ref="A121:H121"/>
    <mergeCell ref="C122:E122"/>
    <mergeCell ref="G122:H122"/>
    <mergeCell ref="C123:E123"/>
    <mergeCell ref="G123:H123"/>
    <mergeCell ref="A125:H125"/>
    <mergeCell ref="A116:H116"/>
    <mergeCell ref="C117:E117"/>
    <mergeCell ref="G117:H117"/>
    <mergeCell ref="C118:E118"/>
    <mergeCell ref="G118:H118"/>
    <mergeCell ref="C119:E119"/>
    <mergeCell ref="G119:H119"/>
    <mergeCell ref="C112:E112"/>
    <mergeCell ref="G112:H112"/>
    <mergeCell ref="C113:E113"/>
    <mergeCell ref="G113:H113"/>
    <mergeCell ref="C114:E114"/>
    <mergeCell ref="G114:H114"/>
    <mergeCell ref="A135:H135"/>
    <mergeCell ref="C136:E136"/>
    <mergeCell ref="G136:H136"/>
    <mergeCell ref="C137:E137"/>
    <mergeCell ref="G137:H137"/>
    <mergeCell ref="A139:H139"/>
    <mergeCell ref="C129:E129"/>
    <mergeCell ref="G129:H129"/>
    <mergeCell ref="A131:H131"/>
    <mergeCell ref="C132:E132"/>
    <mergeCell ref="G132:H132"/>
    <mergeCell ref="C133:E133"/>
    <mergeCell ref="G133:H133"/>
    <mergeCell ref="C126:E126"/>
    <mergeCell ref="G126:H126"/>
    <mergeCell ref="C127:E127"/>
    <mergeCell ref="G127:H127"/>
    <mergeCell ref="C128:E128"/>
    <mergeCell ref="G128:H128"/>
    <mergeCell ref="A151:H151"/>
    <mergeCell ref="C152:E152"/>
    <mergeCell ref="G152:H152"/>
    <mergeCell ref="C153:E153"/>
    <mergeCell ref="G153:H153"/>
    <mergeCell ref="A155:H155"/>
    <mergeCell ref="C145:E145"/>
    <mergeCell ref="G145:H145"/>
    <mergeCell ref="A147:H147"/>
    <mergeCell ref="C148:E148"/>
    <mergeCell ref="G148:H148"/>
    <mergeCell ref="C149:E149"/>
    <mergeCell ref="G149:H149"/>
    <mergeCell ref="C140:E140"/>
    <mergeCell ref="G140:H140"/>
    <mergeCell ref="C141:E141"/>
    <mergeCell ref="G141:H141"/>
    <mergeCell ref="A143:H143"/>
    <mergeCell ref="C144:E144"/>
    <mergeCell ref="G144:H144"/>
    <mergeCell ref="C166:E166"/>
    <mergeCell ref="G166:H166"/>
    <mergeCell ref="C167:E167"/>
    <mergeCell ref="G167:H167"/>
    <mergeCell ref="C168:E168"/>
    <mergeCell ref="G168:H168"/>
    <mergeCell ref="C161:E161"/>
    <mergeCell ref="G161:H161"/>
    <mergeCell ref="C162:E162"/>
    <mergeCell ref="G162:H162"/>
    <mergeCell ref="A164:H164"/>
    <mergeCell ref="C165:E165"/>
    <mergeCell ref="G165:H165"/>
    <mergeCell ref="C156:E156"/>
    <mergeCell ref="G156:H156"/>
    <mergeCell ref="C157:E157"/>
    <mergeCell ref="G157:H157"/>
    <mergeCell ref="A159:H159"/>
    <mergeCell ref="C160:E160"/>
    <mergeCell ref="G160:H160"/>
    <mergeCell ref="C178:E178"/>
    <mergeCell ref="G178:H178"/>
    <mergeCell ref="A180:H180"/>
    <mergeCell ref="C181:E181"/>
    <mergeCell ref="G181:H181"/>
    <mergeCell ref="C182:E182"/>
    <mergeCell ref="G182:H182"/>
    <mergeCell ref="C175:E175"/>
    <mergeCell ref="G175:H175"/>
    <mergeCell ref="C176:E176"/>
    <mergeCell ref="G176:H176"/>
    <mergeCell ref="C177:E177"/>
    <mergeCell ref="G177:H177"/>
    <mergeCell ref="A170:H170"/>
    <mergeCell ref="C171:E171"/>
    <mergeCell ref="G171:H171"/>
    <mergeCell ref="C172:E172"/>
    <mergeCell ref="G172:H172"/>
    <mergeCell ref="A174:H174"/>
    <mergeCell ref="C194:E194"/>
    <mergeCell ref="G194:H194"/>
    <mergeCell ref="A196:H196"/>
    <mergeCell ref="C197:E197"/>
    <mergeCell ref="G197:H197"/>
    <mergeCell ref="C198:E198"/>
    <mergeCell ref="G198:H198"/>
    <mergeCell ref="C189:E189"/>
    <mergeCell ref="G189:H189"/>
    <mergeCell ref="C190:E190"/>
    <mergeCell ref="G190:H190"/>
    <mergeCell ref="A192:H192"/>
    <mergeCell ref="C193:E193"/>
    <mergeCell ref="G193:H193"/>
    <mergeCell ref="A184:H184"/>
    <mergeCell ref="C185:E185"/>
    <mergeCell ref="G185:H185"/>
    <mergeCell ref="C186:E186"/>
    <mergeCell ref="G186:H186"/>
    <mergeCell ref="A188:H188"/>
    <mergeCell ref="C210:E210"/>
    <mergeCell ref="G210:H210"/>
    <mergeCell ref="A212:H212"/>
    <mergeCell ref="C213:E213"/>
    <mergeCell ref="G213:H213"/>
    <mergeCell ref="C214:E214"/>
    <mergeCell ref="G214:H214"/>
    <mergeCell ref="C205:E205"/>
    <mergeCell ref="G205:H205"/>
    <mergeCell ref="C206:E206"/>
    <mergeCell ref="G206:H206"/>
    <mergeCell ref="A208:H208"/>
    <mergeCell ref="C209:E209"/>
    <mergeCell ref="G209:H209"/>
    <mergeCell ref="A200:H200"/>
    <mergeCell ref="C201:E201"/>
    <mergeCell ref="G201:H201"/>
    <mergeCell ref="C202:E202"/>
    <mergeCell ref="G202:H202"/>
    <mergeCell ref="A204:H204"/>
    <mergeCell ref="C226:E226"/>
    <mergeCell ref="G226:H226"/>
    <mergeCell ref="A228:H228"/>
    <mergeCell ref="C229:E229"/>
    <mergeCell ref="G229:H229"/>
    <mergeCell ref="C230:E230"/>
    <mergeCell ref="G230:H230"/>
    <mergeCell ref="C221:E221"/>
    <mergeCell ref="G221:H221"/>
    <mergeCell ref="C222:E222"/>
    <mergeCell ref="G222:H222"/>
    <mergeCell ref="A224:H224"/>
    <mergeCell ref="C225:E225"/>
    <mergeCell ref="G225:H225"/>
    <mergeCell ref="A216:H216"/>
    <mergeCell ref="C217:E217"/>
    <mergeCell ref="G217:H217"/>
    <mergeCell ref="C218:E218"/>
    <mergeCell ref="G218:H218"/>
    <mergeCell ref="A220:H220"/>
    <mergeCell ref="C240:E240"/>
    <mergeCell ref="G240:H240"/>
    <mergeCell ref="A242:H242"/>
    <mergeCell ref="C243:E243"/>
    <mergeCell ref="G243:H243"/>
    <mergeCell ref="C244:E244"/>
    <mergeCell ref="G244:H244"/>
    <mergeCell ref="C237:E237"/>
    <mergeCell ref="G237:H237"/>
    <mergeCell ref="C238:E238"/>
    <mergeCell ref="G238:H238"/>
    <mergeCell ref="C239:E239"/>
    <mergeCell ref="G239:H239"/>
    <mergeCell ref="A232:H232"/>
    <mergeCell ref="C233:E233"/>
    <mergeCell ref="G233:H233"/>
    <mergeCell ref="C234:E234"/>
    <mergeCell ref="G234:H234"/>
    <mergeCell ref="A236:H236"/>
    <mergeCell ref="A254:H254"/>
    <mergeCell ref="C255:E255"/>
    <mergeCell ref="G255:H255"/>
    <mergeCell ref="C256:E256"/>
    <mergeCell ref="G256:H256"/>
    <mergeCell ref="C257:E257"/>
    <mergeCell ref="G257:H257"/>
    <mergeCell ref="C250:E250"/>
    <mergeCell ref="G250:H250"/>
    <mergeCell ref="C251:E251"/>
    <mergeCell ref="G251:H251"/>
    <mergeCell ref="C252:E252"/>
    <mergeCell ref="G252:H252"/>
    <mergeCell ref="C245:E245"/>
    <mergeCell ref="G245:H245"/>
    <mergeCell ref="C246:E246"/>
    <mergeCell ref="G246:H246"/>
    <mergeCell ref="A248:H248"/>
    <mergeCell ref="C249:E249"/>
    <mergeCell ref="G249:H249"/>
    <mergeCell ref="C268:E268"/>
    <mergeCell ref="G268:H268"/>
    <mergeCell ref="C269:E269"/>
    <mergeCell ref="G269:H269"/>
    <mergeCell ref="C270:E270"/>
    <mergeCell ref="G270:H270"/>
    <mergeCell ref="C263:E263"/>
    <mergeCell ref="G263:H263"/>
    <mergeCell ref="C264:E264"/>
    <mergeCell ref="G264:H264"/>
    <mergeCell ref="A266:H266"/>
    <mergeCell ref="C267:E267"/>
    <mergeCell ref="G267:H267"/>
    <mergeCell ref="C258:E258"/>
    <mergeCell ref="G258:H258"/>
    <mergeCell ref="A260:H260"/>
    <mergeCell ref="C261:E261"/>
    <mergeCell ref="G261:H261"/>
    <mergeCell ref="C262:E262"/>
    <mergeCell ref="G262:H262"/>
    <mergeCell ref="C281:E281"/>
    <mergeCell ref="G281:H281"/>
    <mergeCell ref="C282:E282"/>
    <mergeCell ref="G282:H282"/>
    <mergeCell ref="A284:H284"/>
    <mergeCell ref="C285:E285"/>
    <mergeCell ref="G285:H285"/>
    <mergeCell ref="C276:E276"/>
    <mergeCell ref="G276:H276"/>
    <mergeCell ref="A278:H278"/>
    <mergeCell ref="C279:E279"/>
    <mergeCell ref="G279:H279"/>
    <mergeCell ref="C280:E280"/>
    <mergeCell ref="G280:H280"/>
    <mergeCell ref="A272:H272"/>
    <mergeCell ref="C273:E273"/>
    <mergeCell ref="G273:H273"/>
    <mergeCell ref="C274:E274"/>
    <mergeCell ref="G274:H274"/>
    <mergeCell ref="C275:E275"/>
    <mergeCell ref="G275:H275"/>
    <mergeCell ref="C294:E294"/>
    <mergeCell ref="G294:H294"/>
    <mergeCell ref="C295:E295"/>
    <mergeCell ref="G295:H295"/>
    <mergeCell ref="C296:E296"/>
    <mergeCell ref="G296:H296"/>
    <mergeCell ref="A290:H290"/>
    <mergeCell ref="C291:E291"/>
    <mergeCell ref="G291:H291"/>
    <mergeCell ref="C292:E292"/>
    <mergeCell ref="G292:H292"/>
    <mergeCell ref="C293:E293"/>
    <mergeCell ref="G293:H293"/>
    <mergeCell ref="C286:E286"/>
    <mergeCell ref="G286:H286"/>
    <mergeCell ref="C287:E287"/>
    <mergeCell ref="G287:H287"/>
    <mergeCell ref="C288:E288"/>
    <mergeCell ref="G288:H288"/>
    <mergeCell ref="C308:E308"/>
    <mergeCell ref="G308:H308"/>
    <mergeCell ref="C309:E309"/>
    <mergeCell ref="G309:H309"/>
    <mergeCell ref="A311:H311"/>
    <mergeCell ref="C312:E312"/>
    <mergeCell ref="G312:H312"/>
    <mergeCell ref="A303:H303"/>
    <mergeCell ref="C304:E304"/>
    <mergeCell ref="G304:H304"/>
    <mergeCell ref="C305:E305"/>
    <mergeCell ref="G305:H305"/>
    <mergeCell ref="A307:H307"/>
    <mergeCell ref="A298:H298"/>
    <mergeCell ref="C299:E299"/>
    <mergeCell ref="G299:H299"/>
    <mergeCell ref="C300:E300"/>
    <mergeCell ref="G300:H300"/>
    <mergeCell ref="C301:E301"/>
    <mergeCell ref="G301:H301"/>
    <mergeCell ref="C323:E323"/>
    <mergeCell ref="G323:H323"/>
    <mergeCell ref="A325:H325"/>
    <mergeCell ref="C326:E326"/>
    <mergeCell ref="G326:H326"/>
    <mergeCell ref="C327:E327"/>
    <mergeCell ref="G327:H327"/>
    <mergeCell ref="C318:E318"/>
    <mergeCell ref="G318:H318"/>
    <mergeCell ref="A320:H320"/>
    <mergeCell ref="C321:E321"/>
    <mergeCell ref="G321:H321"/>
    <mergeCell ref="C322:E322"/>
    <mergeCell ref="G322:H322"/>
    <mergeCell ref="C313:E313"/>
    <mergeCell ref="G313:H313"/>
    <mergeCell ref="A315:H315"/>
    <mergeCell ref="C316:E316"/>
    <mergeCell ref="G316:H316"/>
    <mergeCell ref="C317:E317"/>
    <mergeCell ref="G317:H317"/>
    <mergeCell ref="C338:E338"/>
    <mergeCell ref="G338:H338"/>
    <mergeCell ref="C339:E339"/>
    <mergeCell ref="G339:H339"/>
    <mergeCell ref="A341:H341"/>
    <mergeCell ref="C342:E342"/>
    <mergeCell ref="G342:H342"/>
    <mergeCell ref="C333:E333"/>
    <mergeCell ref="G333:H333"/>
    <mergeCell ref="A335:H335"/>
    <mergeCell ref="C336:E336"/>
    <mergeCell ref="G336:H336"/>
    <mergeCell ref="C337:E337"/>
    <mergeCell ref="G337:H337"/>
    <mergeCell ref="A329:H329"/>
    <mergeCell ref="C330:E330"/>
    <mergeCell ref="G330:H330"/>
    <mergeCell ref="C331:E331"/>
    <mergeCell ref="G331:H331"/>
    <mergeCell ref="C332:E332"/>
    <mergeCell ref="G332:H332"/>
    <mergeCell ref="C351:E351"/>
    <mergeCell ref="G351:H351"/>
    <mergeCell ref="C352:E352"/>
    <mergeCell ref="G352:H352"/>
    <mergeCell ref="A354:H354"/>
    <mergeCell ref="C355:E355"/>
    <mergeCell ref="G355:H355"/>
    <mergeCell ref="A347:H347"/>
    <mergeCell ref="C348:E348"/>
    <mergeCell ref="G348:H348"/>
    <mergeCell ref="C349:E349"/>
    <mergeCell ref="G349:H349"/>
    <mergeCell ref="C350:E350"/>
    <mergeCell ref="G350:H350"/>
    <mergeCell ref="C343:E343"/>
    <mergeCell ref="G343:H343"/>
    <mergeCell ref="C344:E344"/>
    <mergeCell ref="G344:H344"/>
    <mergeCell ref="C345:E345"/>
    <mergeCell ref="G345:H345"/>
    <mergeCell ref="C364:E364"/>
    <mergeCell ref="G364:H364"/>
    <mergeCell ref="C365:E365"/>
    <mergeCell ref="G365:H365"/>
    <mergeCell ref="A367:H367"/>
    <mergeCell ref="C368:E368"/>
    <mergeCell ref="G368:H368"/>
    <mergeCell ref="A360:H360"/>
    <mergeCell ref="C361:E361"/>
    <mergeCell ref="G361:H361"/>
    <mergeCell ref="C362:E362"/>
    <mergeCell ref="G362:H362"/>
    <mergeCell ref="C363:E363"/>
    <mergeCell ref="G363:H363"/>
    <mergeCell ref="C356:E356"/>
    <mergeCell ref="G356:H356"/>
    <mergeCell ref="C357:E357"/>
    <mergeCell ref="G357:H357"/>
    <mergeCell ref="C358:E358"/>
    <mergeCell ref="G358:H358"/>
    <mergeCell ref="C379:E379"/>
    <mergeCell ref="G379:H379"/>
    <mergeCell ref="C380:E380"/>
    <mergeCell ref="G380:H380"/>
    <mergeCell ref="A382:H382"/>
    <mergeCell ref="C383:E383"/>
    <mergeCell ref="G383:H383"/>
    <mergeCell ref="C374:E374"/>
    <mergeCell ref="G374:H374"/>
    <mergeCell ref="C375:E375"/>
    <mergeCell ref="G375:H375"/>
    <mergeCell ref="A377:H377"/>
    <mergeCell ref="C378:E378"/>
    <mergeCell ref="G378:H378"/>
    <mergeCell ref="C369:E369"/>
    <mergeCell ref="G369:H369"/>
    <mergeCell ref="C370:E370"/>
    <mergeCell ref="G370:H370"/>
    <mergeCell ref="A372:H372"/>
    <mergeCell ref="C373:E373"/>
    <mergeCell ref="G373:H373"/>
    <mergeCell ref="C392:E392"/>
    <mergeCell ref="G392:H392"/>
    <mergeCell ref="A394:H394"/>
    <mergeCell ref="C395:E395"/>
    <mergeCell ref="G395:H395"/>
    <mergeCell ref="C396:E396"/>
    <mergeCell ref="G396:H396"/>
    <mergeCell ref="C389:E389"/>
    <mergeCell ref="G389:H389"/>
    <mergeCell ref="C390:E390"/>
    <mergeCell ref="G390:H390"/>
    <mergeCell ref="C391:E391"/>
    <mergeCell ref="G391:H391"/>
    <mergeCell ref="C384:E384"/>
    <mergeCell ref="G384:H384"/>
    <mergeCell ref="C385:E385"/>
    <mergeCell ref="G385:H385"/>
    <mergeCell ref="A387:H387"/>
    <mergeCell ref="C388:E388"/>
    <mergeCell ref="G388:H388"/>
    <mergeCell ref="C405:E405"/>
    <mergeCell ref="G405:H405"/>
    <mergeCell ref="A407:H407"/>
    <mergeCell ref="C408:E408"/>
    <mergeCell ref="G408:H408"/>
    <mergeCell ref="C409:E409"/>
    <mergeCell ref="G409:H409"/>
    <mergeCell ref="C402:E402"/>
    <mergeCell ref="G402:H402"/>
    <mergeCell ref="C403:E403"/>
    <mergeCell ref="G403:H403"/>
    <mergeCell ref="C404:E404"/>
    <mergeCell ref="G404:H404"/>
    <mergeCell ref="C397:E397"/>
    <mergeCell ref="G397:H397"/>
    <mergeCell ref="C398:E398"/>
    <mergeCell ref="G398:H398"/>
    <mergeCell ref="A400:H400"/>
    <mergeCell ref="C401:E401"/>
    <mergeCell ref="G401:H401"/>
    <mergeCell ref="A419:H419"/>
    <mergeCell ref="C420:E420"/>
    <mergeCell ref="G420:H420"/>
    <mergeCell ref="C421:E421"/>
    <mergeCell ref="G421:H421"/>
    <mergeCell ref="C422:E422"/>
    <mergeCell ref="G422:H422"/>
    <mergeCell ref="C415:E415"/>
    <mergeCell ref="G415:H415"/>
    <mergeCell ref="C416:E416"/>
    <mergeCell ref="G416:H416"/>
    <mergeCell ref="C417:E417"/>
    <mergeCell ref="G417:H417"/>
    <mergeCell ref="C410:E410"/>
    <mergeCell ref="G410:H410"/>
    <mergeCell ref="C411:E411"/>
    <mergeCell ref="G411:H411"/>
    <mergeCell ref="A413:H413"/>
    <mergeCell ref="C414:E414"/>
    <mergeCell ref="G414:H414"/>
    <mergeCell ref="C431:E431"/>
    <mergeCell ref="G431:H431"/>
    <mergeCell ref="A433:H433"/>
    <mergeCell ref="C434:E434"/>
    <mergeCell ref="G434:H434"/>
    <mergeCell ref="C435:E435"/>
    <mergeCell ref="G435:H435"/>
    <mergeCell ref="A427:H427"/>
    <mergeCell ref="C428:E428"/>
    <mergeCell ref="G428:H428"/>
    <mergeCell ref="C429:E429"/>
    <mergeCell ref="G429:H429"/>
    <mergeCell ref="C430:E430"/>
    <mergeCell ref="G430:H430"/>
    <mergeCell ref="C423:E423"/>
    <mergeCell ref="G423:H423"/>
    <mergeCell ref="C424:E424"/>
    <mergeCell ref="G424:H424"/>
    <mergeCell ref="C425:E425"/>
    <mergeCell ref="G425:H425"/>
    <mergeCell ref="C446:E446"/>
    <mergeCell ref="G446:H446"/>
    <mergeCell ref="A448:H448"/>
    <mergeCell ref="C449:E449"/>
    <mergeCell ref="G449:H449"/>
    <mergeCell ref="C450:E450"/>
    <mergeCell ref="G450:H450"/>
    <mergeCell ref="C441:E441"/>
    <mergeCell ref="G441:H441"/>
    <mergeCell ref="A443:H443"/>
    <mergeCell ref="C444:E444"/>
    <mergeCell ref="G444:H444"/>
    <mergeCell ref="C445:E445"/>
    <mergeCell ref="G445:H445"/>
    <mergeCell ref="C436:E436"/>
    <mergeCell ref="G436:H436"/>
    <mergeCell ref="C437:E437"/>
    <mergeCell ref="G437:H437"/>
    <mergeCell ref="A439:H439"/>
    <mergeCell ref="C440:E440"/>
    <mergeCell ref="G440:H440"/>
    <mergeCell ref="C461:E461"/>
    <mergeCell ref="G461:H461"/>
    <mergeCell ref="C462:E462"/>
    <mergeCell ref="G462:H462"/>
    <mergeCell ref="C463:E463"/>
    <mergeCell ref="G463:H463"/>
    <mergeCell ref="C456:E456"/>
    <mergeCell ref="G456:H456"/>
    <mergeCell ref="C457:E457"/>
    <mergeCell ref="G457:H457"/>
    <mergeCell ref="A459:H459"/>
    <mergeCell ref="C460:E460"/>
    <mergeCell ref="G460:H460"/>
    <mergeCell ref="C451:E451"/>
    <mergeCell ref="G451:H451"/>
    <mergeCell ref="A453:H453"/>
    <mergeCell ref="C454:E454"/>
    <mergeCell ref="G454:H454"/>
    <mergeCell ref="C455:E455"/>
    <mergeCell ref="G455:H455"/>
    <mergeCell ref="C474:E474"/>
    <mergeCell ref="G474:H474"/>
    <mergeCell ref="C475:E475"/>
    <mergeCell ref="G475:H475"/>
    <mergeCell ref="A477:H477"/>
    <mergeCell ref="C478:E478"/>
    <mergeCell ref="G478:H478"/>
    <mergeCell ref="C469:E469"/>
    <mergeCell ref="G469:H469"/>
    <mergeCell ref="A471:H471"/>
    <mergeCell ref="C472:E472"/>
    <mergeCell ref="G472:H472"/>
    <mergeCell ref="C473:E473"/>
    <mergeCell ref="G473:H473"/>
    <mergeCell ref="A465:H465"/>
    <mergeCell ref="C466:E466"/>
    <mergeCell ref="G466:H466"/>
    <mergeCell ref="C467:E467"/>
    <mergeCell ref="G467:H467"/>
    <mergeCell ref="C468:E468"/>
    <mergeCell ref="G468:H468"/>
    <mergeCell ref="C487:E487"/>
    <mergeCell ref="G487:H487"/>
    <mergeCell ref="C488:E488"/>
    <mergeCell ref="G488:H488"/>
    <mergeCell ref="A490:H490"/>
    <mergeCell ref="C491:E491"/>
    <mergeCell ref="G491:H491"/>
    <mergeCell ref="C482:E482"/>
    <mergeCell ref="G482:H482"/>
    <mergeCell ref="A484:H484"/>
    <mergeCell ref="C485:E485"/>
    <mergeCell ref="G485:H485"/>
    <mergeCell ref="C486:E486"/>
    <mergeCell ref="G486:H486"/>
    <mergeCell ref="C479:E479"/>
    <mergeCell ref="G479:H479"/>
    <mergeCell ref="C480:E480"/>
    <mergeCell ref="G480:H480"/>
    <mergeCell ref="C481:E481"/>
    <mergeCell ref="G481:H481"/>
    <mergeCell ref="C500:E500"/>
    <mergeCell ref="G500:H500"/>
    <mergeCell ref="C501:E501"/>
    <mergeCell ref="G501:H501"/>
    <mergeCell ref="C502:E502"/>
    <mergeCell ref="G502:H502"/>
    <mergeCell ref="C495:E495"/>
    <mergeCell ref="G495:H495"/>
    <mergeCell ref="A497:H497"/>
    <mergeCell ref="C498:E498"/>
    <mergeCell ref="G498:H498"/>
    <mergeCell ref="C499:E499"/>
    <mergeCell ref="G499:H499"/>
    <mergeCell ref="C492:E492"/>
    <mergeCell ref="G492:H492"/>
    <mergeCell ref="C493:E493"/>
    <mergeCell ref="G493:H493"/>
    <mergeCell ref="C494:E494"/>
    <mergeCell ref="G494:H494"/>
    <mergeCell ref="C513:E513"/>
    <mergeCell ref="G513:H513"/>
    <mergeCell ref="C514:E514"/>
    <mergeCell ref="G514:H514"/>
    <mergeCell ref="C515:E515"/>
    <mergeCell ref="G515:H515"/>
    <mergeCell ref="C508:E508"/>
    <mergeCell ref="G508:H508"/>
    <mergeCell ref="C509:E509"/>
    <mergeCell ref="G509:H509"/>
    <mergeCell ref="A511:H511"/>
    <mergeCell ref="C512:E512"/>
    <mergeCell ref="G512:H512"/>
    <mergeCell ref="C503:E503"/>
    <mergeCell ref="G503:H503"/>
    <mergeCell ref="C504:E504"/>
    <mergeCell ref="G504:H504"/>
    <mergeCell ref="A506:H506"/>
    <mergeCell ref="C507:E507"/>
    <mergeCell ref="G507:H507"/>
    <mergeCell ref="C524:E524"/>
    <mergeCell ref="G524:H524"/>
    <mergeCell ref="A526:H526"/>
    <mergeCell ref="C527:E527"/>
    <mergeCell ref="G527:H527"/>
    <mergeCell ref="C528:E528"/>
    <mergeCell ref="G528:H528"/>
    <mergeCell ref="C521:E521"/>
    <mergeCell ref="G521:H521"/>
    <mergeCell ref="C522:E522"/>
    <mergeCell ref="G522:H522"/>
    <mergeCell ref="C523:E523"/>
    <mergeCell ref="G523:H523"/>
    <mergeCell ref="C516:E516"/>
    <mergeCell ref="G516:H516"/>
    <mergeCell ref="A518:H518"/>
    <mergeCell ref="C519:E519"/>
    <mergeCell ref="G519:H519"/>
    <mergeCell ref="C520:E520"/>
    <mergeCell ref="G520:H520"/>
    <mergeCell ref="A538:H538"/>
    <mergeCell ref="C539:E539"/>
    <mergeCell ref="G539:H539"/>
    <mergeCell ref="C540:E540"/>
    <mergeCell ref="G540:H540"/>
    <mergeCell ref="C541:E541"/>
    <mergeCell ref="G541:H541"/>
    <mergeCell ref="C534:E534"/>
    <mergeCell ref="G534:H534"/>
    <mergeCell ref="C535:E535"/>
    <mergeCell ref="G535:H535"/>
    <mergeCell ref="C536:E536"/>
    <mergeCell ref="G536:H536"/>
    <mergeCell ref="C529:E529"/>
    <mergeCell ref="G529:H529"/>
    <mergeCell ref="C530:E530"/>
    <mergeCell ref="G530:H530"/>
    <mergeCell ref="A532:H532"/>
    <mergeCell ref="C533:E533"/>
    <mergeCell ref="G533:H533"/>
    <mergeCell ref="C552:E552"/>
    <mergeCell ref="G552:H552"/>
    <mergeCell ref="C553:E553"/>
    <mergeCell ref="G553:H553"/>
    <mergeCell ref="C554:E554"/>
    <mergeCell ref="G554:H554"/>
    <mergeCell ref="C547:E547"/>
    <mergeCell ref="G547:H547"/>
    <mergeCell ref="C548:E548"/>
    <mergeCell ref="G548:H548"/>
    <mergeCell ref="A550:H550"/>
    <mergeCell ref="C551:E551"/>
    <mergeCell ref="G551:H551"/>
    <mergeCell ref="C542:E542"/>
    <mergeCell ref="G542:H542"/>
    <mergeCell ref="A544:H544"/>
    <mergeCell ref="C545:E545"/>
    <mergeCell ref="G545:H545"/>
    <mergeCell ref="C546:E546"/>
    <mergeCell ref="G546:H546"/>
    <mergeCell ref="C565:E565"/>
    <mergeCell ref="G565:H565"/>
    <mergeCell ref="A567:H567"/>
    <mergeCell ref="C568:E568"/>
    <mergeCell ref="G568:H568"/>
    <mergeCell ref="C569:E569"/>
    <mergeCell ref="G569:H569"/>
    <mergeCell ref="C560:E560"/>
    <mergeCell ref="G560:H560"/>
    <mergeCell ref="A562:H562"/>
    <mergeCell ref="C563:E563"/>
    <mergeCell ref="G563:H563"/>
    <mergeCell ref="C564:E564"/>
    <mergeCell ref="G564:H564"/>
    <mergeCell ref="A556:H556"/>
    <mergeCell ref="C557:E557"/>
    <mergeCell ref="G557:H557"/>
    <mergeCell ref="C558:E558"/>
    <mergeCell ref="G558:H558"/>
    <mergeCell ref="C559:E559"/>
    <mergeCell ref="G559:H559"/>
    <mergeCell ref="A579:H579"/>
    <mergeCell ref="C580:E580"/>
    <mergeCell ref="G580:H580"/>
    <mergeCell ref="C581:E581"/>
    <mergeCell ref="G581:H581"/>
    <mergeCell ref="C582:E582"/>
    <mergeCell ref="G582:H582"/>
    <mergeCell ref="A574:H574"/>
    <mergeCell ref="C575:E575"/>
    <mergeCell ref="G575:H575"/>
    <mergeCell ref="C576:E576"/>
    <mergeCell ref="G576:H576"/>
    <mergeCell ref="C577:E577"/>
    <mergeCell ref="G577:H577"/>
    <mergeCell ref="C570:E570"/>
    <mergeCell ref="G570:H570"/>
    <mergeCell ref="C571:E571"/>
    <mergeCell ref="G571:H571"/>
    <mergeCell ref="C572:E572"/>
    <mergeCell ref="G572:H572"/>
    <mergeCell ref="A593:H593"/>
    <mergeCell ref="C594:E594"/>
    <mergeCell ref="G594:H594"/>
    <mergeCell ref="C595:E595"/>
    <mergeCell ref="G595:H595"/>
    <mergeCell ref="C596:E596"/>
    <mergeCell ref="G596:H596"/>
    <mergeCell ref="C589:E589"/>
    <mergeCell ref="G589:H589"/>
    <mergeCell ref="C590:E590"/>
    <mergeCell ref="G590:H590"/>
    <mergeCell ref="C591:E591"/>
    <mergeCell ref="G591:H591"/>
    <mergeCell ref="A584:H584"/>
    <mergeCell ref="C585:E585"/>
    <mergeCell ref="G585:H585"/>
    <mergeCell ref="C586:E586"/>
    <mergeCell ref="G586:H586"/>
    <mergeCell ref="A588:H588"/>
    <mergeCell ref="C607:E607"/>
    <mergeCell ref="G607:H607"/>
    <mergeCell ref="A609:H609"/>
    <mergeCell ref="C610:E610"/>
    <mergeCell ref="G610:H610"/>
    <mergeCell ref="C611:E611"/>
    <mergeCell ref="G611:H611"/>
    <mergeCell ref="C602:E602"/>
    <mergeCell ref="G602:H602"/>
    <mergeCell ref="C603:E603"/>
    <mergeCell ref="G603:H603"/>
    <mergeCell ref="A605:H605"/>
    <mergeCell ref="C606:E606"/>
    <mergeCell ref="G606:H606"/>
    <mergeCell ref="A598:H598"/>
    <mergeCell ref="C599:E599"/>
    <mergeCell ref="G599:H599"/>
    <mergeCell ref="C600:E600"/>
    <mergeCell ref="G600:H600"/>
    <mergeCell ref="C601:E601"/>
    <mergeCell ref="G601:H601"/>
    <mergeCell ref="C623:E623"/>
    <mergeCell ref="G623:H623"/>
    <mergeCell ref="A625:H625"/>
    <mergeCell ref="C626:E626"/>
    <mergeCell ref="G626:H626"/>
    <mergeCell ref="C627:E627"/>
    <mergeCell ref="G627:H627"/>
    <mergeCell ref="C618:E618"/>
    <mergeCell ref="G618:H618"/>
    <mergeCell ref="C619:E619"/>
    <mergeCell ref="G619:H619"/>
    <mergeCell ref="A621:H621"/>
    <mergeCell ref="C622:E622"/>
    <mergeCell ref="G622:H622"/>
    <mergeCell ref="A613:H613"/>
    <mergeCell ref="C614:E614"/>
    <mergeCell ref="G614:H614"/>
    <mergeCell ref="C615:E615"/>
    <mergeCell ref="G615:H615"/>
    <mergeCell ref="A617:H617"/>
    <mergeCell ref="C638:E638"/>
    <mergeCell ref="G638:H638"/>
    <mergeCell ref="C639:E639"/>
    <mergeCell ref="G639:H639"/>
    <mergeCell ref="A641:H641"/>
    <mergeCell ref="C642:E642"/>
    <mergeCell ref="G642:H642"/>
    <mergeCell ref="C633:E633"/>
    <mergeCell ref="G633:H633"/>
    <mergeCell ref="C634:E634"/>
    <mergeCell ref="G634:H634"/>
    <mergeCell ref="A636:H636"/>
    <mergeCell ref="C637:E637"/>
    <mergeCell ref="G637:H637"/>
    <mergeCell ref="C628:E628"/>
    <mergeCell ref="G628:H628"/>
    <mergeCell ref="C629:E629"/>
    <mergeCell ref="G629:H629"/>
    <mergeCell ref="A631:H631"/>
    <mergeCell ref="C632:E632"/>
    <mergeCell ref="G632:H632"/>
    <mergeCell ref="C653:E653"/>
    <mergeCell ref="G653:H653"/>
    <mergeCell ref="C654:E654"/>
    <mergeCell ref="G654:H654"/>
    <mergeCell ref="C655:E655"/>
    <mergeCell ref="G655:H655"/>
    <mergeCell ref="C648:E648"/>
    <mergeCell ref="G648:H648"/>
    <mergeCell ref="C649:E649"/>
    <mergeCell ref="G649:H649"/>
    <mergeCell ref="A651:H651"/>
    <mergeCell ref="C652:E652"/>
    <mergeCell ref="G652:H652"/>
    <mergeCell ref="C643:E643"/>
    <mergeCell ref="G643:H643"/>
    <mergeCell ref="C644:E644"/>
    <mergeCell ref="G644:H644"/>
    <mergeCell ref="A646:H646"/>
    <mergeCell ref="C647:E647"/>
    <mergeCell ref="G647:H647"/>
    <mergeCell ref="C666:E666"/>
    <mergeCell ref="G666:H666"/>
    <mergeCell ref="A668:H668"/>
    <mergeCell ref="C669:E669"/>
    <mergeCell ref="G669:H669"/>
    <mergeCell ref="C670:E670"/>
    <mergeCell ref="G670:H670"/>
    <mergeCell ref="C661:E661"/>
    <mergeCell ref="G661:H661"/>
    <mergeCell ref="C662:E662"/>
    <mergeCell ref="G662:H662"/>
    <mergeCell ref="A664:H664"/>
    <mergeCell ref="C665:E665"/>
    <mergeCell ref="G665:H665"/>
    <mergeCell ref="C656:E656"/>
    <mergeCell ref="G656:H656"/>
    <mergeCell ref="A658:H658"/>
    <mergeCell ref="C659:E659"/>
    <mergeCell ref="G659:H659"/>
    <mergeCell ref="C660:E660"/>
    <mergeCell ref="G660:H660"/>
    <mergeCell ref="A682:H682"/>
    <mergeCell ref="C683:E683"/>
    <mergeCell ref="G683:H683"/>
    <mergeCell ref="C684:E684"/>
    <mergeCell ref="G684:H684"/>
    <mergeCell ref="A686:H686"/>
    <mergeCell ref="A677:H677"/>
    <mergeCell ref="C678:E678"/>
    <mergeCell ref="G678:H678"/>
    <mergeCell ref="C679:E679"/>
    <mergeCell ref="G679:H679"/>
    <mergeCell ref="C680:E680"/>
    <mergeCell ref="G680:H680"/>
    <mergeCell ref="C671:E671"/>
    <mergeCell ref="G671:H671"/>
    <mergeCell ref="A673:H673"/>
    <mergeCell ref="C674:E674"/>
    <mergeCell ref="G674:H674"/>
    <mergeCell ref="C675:E675"/>
    <mergeCell ref="G675:H675"/>
    <mergeCell ref="A696:H696"/>
    <mergeCell ref="C697:E697"/>
    <mergeCell ref="G697:H697"/>
    <mergeCell ref="C698:E698"/>
    <mergeCell ref="G698:H698"/>
    <mergeCell ref="C699:E699"/>
    <mergeCell ref="G699:H699"/>
    <mergeCell ref="A691:H691"/>
    <mergeCell ref="C692:E692"/>
    <mergeCell ref="G692:H692"/>
    <mergeCell ref="C693:E693"/>
    <mergeCell ref="G693:H693"/>
    <mergeCell ref="C694:E694"/>
    <mergeCell ref="G694:H694"/>
    <mergeCell ref="C687:E687"/>
    <mergeCell ref="G687:H687"/>
    <mergeCell ref="C688:E688"/>
    <mergeCell ref="G688:H688"/>
    <mergeCell ref="C689:E689"/>
    <mergeCell ref="G689:H689"/>
    <mergeCell ref="G715:H715"/>
    <mergeCell ref="C716:E716"/>
    <mergeCell ref="G716:H716"/>
    <mergeCell ref="C710:E710"/>
    <mergeCell ref="G710:H710"/>
    <mergeCell ref="A712:H712"/>
    <mergeCell ref="C713:E713"/>
    <mergeCell ref="G713:H713"/>
    <mergeCell ref="C705:E705"/>
    <mergeCell ref="G705:H705"/>
    <mergeCell ref="C706:E706"/>
    <mergeCell ref="G706:H706"/>
    <mergeCell ref="A708:H708"/>
    <mergeCell ref="C709:E709"/>
    <mergeCell ref="G709:H709"/>
    <mergeCell ref="C700:E700"/>
    <mergeCell ref="G700:H700"/>
    <mergeCell ref="A702:H702"/>
    <mergeCell ref="C703:E703"/>
    <mergeCell ref="G703:H703"/>
    <mergeCell ref="C704:E704"/>
    <mergeCell ref="G704:H704"/>
    <mergeCell ref="E735:H735"/>
    <mergeCell ref="G2:H2"/>
    <mergeCell ref="C732:E732"/>
    <mergeCell ref="G732:H732"/>
    <mergeCell ref="C733:E733"/>
    <mergeCell ref="G733:H733"/>
    <mergeCell ref="C734:E734"/>
    <mergeCell ref="G734:H734"/>
    <mergeCell ref="C729:E729"/>
    <mergeCell ref="G729:H729"/>
    <mergeCell ref="C730:E730"/>
    <mergeCell ref="G730:H730"/>
    <mergeCell ref="C731:E731"/>
    <mergeCell ref="G731:H731"/>
    <mergeCell ref="C726:E726"/>
    <mergeCell ref="G726:H726"/>
    <mergeCell ref="C727:E727"/>
    <mergeCell ref="G727:H727"/>
    <mergeCell ref="C728:E728"/>
    <mergeCell ref="G728:H728"/>
    <mergeCell ref="C722:E722"/>
    <mergeCell ref="G722:H722"/>
    <mergeCell ref="A724:H724"/>
    <mergeCell ref="C725:E725"/>
    <mergeCell ref="G725:H725"/>
    <mergeCell ref="A718:H718"/>
    <mergeCell ref="C719:E719"/>
    <mergeCell ref="G719:H719"/>
    <mergeCell ref="A721:H721"/>
    <mergeCell ref="C714:E714"/>
    <mergeCell ref="G714:H714"/>
    <mergeCell ref="C715:E715"/>
  </mergeCells>
  <pageMargins left="0.78740157480314965" right="0.78740157480314965" top="0.39370078740157483" bottom="0.39370078740157483" header="0.19685039370078741" footer="0.19685039370078741"/>
  <pageSetup scale="90" pageOrder="overThenDown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0"/>
  <sheetViews>
    <sheetView zoomScale="90" zoomScaleNormal="90" zoomScalePageLayoutView="70" workbookViewId="0">
      <selection activeCell="F29" sqref="F29:F30"/>
    </sheetView>
  </sheetViews>
  <sheetFormatPr defaultColWidth="3.28515625" defaultRowHeight="12.75" x14ac:dyDescent="0.2"/>
  <cols>
    <col min="1" max="1" width="3.28515625" style="148" customWidth="1"/>
    <col min="2" max="2" width="10.85546875" style="190" customWidth="1"/>
    <col min="3" max="3" width="36" style="161" customWidth="1"/>
    <col min="4" max="4" width="3.42578125" style="161" customWidth="1"/>
    <col min="5" max="5" width="11.28515625" style="161" customWidth="1"/>
    <col min="6" max="6" width="9.85546875" style="148" customWidth="1"/>
    <col min="7" max="7" width="10.7109375" style="148" customWidth="1"/>
    <col min="8" max="8" width="11.7109375" style="148" customWidth="1"/>
    <col min="9" max="9" width="12.140625" style="148" customWidth="1"/>
    <col min="10" max="11" width="11.5703125" style="148" customWidth="1"/>
    <col min="12" max="12" width="11.140625" style="148" customWidth="1"/>
    <col min="13" max="13" width="12.140625" style="148" customWidth="1"/>
    <col min="14" max="14" width="11.42578125" style="148" customWidth="1"/>
    <col min="15" max="15" width="12.140625" style="148" customWidth="1"/>
    <col min="16" max="16" width="12.28515625" style="148" customWidth="1"/>
    <col min="17" max="17" width="11.140625" style="148" customWidth="1"/>
    <col min="18" max="18" width="11.28515625" style="148" customWidth="1"/>
    <col min="19" max="19" width="11.7109375" style="148" customWidth="1"/>
    <col min="20" max="20" width="11.42578125" style="148" customWidth="1"/>
    <col min="21" max="21" width="11.28515625" style="148" customWidth="1"/>
    <col min="22" max="22" width="12.140625" style="148" customWidth="1"/>
    <col min="23" max="23" width="12.5703125" style="148" customWidth="1"/>
    <col min="24" max="24" width="12.85546875" style="148" customWidth="1"/>
    <col min="25" max="255" width="9.140625" style="148" customWidth="1"/>
    <col min="256" max="256" width="3.28515625" style="148"/>
    <col min="257" max="257" width="3.28515625" style="148" customWidth="1"/>
    <col min="258" max="258" width="10.85546875" style="148" customWidth="1"/>
    <col min="259" max="259" width="36" style="148" customWidth="1"/>
    <col min="260" max="260" width="3.42578125" style="148" customWidth="1"/>
    <col min="261" max="261" width="11.28515625" style="148" customWidth="1"/>
    <col min="262" max="262" width="9.85546875" style="148" customWidth="1"/>
    <col min="263" max="263" width="10.7109375" style="148" customWidth="1"/>
    <col min="264" max="264" width="11.7109375" style="148" customWidth="1"/>
    <col min="265" max="265" width="12.140625" style="148" customWidth="1"/>
    <col min="266" max="267" width="11.5703125" style="148" customWidth="1"/>
    <col min="268" max="268" width="11.140625" style="148" customWidth="1"/>
    <col min="269" max="269" width="12.140625" style="148" customWidth="1"/>
    <col min="270" max="270" width="11.42578125" style="148" customWidth="1"/>
    <col min="271" max="271" width="12.140625" style="148" customWidth="1"/>
    <col min="272" max="272" width="12.28515625" style="148" customWidth="1"/>
    <col min="273" max="273" width="11.140625" style="148" customWidth="1"/>
    <col min="274" max="274" width="11.28515625" style="148" customWidth="1"/>
    <col min="275" max="275" width="11.7109375" style="148" customWidth="1"/>
    <col min="276" max="276" width="11.42578125" style="148" customWidth="1"/>
    <col min="277" max="277" width="11.28515625" style="148" customWidth="1"/>
    <col min="278" max="278" width="11.140625" style="148" customWidth="1"/>
    <col min="279" max="279" width="12.5703125" style="148" customWidth="1"/>
    <col min="280" max="280" width="12.85546875" style="148" customWidth="1"/>
    <col min="281" max="511" width="9.140625" style="148" customWidth="1"/>
    <col min="512" max="512" width="3.28515625" style="148"/>
    <col min="513" max="513" width="3.28515625" style="148" customWidth="1"/>
    <col min="514" max="514" width="10.85546875" style="148" customWidth="1"/>
    <col min="515" max="515" width="36" style="148" customWidth="1"/>
    <col min="516" max="516" width="3.42578125" style="148" customWidth="1"/>
    <col min="517" max="517" width="11.28515625" style="148" customWidth="1"/>
    <col min="518" max="518" width="9.85546875" style="148" customWidth="1"/>
    <col min="519" max="519" width="10.7109375" style="148" customWidth="1"/>
    <col min="520" max="520" width="11.7109375" style="148" customWidth="1"/>
    <col min="521" max="521" width="12.140625" style="148" customWidth="1"/>
    <col min="522" max="523" width="11.5703125" style="148" customWidth="1"/>
    <col min="524" max="524" width="11.140625" style="148" customWidth="1"/>
    <col min="525" max="525" width="12.140625" style="148" customWidth="1"/>
    <col min="526" max="526" width="11.42578125" style="148" customWidth="1"/>
    <col min="527" max="527" width="12.140625" style="148" customWidth="1"/>
    <col min="528" max="528" width="12.28515625" style="148" customWidth="1"/>
    <col min="529" max="529" width="11.140625" style="148" customWidth="1"/>
    <col min="530" max="530" width="11.28515625" style="148" customWidth="1"/>
    <col min="531" max="531" width="11.7109375" style="148" customWidth="1"/>
    <col min="532" max="532" width="11.42578125" style="148" customWidth="1"/>
    <col min="533" max="533" width="11.28515625" style="148" customWidth="1"/>
    <col min="534" max="534" width="11.140625" style="148" customWidth="1"/>
    <col min="535" max="535" width="12.5703125" style="148" customWidth="1"/>
    <col min="536" max="536" width="12.85546875" style="148" customWidth="1"/>
    <col min="537" max="767" width="9.140625" style="148" customWidth="1"/>
    <col min="768" max="768" width="3.28515625" style="148"/>
    <col min="769" max="769" width="3.28515625" style="148" customWidth="1"/>
    <col min="770" max="770" width="10.85546875" style="148" customWidth="1"/>
    <col min="771" max="771" width="36" style="148" customWidth="1"/>
    <col min="772" max="772" width="3.42578125" style="148" customWidth="1"/>
    <col min="773" max="773" width="11.28515625" style="148" customWidth="1"/>
    <col min="774" max="774" width="9.85546875" style="148" customWidth="1"/>
    <col min="775" max="775" width="10.7109375" style="148" customWidth="1"/>
    <col min="776" max="776" width="11.7109375" style="148" customWidth="1"/>
    <col min="777" max="777" width="12.140625" style="148" customWidth="1"/>
    <col min="778" max="779" width="11.5703125" style="148" customWidth="1"/>
    <col min="780" max="780" width="11.140625" style="148" customWidth="1"/>
    <col min="781" max="781" width="12.140625" style="148" customWidth="1"/>
    <col min="782" max="782" width="11.42578125" style="148" customWidth="1"/>
    <col min="783" max="783" width="12.140625" style="148" customWidth="1"/>
    <col min="784" max="784" width="12.28515625" style="148" customWidth="1"/>
    <col min="785" max="785" width="11.140625" style="148" customWidth="1"/>
    <col min="786" max="786" width="11.28515625" style="148" customWidth="1"/>
    <col min="787" max="787" width="11.7109375" style="148" customWidth="1"/>
    <col min="788" max="788" width="11.42578125" style="148" customWidth="1"/>
    <col min="789" max="789" width="11.28515625" style="148" customWidth="1"/>
    <col min="790" max="790" width="11.140625" style="148" customWidth="1"/>
    <col min="791" max="791" width="12.5703125" style="148" customWidth="1"/>
    <col min="792" max="792" width="12.85546875" style="148" customWidth="1"/>
    <col min="793" max="1023" width="9.140625" style="148" customWidth="1"/>
    <col min="1024" max="1024" width="3.28515625" style="148"/>
    <col min="1025" max="1025" width="3.28515625" style="148" customWidth="1"/>
    <col min="1026" max="1026" width="10.85546875" style="148" customWidth="1"/>
    <col min="1027" max="1027" width="36" style="148" customWidth="1"/>
    <col min="1028" max="1028" width="3.42578125" style="148" customWidth="1"/>
    <col min="1029" max="1029" width="11.28515625" style="148" customWidth="1"/>
    <col min="1030" max="1030" width="9.85546875" style="148" customWidth="1"/>
    <col min="1031" max="1031" width="10.7109375" style="148" customWidth="1"/>
    <col min="1032" max="1032" width="11.7109375" style="148" customWidth="1"/>
    <col min="1033" max="1033" width="12.140625" style="148" customWidth="1"/>
    <col min="1034" max="1035" width="11.5703125" style="148" customWidth="1"/>
    <col min="1036" max="1036" width="11.140625" style="148" customWidth="1"/>
    <col min="1037" max="1037" width="12.140625" style="148" customWidth="1"/>
    <col min="1038" max="1038" width="11.42578125" style="148" customWidth="1"/>
    <col min="1039" max="1039" width="12.140625" style="148" customWidth="1"/>
    <col min="1040" max="1040" width="12.28515625" style="148" customWidth="1"/>
    <col min="1041" max="1041" width="11.140625" style="148" customWidth="1"/>
    <col min="1042" max="1042" width="11.28515625" style="148" customWidth="1"/>
    <col min="1043" max="1043" width="11.7109375" style="148" customWidth="1"/>
    <col min="1044" max="1044" width="11.42578125" style="148" customWidth="1"/>
    <col min="1045" max="1045" width="11.28515625" style="148" customWidth="1"/>
    <col min="1046" max="1046" width="11.140625" style="148" customWidth="1"/>
    <col min="1047" max="1047" width="12.5703125" style="148" customWidth="1"/>
    <col min="1048" max="1048" width="12.85546875" style="148" customWidth="1"/>
    <col min="1049" max="1279" width="9.140625" style="148" customWidth="1"/>
    <col min="1280" max="1280" width="3.28515625" style="148"/>
    <col min="1281" max="1281" width="3.28515625" style="148" customWidth="1"/>
    <col min="1282" max="1282" width="10.85546875" style="148" customWidth="1"/>
    <col min="1283" max="1283" width="36" style="148" customWidth="1"/>
    <col min="1284" max="1284" width="3.42578125" style="148" customWidth="1"/>
    <col min="1285" max="1285" width="11.28515625" style="148" customWidth="1"/>
    <col min="1286" max="1286" width="9.85546875" style="148" customWidth="1"/>
    <col min="1287" max="1287" width="10.7109375" style="148" customWidth="1"/>
    <col min="1288" max="1288" width="11.7109375" style="148" customWidth="1"/>
    <col min="1289" max="1289" width="12.140625" style="148" customWidth="1"/>
    <col min="1290" max="1291" width="11.5703125" style="148" customWidth="1"/>
    <col min="1292" max="1292" width="11.140625" style="148" customWidth="1"/>
    <col min="1293" max="1293" width="12.140625" style="148" customWidth="1"/>
    <col min="1294" max="1294" width="11.42578125" style="148" customWidth="1"/>
    <col min="1295" max="1295" width="12.140625" style="148" customWidth="1"/>
    <col min="1296" max="1296" width="12.28515625" style="148" customWidth="1"/>
    <col min="1297" max="1297" width="11.140625" style="148" customWidth="1"/>
    <col min="1298" max="1298" width="11.28515625" style="148" customWidth="1"/>
    <col min="1299" max="1299" width="11.7109375" style="148" customWidth="1"/>
    <col min="1300" max="1300" width="11.42578125" style="148" customWidth="1"/>
    <col min="1301" max="1301" width="11.28515625" style="148" customWidth="1"/>
    <col min="1302" max="1302" width="11.140625" style="148" customWidth="1"/>
    <col min="1303" max="1303" width="12.5703125" style="148" customWidth="1"/>
    <col min="1304" max="1304" width="12.85546875" style="148" customWidth="1"/>
    <col min="1305" max="1535" width="9.140625" style="148" customWidth="1"/>
    <col min="1536" max="1536" width="3.28515625" style="148"/>
    <col min="1537" max="1537" width="3.28515625" style="148" customWidth="1"/>
    <col min="1538" max="1538" width="10.85546875" style="148" customWidth="1"/>
    <col min="1539" max="1539" width="36" style="148" customWidth="1"/>
    <col min="1540" max="1540" width="3.42578125" style="148" customWidth="1"/>
    <col min="1541" max="1541" width="11.28515625" style="148" customWidth="1"/>
    <col min="1542" max="1542" width="9.85546875" style="148" customWidth="1"/>
    <col min="1543" max="1543" width="10.7109375" style="148" customWidth="1"/>
    <col min="1544" max="1544" width="11.7109375" style="148" customWidth="1"/>
    <col min="1545" max="1545" width="12.140625" style="148" customWidth="1"/>
    <col min="1546" max="1547" width="11.5703125" style="148" customWidth="1"/>
    <col min="1548" max="1548" width="11.140625" style="148" customWidth="1"/>
    <col min="1549" max="1549" width="12.140625" style="148" customWidth="1"/>
    <col min="1550" max="1550" width="11.42578125" style="148" customWidth="1"/>
    <col min="1551" max="1551" width="12.140625" style="148" customWidth="1"/>
    <col min="1552" max="1552" width="12.28515625" style="148" customWidth="1"/>
    <col min="1553" max="1553" width="11.140625" style="148" customWidth="1"/>
    <col min="1554" max="1554" width="11.28515625" style="148" customWidth="1"/>
    <col min="1555" max="1555" width="11.7109375" style="148" customWidth="1"/>
    <col min="1556" max="1556" width="11.42578125" style="148" customWidth="1"/>
    <col min="1557" max="1557" width="11.28515625" style="148" customWidth="1"/>
    <col min="1558" max="1558" width="11.140625" style="148" customWidth="1"/>
    <col min="1559" max="1559" width="12.5703125" style="148" customWidth="1"/>
    <col min="1560" max="1560" width="12.85546875" style="148" customWidth="1"/>
    <col min="1561" max="1791" width="9.140625" style="148" customWidth="1"/>
    <col min="1792" max="1792" width="3.28515625" style="148"/>
    <col min="1793" max="1793" width="3.28515625" style="148" customWidth="1"/>
    <col min="1794" max="1794" width="10.85546875" style="148" customWidth="1"/>
    <col min="1795" max="1795" width="36" style="148" customWidth="1"/>
    <col min="1796" max="1796" width="3.42578125" style="148" customWidth="1"/>
    <col min="1797" max="1797" width="11.28515625" style="148" customWidth="1"/>
    <col min="1798" max="1798" width="9.85546875" style="148" customWidth="1"/>
    <col min="1799" max="1799" width="10.7109375" style="148" customWidth="1"/>
    <col min="1800" max="1800" width="11.7109375" style="148" customWidth="1"/>
    <col min="1801" max="1801" width="12.140625" style="148" customWidth="1"/>
    <col min="1802" max="1803" width="11.5703125" style="148" customWidth="1"/>
    <col min="1804" max="1804" width="11.140625" style="148" customWidth="1"/>
    <col min="1805" max="1805" width="12.140625" style="148" customWidth="1"/>
    <col min="1806" max="1806" width="11.42578125" style="148" customWidth="1"/>
    <col min="1807" max="1807" width="12.140625" style="148" customWidth="1"/>
    <col min="1808" max="1808" width="12.28515625" style="148" customWidth="1"/>
    <col min="1809" max="1809" width="11.140625" style="148" customWidth="1"/>
    <col min="1810" max="1810" width="11.28515625" style="148" customWidth="1"/>
    <col min="1811" max="1811" width="11.7109375" style="148" customWidth="1"/>
    <col min="1812" max="1812" width="11.42578125" style="148" customWidth="1"/>
    <col min="1813" max="1813" width="11.28515625" style="148" customWidth="1"/>
    <col min="1814" max="1814" width="11.140625" style="148" customWidth="1"/>
    <col min="1815" max="1815" width="12.5703125" style="148" customWidth="1"/>
    <col min="1816" max="1816" width="12.85546875" style="148" customWidth="1"/>
    <col min="1817" max="2047" width="9.140625" style="148" customWidth="1"/>
    <col min="2048" max="2048" width="3.28515625" style="148"/>
    <col min="2049" max="2049" width="3.28515625" style="148" customWidth="1"/>
    <col min="2050" max="2050" width="10.85546875" style="148" customWidth="1"/>
    <col min="2051" max="2051" width="36" style="148" customWidth="1"/>
    <col min="2052" max="2052" width="3.42578125" style="148" customWidth="1"/>
    <col min="2053" max="2053" width="11.28515625" style="148" customWidth="1"/>
    <col min="2054" max="2054" width="9.85546875" style="148" customWidth="1"/>
    <col min="2055" max="2055" width="10.7109375" style="148" customWidth="1"/>
    <col min="2056" max="2056" width="11.7109375" style="148" customWidth="1"/>
    <col min="2057" max="2057" width="12.140625" style="148" customWidth="1"/>
    <col min="2058" max="2059" width="11.5703125" style="148" customWidth="1"/>
    <col min="2060" max="2060" width="11.140625" style="148" customWidth="1"/>
    <col min="2061" max="2061" width="12.140625" style="148" customWidth="1"/>
    <col min="2062" max="2062" width="11.42578125" style="148" customWidth="1"/>
    <col min="2063" max="2063" width="12.140625" style="148" customWidth="1"/>
    <col min="2064" max="2064" width="12.28515625" style="148" customWidth="1"/>
    <col min="2065" max="2065" width="11.140625" style="148" customWidth="1"/>
    <col min="2066" max="2066" width="11.28515625" style="148" customWidth="1"/>
    <col min="2067" max="2067" width="11.7109375" style="148" customWidth="1"/>
    <col min="2068" max="2068" width="11.42578125" style="148" customWidth="1"/>
    <col min="2069" max="2069" width="11.28515625" style="148" customWidth="1"/>
    <col min="2070" max="2070" width="11.140625" style="148" customWidth="1"/>
    <col min="2071" max="2071" width="12.5703125" style="148" customWidth="1"/>
    <col min="2072" max="2072" width="12.85546875" style="148" customWidth="1"/>
    <col min="2073" max="2303" width="9.140625" style="148" customWidth="1"/>
    <col min="2304" max="2304" width="3.28515625" style="148"/>
    <col min="2305" max="2305" width="3.28515625" style="148" customWidth="1"/>
    <col min="2306" max="2306" width="10.85546875" style="148" customWidth="1"/>
    <col min="2307" max="2307" width="36" style="148" customWidth="1"/>
    <col min="2308" max="2308" width="3.42578125" style="148" customWidth="1"/>
    <col min="2309" max="2309" width="11.28515625" style="148" customWidth="1"/>
    <col min="2310" max="2310" width="9.85546875" style="148" customWidth="1"/>
    <col min="2311" max="2311" width="10.7109375" style="148" customWidth="1"/>
    <col min="2312" max="2312" width="11.7109375" style="148" customWidth="1"/>
    <col min="2313" max="2313" width="12.140625" style="148" customWidth="1"/>
    <col min="2314" max="2315" width="11.5703125" style="148" customWidth="1"/>
    <col min="2316" max="2316" width="11.140625" style="148" customWidth="1"/>
    <col min="2317" max="2317" width="12.140625" style="148" customWidth="1"/>
    <col min="2318" max="2318" width="11.42578125" style="148" customWidth="1"/>
    <col min="2319" max="2319" width="12.140625" style="148" customWidth="1"/>
    <col min="2320" max="2320" width="12.28515625" style="148" customWidth="1"/>
    <col min="2321" max="2321" width="11.140625" style="148" customWidth="1"/>
    <col min="2322" max="2322" width="11.28515625" style="148" customWidth="1"/>
    <col min="2323" max="2323" width="11.7109375" style="148" customWidth="1"/>
    <col min="2324" max="2324" width="11.42578125" style="148" customWidth="1"/>
    <col min="2325" max="2325" width="11.28515625" style="148" customWidth="1"/>
    <col min="2326" max="2326" width="11.140625" style="148" customWidth="1"/>
    <col min="2327" max="2327" width="12.5703125" style="148" customWidth="1"/>
    <col min="2328" max="2328" width="12.85546875" style="148" customWidth="1"/>
    <col min="2329" max="2559" width="9.140625" style="148" customWidth="1"/>
    <col min="2560" max="2560" width="3.28515625" style="148"/>
    <col min="2561" max="2561" width="3.28515625" style="148" customWidth="1"/>
    <col min="2562" max="2562" width="10.85546875" style="148" customWidth="1"/>
    <col min="2563" max="2563" width="36" style="148" customWidth="1"/>
    <col min="2564" max="2564" width="3.42578125" style="148" customWidth="1"/>
    <col min="2565" max="2565" width="11.28515625" style="148" customWidth="1"/>
    <col min="2566" max="2566" width="9.85546875" style="148" customWidth="1"/>
    <col min="2567" max="2567" width="10.7109375" style="148" customWidth="1"/>
    <col min="2568" max="2568" width="11.7109375" style="148" customWidth="1"/>
    <col min="2569" max="2569" width="12.140625" style="148" customWidth="1"/>
    <col min="2570" max="2571" width="11.5703125" style="148" customWidth="1"/>
    <col min="2572" max="2572" width="11.140625" style="148" customWidth="1"/>
    <col min="2573" max="2573" width="12.140625" style="148" customWidth="1"/>
    <col min="2574" max="2574" width="11.42578125" style="148" customWidth="1"/>
    <col min="2575" max="2575" width="12.140625" style="148" customWidth="1"/>
    <col min="2576" max="2576" width="12.28515625" style="148" customWidth="1"/>
    <col min="2577" max="2577" width="11.140625" style="148" customWidth="1"/>
    <col min="2578" max="2578" width="11.28515625" style="148" customWidth="1"/>
    <col min="2579" max="2579" width="11.7109375" style="148" customWidth="1"/>
    <col min="2580" max="2580" width="11.42578125" style="148" customWidth="1"/>
    <col min="2581" max="2581" width="11.28515625" style="148" customWidth="1"/>
    <col min="2582" max="2582" width="11.140625" style="148" customWidth="1"/>
    <col min="2583" max="2583" width="12.5703125" style="148" customWidth="1"/>
    <col min="2584" max="2584" width="12.85546875" style="148" customWidth="1"/>
    <col min="2585" max="2815" width="9.140625" style="148" customWidth="1"/>
    <col min="2816" max="2816" width="3.28515625" style="148"/>
    <col min="2817" max="2817" width="3.28515625" style="148" customWidth="1"/>
    <col min="2818" max="2818" width="10.85546875" style="148" customWidth="1"/>
    <col min="2819" max="2819" width="36" style="148" customWidth="1"/>
    <col min="2820" max="2820" width="3.42578125" style="148" customWidth="1"/>
    <col min="2821" max="2821" width="11.28515625" style="148" customWidth="1"/>
    <col min="2822" max="2822" width="9.85546875" style="148" customWidth="1"/>
    <col min="2823" max="2823" width="10.7109375" style="148" customWidth="1"/>
    <col min="2824" max="2824" width="11.7109375" style="148" customWidth="1"/>
    <col min="2825" max="2825" width="12.140625" style="148" customWidth="1"/>
    <col min="2826" max="2827" width="11.5703125" style="148" customWidth="1"/>
    <col min="2828" max="2828" width="11.140625" style="148" customWidth="1"/>
    <col min="2829" max="2829" width="12.140625" style="148" customWidth="1"/>
    <col min="2830" max="2830" width="11.42578125" style="148" customWidth="1"/>
    <col min="2831" max="2831" width="12.140625" style="148" customWidth="1"/>
    <col min="2832" max="2832" width="12.28515625" style="148" customWidth="1"/>
    <col min="2833" max="2833" width="11.140625" style="148" customWidth="1"/>
    <col min="2834" max="2834" width="11.28515625" style="148" customWidth="1"/>
    <col min="2835" max="2835" width="11.7109375" style="148" customWidth="1"/>
    <col min="2836" max="2836" width="11.42578125" style="148" customWidth="1"/>
    <col min="2837" max="2837" width="11.28515625" style="148" customWidth="1"/>
    <col min="2838" max="2838" width="11.140625" style="148" customWidth="1"/>
    <col min="2839" max="2839" width="12.5703125" style="148" customWidth="1"/>
    <col min="2840" max="2840" width="12.85546875" style="148" customWidth="1"/>
    <col min="2841" max="3071" width="9.140625" style="148" customWidth="1"/>
    <col min="3072" max="3072" width="3.28515625" style="148"/>
    <col min="3073" max="3073" width="3.28515625" style="148" customWidth="1"/>
    <col min="3074" max="3074" width="10.85546875" style="148" customWidth="1"/>
    <col min="3075" max="3075" width="36" style="148" customWidth="1"/>
    <col min="3076" max="3076" width="3.42578125" style="148" customWidth="1"/>
    <col min="3077" max="3077" width="11.28515625" style="148" customWidth="1"/>
    <col min="3078" max="3078" width="9.85546875" style="148" customWidth="1"/>
    <col min="3079" max="3079" width="10.7109375" style="148" customWidth="1"/>
    <col min="3080" max="3080" width="11.7109375" style="148" customWidth="1"/>
    <col min="3081" max="3081" width="12.140625" style="148" customWidth="1"/>
    <col min="3082" max="3083" width="11.5703125" style="148" customWidth="1"/>
    <col min="3084" max="3084" width="11.140625" style="148" customWidth="1"/>
    <col min="3085" max="3085" width="12.140625" style="148" customWidth="1"/>
    <col min="3086" max="3086" width="11.42578125" style="148" customWidth="1"/>
    <col min="3087" max="3087" width="12.140625" style="148" customWidth="1"/>
    <col min="3088" max="3088" width="12.28515625" style="148" customWidth="1"/>
    <col min="3089" max="3089" width="11.140625" style="148" customWidth="1"/>
    <col min="3090" max="3090" width="11.28515625" style="148" customWidth="1"/>
    <col min="3091" max="3091" width="11.7109375" style="148" customWidth="1"/>
    <col min="3092" max="3092" width="11.42578125" style="148" customWidth="1"/>
    <col min="3093" max="3093" width="11.28515625" style="148" customWidth="1"/>
    <col min="3094" max="3094" width="11.140625" style="148" customWidth="1"/>
    <col min="3095" max="3095" width="12.5703125" style="148" customWidth="1"/>
    <col min="3096" max="3096" width="12.85546875" style="148" customWidth="1"/>
    <col min="3097" max="3327" width="9.140625" style="148" customWidth="1"/>
    <col min="3328" max="3328" width="3.28515625" style="148"/>
    <col min="3329" max="3329" width="3.28515625" style="148" customWidth="1"/>
    <col min="3330" max="3330" width="10.85546875" style="148" customWidth="1"/>
    <col min="3331" max="3331" width="36" style="148" customWidth="1"/>
    <col min="3332" max="3332" width="3.42578125" style="148" customWidth="1"/>
    <col min="3333" max="3333" width="11.28515625" style="148" customWidth="1"/>
    <col min="3334" max="3334" width="9.85546875" style="148" customWidth="1"/>
    <col min="3335" max="3335" width="10.7109375" style="148" customWidth="1"/>
    <col min="3336" max="3336" width="11.7109375" style="148" customWidth="1"/>
    <col min="3337" max="3337" width="12.140625" style="148" customWidth="1"/>
    <col min="3338" max="3339" width="11.5703125" style="148" customWidth="1"/>
    <col min="3340" max="3340" width="11.140625" style="148" customWidth="1"/>
    <col min="3341" max="3341" width="12.140625" style="148" customWidth="1"/>
    <col min="3342" max="3342" width="11.42578125" style="148" customWidth="1"/>
    <col min="3343" max="3343" width="12.140625" style="148" customWidth="1"/>
    <col min="3344" max="3344" width="12.28515625" style="148" customWidth="1"/>
    <col min="3345" max="3345" width="11.140625" style="148" customWidth="1"/>
    <col min="3346" max="3346" width="11.28515625" style="148" customWidth="1"/>
    <col min="3347" max="3347" width="11.7109375" style="148" customWidth="1"/>
    <col min="3348" max="3348" width="11.42578125" style="148" customWidth="1"/>
    <col min="3349" max="3349" width="11.28515625" style="148" customWidth="1"/>
    <col min="3350" max="3350" width="11.140625" style="148" customWidth="1"/>
    <col min="3351" max="3351" width="12.5703125" style="148" customWidth="1"/>
    <col min="3352" max="3352" width="12.85546875" style="148" customWidth="1"/>
    <col min="3353" max="3583" width="9.140625" style="148" customWidth="1"/>
    <col min="3584" max="3584" width="3.28515625" style="148"/>
    <col min="3585" max="3585" width="3.28515625" style="148" customWidth="1"/>
    <col min="3586" max="3586" width="10.85546875" style="148" customWidth="1"/>
    <col min="3587" max="3587" width="36" style="148" customWidth="1"/>
    <col min="3588" max="3588" width="3.42578125" style="148" customWidth="1"/>
    <col min="3589" max="3589" width="11.28515625" style="148" customWidth="1"/>
    <col min="3590" max="3590" width="9.85546875" style="148" customWidth="1"/>
    <col min="3591" max="3591" width="10.7109375" style="148" customWidth="1"/>
    <col min="3592" max="3592" width="11.7109375" style="148" customWidth="1"/>
    <col min="3593" max="3593" width="12.140625" style="148" customWidth="1"/>
    <col min="3594" max="3595" width="11.5703125" style="148" customWidth="1"/>
    <col min="3596" max="3596" width="11.140625" style="148" customWidth="1"/>
    <col min="3597" max="3597" width="12.140625" style="148" customWidth="1"/>
    <col min="3598" max="3598" width="11.42578125" style="148" customWidth="1"/>
    <col min="3599" max="3599" width="12.140625" style="148" customWidth="1"/>
    <col min="3600" max="3600" width="12.28515625" style="148" customWidth="1"/>
    <col min="3601" max="3601" width="11.140625" style="148" customWidth="1"/>
    <col min="3602" max="3602" width="11.28515625" style="148" customWidth="1"/>
    <col min="3603" max="3603" width="11.7109375" style="148" customWidth="1"/>
    <col min="3604" max="3604" width="11.42578125" style="148" customWidth="1"/>
    <col min="3605" max="3605" width="11.28515625" style="148" customWidth="1"/>
    <col min="3606" max="3606" width="11.140625" style="148" customWidth="1"/>
    <col min="3607" max="3607" width="12.5703125" style="148" customWidth="1"/>
    <col min="3608" max="3608" width="12.85546875" style="148" customWidth="1"/>
    <col min="3609" max="3839" width="9.140625" style="148" customWidth="1"/>
    <col min="3840" max="3840" width="3.28515625" style="148"/>
    <col min="3841" max="3841" width="3.28515625" style="148" customWidth="1"/>
    <col min="3842" max="3842" width="10.85546875" style="148" customWidth="1"/>
    <col min="3843" max="3843" width="36" style="148" customWidth="1"/>
    <col min="3844" max="3844" width="3.42578125" style="148" customWidth="1"/>
    <col min="3845" max="3845" width="11.28515625" style="148" customWidth="1"/>
    <col min="3846" max="3846" width="9.85546875" style="148" customWidth="1"/>
    <col min="3847" max="3847" width="10.7109375" style="148" customWidth="1"/>
    <col min="3848" max="3848" width="11.7109375" style="148" customWidth="1"/>
    <col min="3849" max="3849" width="12.140625" style="148" customWidth="1"/>
    <col min="3850" max="3851" width="11.5703125" style="148" customWidth="1"/>
    <col min="3852" max="3852" width="11.140625" style="148" customWidth="1"/>
    <col min="3853" max="3853" width="12.140625" style="148" customWidth="1"/>
    <col min="3854" max="3854" width="11.42578125" style="148" customWidth="1"/>
    <col min="3855" max="3855" width="12.140625" style="148" customWidth="1"/>
    <col min="3856" max="3856" width="12.28515625" style="148" customWidth="1"/>
    <col min="3857" max="3857" width="11.140625" style="148" customWidth="1"/>
    <col min="3858" max="3858" width="11.28515625" style="148" customWidth="1"/>
    <col min="3859" max="3859" width="11.7109375" style="148" customWidth="1"/>
    <col min="3860" max="3860" width="11.42578125" style="148" customWidth="1"/>
    <col min="3861" max="3861" width="11.28515625" style="148" customWidth="1"/>
    <col min="3862" max="3862" width="11.140625" style="148" customWidth="1"/>
    <col min="3863" max="3863" width="12.5703125" style="148" customWidth="1"/>
    <col min="3864" max="3864" width="12.85546875" style="148" customWidth="1"/>
    <col min="3865" max="4095" width="9.140625" style="148" customWidth="1"/>
    <col min="4096" max="4096" width="3.28515625" style="148"/>
    <col min="4097" max="4097" width="3.28515625" style="148" customWidth="1"/>
    <col min="4098" max="4098" width="10.85546875" style="148" customWidth="1"/>
    <col min="4099" max="4099" width="36" style="148" customWidth="1"/>
    <col min="4100" max="4100" width="3.42578125" style="148" customWidth="1"/>
    <col min="4101" max="4101" width="11.28515625" style="148" customWidth="1"/>
    <col min="4102" max="4102" width="9.85546875" style="148" customWidth="1"/>
    <col min="4103" max="4103" width="10.7109375" style="148" customWidth="1"/>
    <col min="4104" max="4104" width="11.7109375" style="148" customWidth="1"/>
    <col min="4105" max="4105" width="12.140625" style="148" customWidth="1"/>
    <col min="4106" max="4107" width="11.5703125" style="148" customWidth="1"/>
    <col min="4108" max="4108" width="11.140625" style="148" customWidth="1"/>
    <col min="4109" max="4109" width="12.140625" style="148" customWidth="1"/>
    <col min="4110" max="4110" width="11.42578125" style="148" customWidth="1"/>
    <col min="4111" max="4111" width="12.140625" style="148" customWidth="1"/>
    <col min="4112" max="4112" width="12.28515625" style="148" customWidth="1"/>
    <col min="4113" max="4113" width="11.140625" style="148" customWidth="1"/>
    <col min="4114" max="4114" width="11.28515625" style="148" customWidth="1"/>
    <col min="4115" max="4115" width="11.7109375" style="148" customWidth="1"/>
    <col min="4116" max="4116" width="11.42578125" style="148" customWidth="1"/>
    <col min="4117" max="4117" width="11.28515625" style="148" customWidth="1"/>
    <col min="4118" max="4118" width="11.140625" style="148" customWidth="1"/>
    <col min="4119" max="4119" width="12.5703125" style="148" customWidth="1"/>
    <col min="4120" max="4120" width="12.85546875" style="148" customWidth="1"/>
    <col min="4121" max="4351" width="9.140625" style="148" customWidth="1"/>
    <col min="4352" max="4352" width="3.28515625" style="148"/>
    <col min="4353" max="4353" width="3.28515625" style="148" customWidth="1"/>
    <col min="4354" max="4354" width="10.85546875" style="148" customWidth="1"/>
    <col min="4355" max="4355" width="36" style="148" customWidth="1"/>
    <col min="4356" max="4356" width="3.42578125" style="148" customWidth="1"/>
    <col min="4357" max="4357" width="11.28515625" style="148" customWidth="1"/>
    <col min="4358" max="4358" width="9.85546875" style="148" customWidth="1"/>
    <col min="4359" max="4359" width="10.7109375" style="148" customWidth="1"/>
    <col min="4360" max="4360" width="11.7109375" style="148" customWidth="1"/>
    <col min="4361" max="4361" width="12.140625" style="148" customWidth="1"/>
    <col min="4362" max="4363" width="11.5703125" style="148" customWidth="1"/>
    <col min="4364" max="4364" width="11.140625" style="148" customWidth="1"/>
    <col min="4365" max="4365" width="12.140625" style="148" customWidth="1"/>
    <col min="4366" max="4366" width="11.42578125" style="148" customWidth="1"/>
    <col min="4367" max="4367" width="12.140625" style="148" customWidth="1"/>
    <col min="4368" max="4368" width="12.28515625" style="148" customWidth="1"/>
    <col min="4369" max="4369" width="11.140625" style="148" customWidth="1"/>
    <col min="4370" max="4370" width="11.28515625" style="148" customWidth="1"/>
    <col min="4371" max="4371" width="11.7109375" style="148" customWidth="1"/>
    <col min="4372" max="4372" width="11.42578125" style="148" customWidth="1"/>
    <col min="4373" max="4373" width="11.28515625" style="148" customWidth="1"/>
    <col min="4374" max="4374" width="11.140625" style="148" customWidth="1"/>
    <col min="4375" max="4375" width="12.5703125" style="148" customWidth="1"/>
    <col min="4376" max="4376" width="12.85546875" style="148" customWidth="1"/>
    <col min="4377" max="4607" width="9.140625" style="148" customWidth="1"/>
    <col min="4608" max="4608" width="3.28515625" style="148"/>
    <col min="4609" max="4609" width="3.28515625" style="148" customWidth="1"/>
    <col min="4610" max="4610" width="10.85546875" style="148" customWidth="1"/>
    <col min="4611" max="4611" width="36" style="148" customWidth="1"/>
    <col min="4612" max="4612" width="3.42578125" style="148" customWidth="1"/>
    <col min="4613" max="4613" width="11.28515625" style="148" customWidth="1"/>
    <col min="4614" max="4614" width="9.85546875" style="148" customWidth="1"/>
    <col min="4615" max="4615" width="10.7109375" style="148" customWidth="1"/>
    <col min="4616" max="4616" width="11.7109375" style="148" customWidth="1"/>
    <col min="4617" max="4617" width="12.140625" style="148" customWidth="1"/>
    <col min="4618" max="4619" width="11.5703125" style="148" customWidth="1"/>
    <col min="4620" max="4620" width="11.140625" style="148" customWidth="1"/>
    <col min="4621" max="4621" width="12.140625" style="148" customWidth="1"/>
    <col min="4622" max="4622" width="11.42578125" style="148" customWidth="1"/>
    <col min="4623" max="4623" width="12.140625" style="148" customWidth="1"/>
    <col min="4624" max="4624" width="12.28515625" style="148" customWidth="1"/>
    <col min="4625" max="4625" width="11.140625" style="148" customWidth="1"/>
    <col min="4626" max="4626" width="11.28515625" style="148" customWidth="1"/>
    <col min="4627" max="4627" width="11.7109375" style="148" customWidth="1"/>
    <col min="4628" max="4628" width="11.42578125" style="148" customWidth="1"/>
    <col min="4629" max="4629" width="11.28515625" style="148" customWidth="1"/>
    <col min="4630" max="4630" width="11.140625" style="148" customWidth="1"/>
    <col min="4631" max="4631" width="12.5703125" style="148" customWidth="1"/>
    <col min="4632" max="4632" width="12.85546875" style="148" customWidth="1"/>
    <col min="4633" max="4863" width="9.140625" style="148" customWidth="1"/>
    <col min="4864" max="4864" width="3.28515625" style="148"/>
    <col min="4865" max="4865" width="3.28515625" style="148" customWidth="1"/>
    <col min="4866" max="4866" width="10.85546875" style="148" customWidth="1"/>
    <col min="4867" max="4867" width="36" style="148" customWidth="1"/>
    <col min="4868" max="4868" width="3.42578125" style="148" customWidth="1"/>
    <col min="4869" max="4869" width="11.28515625" style="148" customWidth="1"/>
    <col min="4870" max="4870" width="9.85546875" style="148" customWidth="1"/>
    <col min="4871" max="4871" width="10.7109375" style="148" customWidth="1"/>
    <col min="4872" max="4872" width="11.7109375" style="148" customWidth="1"/>
    <col min="4873" max="4873" width="12.140625" style="148" customWidth="1"/>
    <col min="4874" max="4875" width="11.5703125" style="148" customWidth="1"/>
    <col min="4876" max="4876" width="11.140625" style="148" customWidth="1"/>
    <col min="4877" max="4877" width="12.140625" style="148" customWidth="1"/>
    <col min="4878" max="4878" width="11.42578125" style="148" customWidth="1"/>
    <col min="4879" max="4879" width="12.140625" style="148" customWidth="1"/>
    <col min="4880" max="4880" width="12.28515625" style="148" customWidth="1"/>
    <col min="4881" max="4881" width="11.140625" style="148" customWidth="1"/>
    <col min="4882" max="4882" width="11.28515625" style="148" customWidth="1"/>
    <col min="4883" max="4883" width="11.7109375" style="148" customWidth="1"/>
    <col min="4884" max="4884" width="11.42578125" style="148" customWidth="1"/>
    <col min="4885" max="4885" width="11.28515625" style="148" customWidth="1"/>
    <col min="4886" max="4886" width="11.140625" style="148" customWidth="1"/>
    <col min="4887" max="4887" width="12.5703125" style="148" customWidth="1"/>
    <col min="4888" max="4888" width="12.85546875" style="148" customWidth="1"/>
    <col min="4889" max="5119" width="9.140625" style="148" customWidth="1"/>
    <col min="5120" max="5120" width="3.28515625" style="148"/>
    <col min="5121" max="5121" width="3.28515625" style="148" customWidth="1"/>
    <col min="5122" max="5122" width="10.85546875" style="148" customWidth="1"/>
    <col min="5123" max="5123" width="36" style="148" customWidth="1"/>
    <col min="5124" max="5124" width="3.42578125" style="148" customWidth="1"/>
    <col min="5125" max="5125" width="11.28515625" style="148" customWidth="1"/>
    <col min="5126" max="5126" width="9.85546875" style="148" customWidth="1"/>
    <col min="5127" max="5127" width="10.7109375" style="148" customWidth="1"/>
    <col min="5128" max="5128" width="11.7109375" style="148" customWidth="1"/>
    <col min="5129" max="5129" width="12.140625" style="148" customWidth="1"/>
    <col min="5130" max="5131" width="11.5703125" style="148" customWidth="1"/>
    <col min="5132" max="5132" width="11.140625" style="148" customWidth="1"/>
    <col min="5133" max="5133" width="12.140625" style="148" customWidth="1"/>
    <col min="5134" max="5134" width="11.42578125" style="148" customWidth="1"/>
    <col min="5135" max="5135" width="12.140625" style="148" customWidth="1"/>
    <col min="5136" max="5136" width="12.28515625" style="148" customWidth="1"/>
    <col min="5137" max="5137" width="11.140625" style="148" customWidth="1"/>
    <col min="5138" max="5138" width="11.28515625" style="148" customWidth="1"/>
    <col min="5139" max="5139" width="11.7109375" style="148" customWidth="1"/>
    <col min="5140" max="5140" width="11.42578125" style="148" customWidth="1"/>
    <col min="5141" max="5141" width="11.28515625" style="148" customWidth="1"/>
    <col min="5142" max="5142" width="11.140625" style="148" customWidth="1"/>
    <col min="5143" max="5143" width="12.5703125" style="148" customWidth="1"/>
    <col min="5144" max="5144" width="12.85546875" style="148" customWidth="1"/>
    <col min="5145" max="5375" width="9.140625" style="148" customWidth="1"/>
    <col min="5376" max="5376" width="3.28515625" style="148"/>
    <col min="5377" max="5377" width="3.28515625" style="148" customWidth="1"/>
    <col min="5378" max="5378" width="10.85546875" style="148" customWidth="1"/>
    <col min="5379" max="5379" width="36" style="148" customWidth="1"/>
    <col min="5380" max="5380" width="3.42578125" style="148" customWidth="1"/>
    <col min="5381" max="5381" width="11.28515625" style="148" customWidth="1"/>
    <col min="5382" max="5382" width="9.85546875" style="148" customWidth="1"/>
    <col min="5383" max="5383" width="10.7109375" style="148" customWidth="1"/>
    <col min="5384" max="5384" width="11.7109375" style="148" customWidth="1"/>
    <col min="5385" max="5385" width="12.140625" style="148" customWidth="1"/>
    <col min="5386" max="5387" width="11.5703125" style="148" customWidth="1"/>
    <col min="5388" max="5388" width="11.140625" style="148" customWidth="1"/>
    <col min="5389" max="5389" width="12.140625" style="148" customWidth="1"/>
    <col min="5390" max="5390" width="11.42578125" style="148" customWidth="1"/>
    <col min="5391" max="5391" width="12.140625" style="148" customWidth="1"/>
    <col min="5392" max="5392" width="12.28515625" style="148" customWidth="1"/>
    <col min="5393" max="5393" width="11.140625" style="148" customWidth="1"/>
    <col min="5394" max="5394" width="11.28515625" style="148" customWidth="1"/>
    <col min="5395" max="5395" width="11.7109375" style="148" customWidth="1"/>
    <col min="5396" max="5396" width="11.42578125" style="148" customWidth="1"/>
    <col min="5397" max="5397" width="11.28515625" style="148" customWidth="1"/>
    <col min="5398" max="5398" width="11.140625" style="148" customWidth="1"/>
    <col min="5399" max="5399" width="12.5703125" style="148" customWidth="1"/>
    <col min="5400" max="5400" width="12.85546875" style="148" customWidth="1"/>
    <col min="5401" max="5631" width="9.140625" style="148" customWidth="1"/>
    <col min="5632" max="5632" width="3.28515625" style="148"/>
    <col min="5633" max="5633" width="3.28515625" style="148" customWidth="1"/>
    <col min="5634" max="5634" width="10.85546875" style="148" customWidth="1"/>
    <col min="5635" max="5635" width="36" style="148" customWidth="1"/>
    <col min="5636" max="5636" width="3.42578125" style="148" customWidth="1"/>
    <col min="5637" max="5637" width="11.28515625" style="148" customWidth="1"/>
    <col min="5638" max="5638" width="9.85546875" style="148" customWidth="1"/>
    <col min="5639" max="5639" width="10.7109375" style="148" customWidth="1"/>
    <col min="5640" max="5640" width="11.7109375" style="148" customWidth="1"/>
    <col min="5641" max="5641" width="12.140625" style="148" customWidth="1"/>
    <col min="5642" max="5643" width="11.5703125" style="148" customWidth="1"/>
    <col min="5644" max="5644" width="11.140625" style="148" customWidth="1"/>
    <col min="5645" max="5645" width="12.140625" style="148" customWidth="1"/>
    <col min="5646" max="5646" width="11.42578125" style="148" customWidth="1"/>
    <col min="5647" max="5647" width="12.140625" style="148" customWidth="1"/>
    <col min="5648" max="5648" width="12.28515625" style="148" customWidth="1"/>
    <col min="5649" max="5649" width="11.140625" style="148" customWidth="1"/>
    <col min="5650" max="5650" width="11.28515625" style="148" customWidth="1"/>
    <col min="5651" max="5651" width="11.7109375" style="148" customWidth="1"/>
    <col min="5652" max="5652" width="11.42578125" style="148" customWidth="1"/>
    <col min="5653" max="5653" width="11.28515625" style="148" customWidth="1"/>
    <col min="5654" max="5654" width="11.140625" style="148" customWidth="1"/>
    <col min="5655" max="5655" width="12.5703125" style="148" customWidth="1"/>
    <col min="5656" max="5656" width="12.85546875" style="148" customWidth="1"/>
    <col min="5657" max="5887" width="9.140625" style="148" customWidth="1"/>
    <col min="5888" max="5888" width="3.28515625" style="148"/>
    <col min="5889" max="5889" width="3.28515625" style="148" customWidth="1"/>
    <col min="5890" max="5890" width="10.85546875" style="148" customWidth="1"/>
    <col min="5891" max="5891" width="36" style="148" customWidth="1"/>
    <col min="5892" max="5892" width="3.42578125" style="148" customWidth="1"/>
    <col min="5893" max="5893" width="11.28515625" style="148" customWidth="1"/>
    <col min="5894" max="5894" width="9.85546875" style="148" customWidth="1"/>
    <col min="5895" max="5895" width="10.7109375" style="148" customWidth="1"/>
    <col min="5896" max="5896" width="11.7109375" style="148" customWidth="1"/>
    <col min="5897" max="5897" width="12.140625" style="148" customWidth="1"/>
    <col min="5898" max="5899" width="11.5703125" style="148" customWidth="1"/>
    <col min="5900" max="5900" width="11.140625" style="148" customWidth="1"/>
    <col min="5901" max="5901" width="12.140625" style="148" customWidth="1"/>
    <col min="5902" max="5902" width="11.42578125" style="148" customWidth="1"/>
    <col min="5903" max="5903" width="12.140625" style="148" customWidth="1"/>
    <col min="5904" max="5904" width="12.28515625" style="148" customWidth="1"/>
    <col min="5905" max="5905" width="11.140625" style="148" customWidth="1"/>
    <col min="5906" max="5906" width="11.28515625" style="148" customWidth="1"/>
    <col min="5907" max="5907" width="11.7109375" style="148" customWidth="1"/>
    <col min="5908" max="5908" width="11.42578125" style="148" customWidth="1"/>
    <col min="5909" max="5909" width="11.28515625" style="148" customWidth="1"/>
    <col min="5910" max="5910" width="11.140625" style="148" customWidth="1"/>
    <col min="5911" max="5911" width="12.5703125" style="148" customWidth="1"/>
    <col min="5912" max="5912" width="12.85546875" style="148" customWidth="1"/>
    <col min="5913" max="6143" width="9.140625" style="148" customWidth="1"/>
    <col min="6144" max="6144" width="3.28515625" style="148"/>
    <col min="6145" max="6145" width="3.28515625" style="148" customWidth="1"/>
    <col min="6146" max="6146" width="10.85546875" style="148" customWidth="1"/>
    <col min="6147" max="6147" width="36" style="148" customWidth="1"/>
    <col min="6148" max="6148" width="3.42578125" style="148" customWidth="1"/>
    <col min="6149" max="6149" width="11.28515625" style="148" customWidth="1"/>
    <col min="6150" max="6150" width="9.85546875" style="148" customWidth="1"/>
    <col min="6151" max="6151" width="10.7109375" style="148" customWidth="1"/>
    <col min="6152" max="6152" width="11.7109375" style="148" customWidth="1"/>
    <col min="6153" max="6153" width="12.140625" style="148" customWidth="1"/>
    <col min="6154" max="6155" width="11.5703125" style="148" customWidth="1"/>
    <col min="6156" max="6156" width="11.140625" style="148" customWidth="1"/>
    <col min="6157" max="6157" width="12.140625" style="148" customWidth="1"/>
    <col min="6158" max="6158" width="11.42578125" style="148" customWidth="1"/>
    <col min="6159" max="6159" width="12.140625" style="148" customWidth="1"/>
    <col min="6160" max="6160" width="12.28515625" style="148" customWidth="1"/>
    <col min="6161" max="6161" width="11.140625" style="148" customWidth="1"/>
    <col min="6162" max="6162" width="11.28515625" style="148" customWidth="1"/>
    <col min="6163" max="6163" width="11.7109375" style="148" customWidth="1"/>
    <col min="6164" max="6164" width="11.42578125" style="148" customWidth="1"/>
    <col min="6165" max="6165" width="11.28515625" style="148" customWidth="1"/>
    <col min="6166" max="6166" width="11.140625" style="148" customWidth="1"/>
    <col min="6167" max="6167" width="12.5703125" style="148" customWidth="1"/>
    <col min="6168" max="6168" width="12.85546875" style="148" customWidth="1"/>
    <col min="6169" max="6399" width="9.140625" style="148" customWidth="1"/>
    <col min="6400" max="6400" width="3.28515625" style="148"/>
    <col min="6401" max="6401" width="3.28515625" style="148" customWidth="1"/>
    <col min="6402" max="6402" width="10.85546875" style="148" customWidth="1"/>
    <col min="6403" max="6403" width="36" style="148" customWidth="1"/>
    <col min="6404" max="6404" width="3.42578125" style="148" customWidth="1"/>
    <col min="6405" max="6405" width="11.28515625" style="148" customWidth="1"/>
    <col min="6406" max="6406" width="9.85546875" style="148" customWidth="1"/>
    <col min="6407" max="6407" width="10.7109375" style="148" customWidth="1"/>
    <col min="6408" max="6408" width="11.7109375" style="148" customWidth="1"/>
    <col min="6409" max="6409" width="12.140625" style="148" customWidth="1"/>
    <col min="6410" max="6411" width="11.5703125" style="148" customWidth="1"/>
    <col min="6412" max="6412" width="11.140625" style="148" customWidth="1"/>
    <col min="6413" max="6413" width="12.140625" style="148" customWidth="1"/>
    <col min="6414" max="6414" width="11.42578125" style="148" customWidth="1"/>
    <col min="6415" max="6415" width="12.140625" style="148" customWidth="1"/>
    <col min="6416" max="6416" width="12.28515625" style="148" customWidth="1"/>
    <col min="6417" max="6417" width="11.140625" style="148" customWidth="1"/>
    <col min="6418" max="6418" width="11.28515625" style="148" customWidth="1"/>
    <col min="6419" max="6419" width="11.7109375" style="148" customWidth="1"/>
    <col min="6420" max="6420" width="11.42578125" style="148" customWidth="1"/>
    <col min="6421" max="6421" width="11.28515625" style="148" customWidth="1"/>
    <col min="6422" max="6422" width="11.140625" style="148" customWidth="1"/>
    <col min="6423" max="6423" width="12.5703125" style="148" customWidth="1"/>
    <col min="6424" max="6424" width="12.85546875" style="148" customWidth="1"/>
    <col min="6425" max="6655" width="9.140625" style="148" customWidth="1"/>
    <col min="6656" max="6656" width="3.28515625" style="148"/>
    <col min="6657" max="6657" width="3.28515625" style="148" customWidth="1"/>
    <col min="6658" max="6658" width="10.85546875" style="148" customWidth="1"/>
    <col min="6659" max="6659" width="36" style="148" customWidth="1"/>
    <col min="6660" max="6660" width="3.42578125" style="148" customWidth="1"/>
    <col min="6661" max="6661" width="11.28515625" style="148" customWidth="1"/>
    <col min="6662" max="6662" width="9.85546875" style="148" customWidth="1"/>
    <col min="6663" max="6663" width="10.7109375" style="148" customWidth="1"/>
    <col min="6664" max="6664" width="11.7109375" style="148" customWidth="1"/>
    <col min="6665" max="6665" width="12.140625" style="148" customWidth="1"/>
    <col min="6666" max="6667" width="11.5703125" style="148" customWidth="1"/>
    <col min="6668" max="6668" width="11.140625" style="148" customWidth="1"/>
    <col min="6669" max="6669" width="12.140625" style="148" customWidth="1"/>
    <col min="6670" max="6670" width="11.42578125" style="148" customWidth="1"/>
    <col min="6671" max="6671" width="12.140625" style="148" customWidth="1"/>
    <col min="6672" max="6672" width="12.28515625" style="148" customWidth="1"/>
    <col min="6673" max="6673" width="11.140625" style="148" customWidth="1"/>
    <col min="6674" max="6674" width="11.28515625" style="148" customWidth="1"/>
    <col min="6675" max="6675" width="11.7109375" style="148" customWidth="1"/>
    <col min="6676" max="6676" width="11.42578125" style="148" customWidth="1"/>
    <col min="6677" max="6677" width="11.28515625" style="148" customWidth="1"/>
    <col min="6678" max="6678" width="11.140625" style="148" customWidth="1"/>
    <col min="6679" max="6679" width="12.5703125" style="148" customWidth="1"/>
    <col min="6680" max="6680" width="12.85546875" style="148" customWidth="1"/>
    <col min="6681" max="6911" width="9.140625" style="148" customWidth="1"/>
    <col min="6912" max="6912" width="3.28515625" style="148"/>
    <col min="6913" max="6913" width="3.28515625" style="148" customWidth="1"/>
    <col min="6914" max="6914" width="10.85546875" style="148" customWidth="1"/>
    <col min="6915" max="6915" width="36" style="148" customWidth="1"/>
    <col min="6916" max="6916" width="3.42578125" style="148" customWidth="1"/>
    <col min="6917" max="6917" width="11.28515625" style="148" customWidth="1"/>
    <col min="6918" max="6918" width="9.85546875" style="148" customWidth="1"/>
    <col min="6919" max="6919" width="10.7109375" style="148" customWidth="1"/>
    <col min="6920" max="6920" width="11.7109375" style="148" customWidth="1"/>
    <col min="6921" max="6921" width="12.140625" style="148" customWidth="1"/>
    <col min="6922" max="6923" width="11.5703125" style="148" customWidth="1"/>
    <col min="6924" max="6924" width="11.140625" style="148" customWidth="1"/>
    <col min="6925" max="6925" width="12.140625" style="148" customWidth="1"/>
    <col min="6926" max="6926" width="11.42578125" style="148" customWidth="1"/>
    <col min="6927" max="6927" width="12.140625" style="148" customWidth="1"/>
    <col min="6928" max="6928" width="12.28515625" style="148" customWidth="1"/>
    <col min="6929" max="6929" width="11.140625" style="148" customWidth="1"/>
    <col min="6930" max="6930" width="11.28515625" style="148" customWidth="1"/>
    <col min="6931" max="6931" width="11.7109375" style="148" customWidth="1"/>
    <col min="6932" max="6932" width="11.42578125" style="148" customWidth="1"/>
    <col min="6933" max="6933" width="11.28515625" style="148" customWidth="1"/>
    <col min="6934" max="6934" width="11.140625" style="148" customWidth="1"/>
    <col min="6935" max="6935" width="12.5703125" style="148" customWidth="1"/>
    <col min="6936" max="6936" width="12.85546875" style="148" customWidth="1"/>
    <col min="6937" max="7167" width="9.140625" style="148" customWidth="1"/>
    <col min="7168" max="7168" width="3.28515625" style="148"/>
    <col min="7169" max="7169" width="3.28515625" style="148" customWidth="1"/>
    <col min="7170" max="7170" width="10.85546875" style="148" customWidth="1"/>
    <col min="7171" max="7171" width="36" style="148" customWidth="1"/>
    <col min="7172" max="7172" width="3.42578125" style="148" customWidth="1"/>
    <col min="7173" max="7173" width="11.28515625" style="148" customWidth="1"/>
    <col min="7174" max="7174" width="9.85546875" style="148" customWidth="1"/>
    <col min="7175" max="7175" width="10.7109375" style="148" customWidth="1"/>
    <col min="7176" max="7176" width="11.7109375" style="148" customWidth="1"/>
    <col min="7177" max="7177" width="12.140625" style="148" customWidth="1"/>
    <col min="7178" max="7179" width="11.5703125" style="148" customWidth="1"/>
    <col min="7180" max="7180" width="11.140625" style="148" customWidth="1"/>
    <col min="7181" max="7181" width="12.140625" style="148" customWidth="1"/>
    <col min="7182" max="7182" width="11.42578125" style="148" customWidth="1"/>
    <col min="7183" max="7183" width="12.140625" style="148" customWidth="1"/>
    <col min="7184" max="7184" width="12.28515625" style="148" customWidth="1"/>
    <col min="7185" max="7185" width="11.140625" style="148" customWidth="1"/>
    <col min="7186" max="7186" width="11.28515625" style="148" customWidth="1"/>
    <col min="7187" max="7187" width="11.7109375" style="148" customWidth="1"/>
    <col min="7188" max="7188" width="11.42578125" style="148" customWidth="1"/>
    <col min="7189" max="7189" width="11.28515625" style="148" customWidth="1"/>
    <col min="7190" max="7190" width="11.140625" style="148" customWidth="1"/>
    <col min="7191" max="7191" width="12.5703125" style="148" customWidth="1"/>
    <col min="7192" max="7192" width="12.85546875" style="148" customWidth="1"/>
    <col min="7193" max="7423" width="9.140625" style="148" customWidth="1"/>
    <col min="7424" max="7424" width="3.28515625" style="148"/>
    <col min="7425" max="7425" width="3.28515625" style="148" customWidth="1"/>
    <col min="7426" max="7426" width="10.85546875" style="148" customWidth="1"/>
    <col min="7427" max="7427" width="36" style="148" customWidth="1"/>
    <col min="7428" max="7428" width="3.42578125" style="148" customWidth="1"/>
    <col min="7429" max="7429" width="11.28515625" style="148" customWidth="1"/>
    <col min="7430" max="7430" width="9.85546875" style="148" customWidth="1"/>
    <col min="7431" max="7431" width="10.7109375" style="148" customWidth="1"/>
    <col min="7432" max="7432" width="11.7109375" style="148" customWidth="1"/>
    <col min="7433" max="7433" width="12.140625" style="148" customWidth="1"/>
    <col min="7434" max="7435" width="11.5703125" style="148" customWidth="1"/>
    <col min="7436" max="7436" width="11.140625" style="148" customWidth="1"/>
    <col min="7437" max="7437" width="12.140625" style="148" customWidth="1"/>
    <col min="7438" max="7438" width="11.42578125" style="148" customWidth="1"/>
    <col min="7439" max="7439" width="12.140625" style="148" customWidth="1"/>
    <col min="7440" max="7440" width="12.28515625" style="148" customWidth="1"/>
    <col min="7441" max="7441" width="11.140625" style="148" customWidth="1"/>
    <col min="7442" max="7442" width="11.28515625" style="148" customWidth="1"/>
    <col min="7443" max="7443" width="11.7109375" style="148" customWidth="1"/>
    <col min="7444" max="7444" width="11.42578125" style="148" customWidth="1"/>
    <col min="7445" max="7445" width="11.28515625" style="148" customWidth="1"/>
    <col min="7446" max="7446" width="11.140625" style="148" customWidth="1"/>
    <col min="7447" max="7447" width="12.5703125" style="148" customWidth="1"/>
    <col min="7448" max="7448" width="12.85546875" style="148" customWidth="1"/>
    <col min="7449" max="7679" width="9.140625" style="148" customWidth="1"/>
    <col min="7680" max="7680" width="3.28515625" style="148"/>
    <col min="7681" max="7681" width="3.28515625" style="148" customWidth="1"/>
    <col min="7682" max="7682" width="10.85546875" style="148" customWidth="1"/>
    <col min="7683" max="7683" width="36" style="148" customWidth="1"/>
    <col min="7684" max="7684" width="3.42578125" style="148" customWidth="1"/>
    <col min="7685" max="7685" width="11.28515625" style="148" customWidth="1"/>
    <col min="7686" max="7686" width="9.85546875" style="148" customWidth="1"/>
    <col min="7687" max="7687" width="10.7109375" style="148" customWidth="1"/>
    <col min="7688" max="7688" width="11.7109375" style="148" customWidth="1"/>
    <col min="7689" max="7689" width="12.140625" style="148" customWidth="1"/>
    <col min="7690" max="7691" width="11.5703125" style="148" customWidth="1"/>
    <col min="7692" max="7692" width="11.140625" style="148" customWidth="1"/>
    <col min="7693" max="7693" width="12.140625" style="148" customWidth="1"/>
    <col min="7694" max="7694" width="11.42578125" style="148" customWidth="1"/>
    <col min="7695" max="7695" width="12.140625" style="148" customWidth="1"/>
    <col min="7696" max="7696" width="12.28515625" style="148" customWidth="1"/>
    <col min="7697" max="7697" width="11.140625" style="148" customWidth="1"/>
    <col min="7698" max="7698" width="11.28515625" style="148" customWidth="1"/>
    <col min="7699" max="7699" width="11.7109375" style="148" customWidth="1"/>
    <col min="7700" max="7700" width="11.42578125" style="148" customWidth="1"/>
    <col min="7701" max="7701" width="11.28515625" style="148" customWidth="1"/>
    <col min="7702" max="7702" width="11.140625" style="148" customWidth="1"/>
    <col min="7703" max="7703" width="12.5703125" style="148" customWidth="1"/>
    <col min="7704" max="7704" width="12.85546875" style="148" customWidth="1"/>
    <col min="7705" max="7935" width="9.140625" style="148" customWidth="1"/>
    <col min="7936" max="7936" width="3.28515625" style="148"/>
    <col min="7937" max="7937" width="3.28515625" style="148" customWidth="1"/>
    <col min="7938" max="7938" width="10.85546875" style="148" customWidth="1"/>
    <col min="7939" max="7939" width="36" style="148" customWidth="1"/>
    <col min="7940" max="7940" width="3.42578125" style="148" customWidth="1"/>
    <col min="7941" max="7941" width="11.28515625" style="148" customWidth="1"/>
    <col min="7942" max="7942" width="9.85546875" style="148" customWidth="1"/>
    <col min="7943" max="7943" width="10.7109375" style="148" customWidth="1"/>
    <col min="7944" max="7944" width="11.7109375" style="148" customWidth="1"/>
    <col min="7945" max="7945" width="12.140625" style="148" customWidth="1"/>
    <col min="7946" max="7947" width="11.5703125" style="148" customWidth="1"/>
    <col min="7948" max="7948" width="11.140625" style="148" customWidth="1"/>
    <col min="7949" max="7949" width="12.140625" style="148" customWidth="1"/>
    <col min="7950" max="7950" width="11.42578125" style="148" customWidth="1"/>
    <col min="7951" max="7951" width="12.140625" style="148" customWidth="1"/>
    <col min="7952" max="7952" width="12.28515625" style="148" customWidth="1"/>
    <col min="7953" max="7953" width="11.140625" style="148" customWidth="1"/>
    <col min="7954" max="7954" width="11.28515625" style="148" customWidth="1"/>
    <col min="7955" max="7955" width="11.7109375" style="148" customWidth="1"/>
    <col min="7956" max="7956" width="11.42578125" style="148" customWidth="1"/>
    <col min="7957" max="7957" width="11.28515625" style="148" customWidth="1"/>
    <col min="7958" max="7958" width="11.140625" style="148" customWidth="1"/>
    <col min="7959" max="7959" width="12.5703125" style="148" customWidth="1"/>
    <col min="7960" max="7960" width="12.85546875" style="148" customWidth="1"/>
    <col min="7961" max="8191" width="9.140625" style="148" customWidth="1"/>
    <col min="8192" max="8192" width="3.28515625" style="148"/>
    <col min="8193" max="8193" width="3.28515625" style="148" customWidth="1"/>
    <col min="8194" max="8194" width="10.85546875" style="148" customWidth="1"/>
    <col min="8195" max="8195" width="36" style="148" customWidth="1"/>
    <col min="8196" max="8196" width="3.42578125" style="148" customWidth="1"/>
    <col min="8197" max="8197" width="11.28515625" style="148" customWidth="1"/>
    <col min="8198" max="8198" width="9.85546875" style="148" customWidth="1"/>
    <col min="8199" max="8199" width="10.7109375" style="148" customWidth="1"/>
    <col min="8200" max="8200" width="11.7109375" style="148" customWidth="1"/>
    <col min="8201" max="8201" width="12.140625" style="148" customWidth="1"/>
    <col min="8202" max="8203" width="11.5703125" style="148" customWidth="1"/>
    <col min="8204" max="8204" width="11.140625" style="148" customWidth="1"/>
    <col min="8205" max="8205" width="12.140625" style="148" customWidth="1"/>
    <col min="8206" max="8206" width="11.42578125" style="148" customWidth="1"/>
    <col min="8207" max="8207" width="12.140625" style="148" customWidth="1"/>
    <col min="8208" max="8208" width="12.28515625" style="148" customWidth="1"/>
    <col min="8209" max="8209" width="11.140625" style="148" customWidth="1"/>
    <col min="8210" max="8210" width="11.28515625" style="148" customWidth="1"/>
    <col min="8211" max="8211" width="11.7109375" style="148" customWidth="1"/>
    <col min="8212" max="8212" width="11.42578125" style="148" customWidth="1"/>
    <col min="8213" max="8213" width="11.28515625" style="148" customWidth="1"/>
    <col min="8214" max="8214" width="11.140625" style="148" customWidth="1"/>
    <col min="8215" max="8215" width="12.5703125" style="148" customWidth="1"/>
    <col min="8216" max="8216" width="12.85546875" style="148" customWidth="1"/>
    <col min="8217" max="8447" width="9.140625" style="148" customWidth="1"/>
    <col min="8448" max="8448" width="3.28515625" style="148"/>
    <col min="8449" max="8449" width="3.28515625" style="148" customWidth="1"/>
    <col min="8450" max="8450" width="10.85546875" style="148" customWidth="1"/>
    <col min="8451" max="8451" width="36" style="148" customWidth="1"/>
    <col min="8452" max="8452" width="3.42578125" style="148" customWidth="1"/>
    <col min="8453" max="8453" width="11.28515625" style="148" customWidth="1"/>
    <col min="8454" max="8454" width="9.85546875" style="148" customWidth="1"/>
    <col min="8455" max="8455" width="10.7109375" style="148" customWidth="1"/>
    <col min="8456" max="8456" width="11.7109375" style="148" customWidth="1"/>
    <col min="8457" max="8457" width="12.140625" style="148" customWidth="1"/>
    <col min="8458" max="8459" width="11.5703125" style="148" customWidth="1"/>
    <col min="8460" max="8460" width="11.140625" style="148" customWidth="1"/>
    <col min="8461" max="8461" width="12.140625" style="148" customWidth="1"/>
    <col min="8462" max="8462" width="11.42578125" style="148" customWidth="1"/>
    <col min="8463" max="8463" width="12.140625" style="148" customWidth="1"/>
    <col min="8464" max="8464" width="12.28515625" style="148" customWidth="1"/>
    <col min="8465" max="8465" width="11.140625" style="148" customWidth="1"/>
    <col min="8466" max="8466" width="11.28515625" style="148" customWidth="1"/>
    <col min="8467" max="8467" width="11.7109375" style="148" customWidth="1"/>
    <col min="8468" max="8468" width="11.42578125" style="148" customWidth="1"/>
    <col min="8469" max="8469" width="11.28515625" style="148" customWidth="1"/>
    <col min="8470" max="8470" width="11.140625" style="148" customWidth="1"/>
    <col min="8471" max="8471" width="12.5703125" style="148" customWidth="1"/>
    <col min="8472" max="8472" width="12.85546875" style="148" customWidth="1"/>
    <col min="8473" max="8703" width="9.140625" style="148" customWidth="1"/>
    <col min="8704" max="8704" width="3.28515625" style="148"/>
    <col min="8705" max="8705" width="3.28515625" style="148" customWidth="1"/>
    <col min="8706" max="8706" width="10.85546875" style="148" customWidth="1"/>
    <col min="8707" max="8707" width="36" style="148" customWidth="1"/>
    <col min="8708" max="8708" width="3.42578125" style="148" customWidth="1"/>
    <col min="8709" max="8709" width="11.28515625" style="148" customWidth="1"/>
    <col min="8710" max="8710" width="9.85546875" style="148" customWidth="1"/>
    <col min="8711" max="8711" width="10.7109375" style="148" customWidth="1"/>
    <col min="8712" max="8712" width="11.7109375" style="148" customWidth="1"/>
    <col min="8713" max="8713" width="12.140625" style="148" customWidth="1"/>
    <col min="8714" max="8715" width="11.5703125" style="148" customWidth="1"/>
    <col min="8716" max="8716" width="11.140625" style="148" customWidth="1"/>
    <col min="8717" max="8717" width="12.140625" style="148" customWidth="1"/>
    <col min="8718" max="8718" width="11.42578125" style="148" customWidth="1"/>
    <col min="8719" max="8719" width="12.140625" style="148" customWidth="1"/>
    <col min="8720" max="8720" width="12.28515625" style="148" customWidth="1"/>
    <col min="8721" max="8721" width="11.140625" style="148" customWidth="1"/>
    <col min="8722" max="8722" width="11.28515625" style="148" customWidth="1"/>
    <col min="8723" max="8723" width="11.7109375" style="148" customWidth="1"/>
    <col min="8724" max="8724" width="11.42578125" style="148" customWidth="1"/>
    <col min="8725" max="8725" width="11.28515625" style="148" customWidth="1"/>
    <col min="8726" max="8726" width="11.140625" style="148" customWidth="1"/>
    <col min="8727" max="8727" width="12.5703125" style="148" customWidth="1"/>
    <col min="8728" max="8728" width="12.85546875" style="148" customWidth="1"/>
    <col min="8729" max="8959" width="9.140625" style="148" customWidth="1"/>
    <col min="8960" max="8960" width="3.28515625" style="148"/>
    <col min="8961" max="8961" width="3.28515625" style="148" customWidth="1"/>
    <col min="8962" max="8962" width="10.85546875" style="148" customWidth="1"/>
    <col min="8963" max="8963" width="36" style="148" customWidth="1"/>
    <col min="8964" max="8964" width="3.42578125" style="148" customWidth="1"/>
    <col min="8965" max="8965" width="11.28515625" style="148" customWidth="1"/>
    <col min="8966" max="8966" width="9.85546875" style="148" customWidth="1"/>
    <col min="8967" max="8967" width="10.7109375" style="148" customWidth="1"/>
    <col min="8968" max="8968" width="11.7109375" style="148" customWidth="1"/>
    <col min="8969" max="8969" width="12.140625" style="148" customWidth="1"/>
    <col min="8970" max="8971" width="11.5703125" style="148" customWidth="1"/>
    <col min="8972" max="8972" width="11.140625" style="148" customWidth="1"/>
    <col min="8973" max="8973" width="12.140625" style="148" customWidth="1"/>
    <col min="8974" max="8974" width="11.42578125" style="148" customWidth="1"/>
    <col min="8975" max="8975" width="12.140625" style="148" customWidth="1"/>
    <col min="8976" max="8976" width="12.28515625" style="148" customWidth="1"/>
    <col min="8977" max="8977" width="11.140625" style="148" customWidth="1"/>
    <col min="8978" max="8978" width="11.28515625" style="148" customWidth="1"/>
    <col min="8979" max="8979" width="11.7109375" style="148" customWidth="1"/>
    <col min="8980" max="8980" width="11.42578125" style="148" customWidth="1"/>
    <col min="8981" max="8981" width="11.28515625" style="148" customWidth="1"/>
    <col min="8982" max="8982" width="11.140625" style="148" customWidth="1"/>
    <col min="8983" max="8983" width="12.5703125" style="148" customWidth="1"/>
    <col min="8984" max="8984" width="12.85546875" style="148" customWidth="1"/>
    <col min="8985" max="9215" width="9.140625" style="148" customWidth="1"/>
    <col min="9216" max="9216" width="3.28515625" style="148"/>
    <col min="9217" max="9217" width="3.28515625" style="148" customWidth="1"/>
    <col min="9218" max="9218" width="10.85546875" style="148" customWidth="1"/>
    <col min="9219" max="9219" width="36" style="148" customWidth="1"/>
    <col min="9220" max="9220" width="3.42578125" style="148" customWidth="1"/>
    <col min="9221" max="9221" width="11.28515625" style="148" customWidth="1"/>
    <col min="9222" max="9222" width="9.85546875" style="148" customWidth="1"/>
    <col min="9223" max="9223" width="10.7109375" style="148" customWidth="1"/>
    <col min="9224" max="9224" width="11.7109375" style="148" customWidth="1"/>
    <col min="9225" max="9225" width="12.140625" style="148" customWidth="1"/>
    <col min="9226" max="9227" width="11.5703125" style="148" customWidth="1"/>
    <col min="9228" max="9228" width="11.140625" style="148" customWidth="1"/>
    <col min="9229" max="9229" width="12.140625" style="148" customWidth="1"/>
    <col min="9230" max="9230" width="11.42578125" style="148" customWidth="1"/>
    <col min="9231" max="9231" width="12.140625" style="148" customWidth="1"/>
    <col min="9232" max="9232" width="12.28515625" style="148" customWidth="1"/>
    <col min="9233" max="9233" width="11.140625" style="148" customWidth="1"/>
    <col min="9234" max="9234" width="11.28515625" style="148" customWidth="1"/>
    <col min="9235" max="9235" width="11.7109375" style="148" customWidth="1"/>
    <col min="9236" max="9236" width="11.42578125" style="148" customWidth="1"/>
    <col min="9237" max="9237" width="11.28515625" style="148" customWidth="1"/>
    <col min="9238" max="9238" width="11.140625" style="148" customWidth="1"/>
    <col min="9239" max="9239" width="12.5703125" style="148" customWidth="1"/>
    <col min="9240" max="9240" width="12.85546875" style="148" customWidth="1"/>
    <col min="9241" max="9471" width="9.140625" style="148" customWidth="1"/>
    <col min="9472" max="9472" width="3.28515625" style="148"/>
    <col min="9473" max="9473" width="3.28515625" style="148" customWidth="1"/>
    <col min="9474" max="9474" width="10.85546875" style="148" customWidth="1"/>
    <col min="9475" max="9475" width="36" style="148" customWidth="1"/>
    <col min="9476" max="9476" width="3.42578125" style="148" customWidth="1"/>
    <col min="9477" max="9477" width="11.28515625" style="148" customWidth="1"/>
    <col min="9478" max="9478" width="9.85546875" style="148" customWidth="1"/>
    <col min="9479" max="9479" width="10.7109375" style="148" customWidth="1"/>
    <col min="9480" max="9480" width="11.7109375" style="148" customWidth="1"/>
    <col min="9481" max="9481" width="12.140625" style="148" customWidth="1"/>
    <col min="9482" max="9483" width="11.5703125" style="148" customWidth="1"/>
    <col min="9484" max="9484" width="11.140625" style="148" customWidth="1"/>
    <col min="9485" max="9485" width="12.140625" style="148" customWidth="1"/>
    <col min="9486" max="9486" width="11.42578125" style="148" customWidth="1"/>
    <col min="9487" max="9487" width="12.140625" style="148" customWidth="1"/>
    <col min="9488" max="9488" width="12.28515625" style="148" customWidth="1"/>
    <col min="9489" max="9489" width="11.140625" style="148" customWidth="1"/>
    <col min="9490" max="9490" width="11.28515625" style="148" customWidth="1"/>
    <col min="9491" max="9491" width="11.7109375" style="148" customWidth="1"/>
    <col min="9492" max="9492" width="11.42578125" style="148" customWidth="1"/>
    <col min="9493" max="9493" width="11.28515625" style="148" customWidth="1"/>
    <col min="9494" max="9494" width="11.140625" style="148" customWidth="1"/>
    <col min="9495" max="9495" width="12.5703125" style="148" customWidth="1"/>
    <col min="9496" max="9496" width="12.85546875" style="148" customWidth="1"/>
    <col min="9497" max="9727" width="9.140625" style="148" customWidth="1"/>
    <col min="9728" max="9728" width="3.28515625" style="148"/>
    <col min="9729" max="9729" width="3.28515625" style="148" customWidth="1"/>
    <col min="9730" max="9730" width="10.85546875" style="148" customWidth="1"/>
    <col min="9731" max="9731" width="36" style="148" customWidth="1"/>
    <col min="9732" max="9732" width="3.42578125" style="148" customWidth="1"/>
    <col min="9733" max="9733" width="11.28515625" style="148" customWidth="1"/>
    <col min="9734" max="9734" width="9.85546875" style="148" customWidth="1"/>
    <col min="9735" max="9735" width="10.7109375" style="148" customWidth="1"/>
    <col min="9736" max="9736" width="11.7109375" style="148" customWidth="1"/>
    <col min="9737" max="9737" width="12.140625" style="148" customWidth="1"/>
    <col min="9738" max="9739" width="11.5703125" style="148" customWidth="1"/>
    <col min="9740" max="9740" width="11.140625" style="148" customWidth="1"/>
    <col min="9741" max="9741" width="12.140625" style="148" customWidth="1"/>
    <col min="9742" max="9742" width="11.42578125" style="148" customWidth="1"/>
    <col min="9743" max="9743" width="12.140625" style="148" customWidth="1"/>
    <col min="9744" max="9744" width="12.28515625" style="148" customWidth="1"/>
    <col min="9745" max="9745" width="11.140625" style="148" customWidth="1"/>
    <col min="9746" max="9746" width="11.28515625" style="148" customWidth="1"/>
    <col min="9747" max="9747" width="11.7109375" style="148" customWidth="1"/>
    <col min="9748" max="9748" width="11.42578125" style="148" customWidth="1"/>
    <col min="9749" max="9749" width="11.28515625" style="148" customWidth="1"/>
    <col min="9750" max="9750" width="11.140625" style="148" customWidth="1"/>
    <col min="9751" max="9751" width="12.5703125" style="148" customWidth="1"/>
    <col min="9752" max="9752" width="12.85546875" style="148" customWidth="1"/>
    <col min="9753" max="9983" width="9.140625" style="148" customWidth="1"/>
    <col min="9984" max="9984" width="3.28515625" style="148"/>
    <col min="9985" max="9985" width="3.28515625" style="148" customWidth="1"/>
    <col min="9986" max="9986" width="10.85546875" style="148" customWidth="1"/>
    <col min="9987" max="9987" width="36" style="148" customWidth="1"/>
    <col min="9988" max="9988" width="3.42578125" style="148" customWidth="1"/>
    <col min="9989" max="9989" width="11.28515625" style="148" customWidth="1"/>
    <col min="9990" max="9990" width="9.85546875" style="148" customWidth="1"/>
    <col min="9991" max="9991" width="10.7109375" style="148" customWidth="1"/>
    <col min="9992" max="9992" width="11.7109375" style="148" customWidth="1"/>
    <col min="9993" max="9993" width="12.140625" style="148" customWidth="1"/>
    <col min="9994" max="9995" width="11.5703125" style="148" customWidth="1"/>
    <col min="9996" max="9996" width="11.140625" style="148" customWidth="1"/>
    <col min="9997" max="9997" width="12.140625" style="148" customWidth="1"/>
    <col min="9998" max="9998" width="11.42578125" style="148" customWidth="1"/>
    <col min="9999" max="9999" width="12.140625" style="148" customWidth="1"/>
    <col min="10000" max="10000" width="12.28515625" style="148" customWidth="1"/>
    <col min="10001" max="10001" width="11.140625" style="148" customWidth="1"/>
    <col min="10002" max="10002" width="11.28515625" style="148" customWidth="1"/>
    <col min="10003" max="10003" width="11.7109375" style="148" customWidth="1"/>
    <col min="10004" max="10004" width="11.42578125" style="148" customWidth="1"/>
    <col min="10005" max="10005" width="11.28515625" style="148" customWidth="1"/>
    <col min="10006" max="10006" width="11.140625" style="148" customWidth="1"/>
    <col min="10007" max="10007" width="12.5703125" style="148" customWidth="1"/>
    <col min="10008" max="10008" width="12.85546875" style="148" customWidth="1"/>
    <col min="10009" max="10239" width="9.140625" style="148" customWidth="1"/>
    <col min="10240" max="10240" width="3.28515625" style="148"/>
    <col min="10241" max="10241" width="3.28515625" style="148" customWidth="1"/>
    <col min="10242" max="10242" width="10.85546875" style="148" customWidth="1"/>
    <col min="10243" max="10243" width="36" style="148" customWidth="1"/>
    <col min="10244" max="10244" width="3.42578125" style="148" customWidth="1"/>
    <col min="10245" max="10245" width="11.28515625" style="148" customWidth="1"/>
    <col min="10246" max="10246" width="9.85546875" style="148" customWidth="1"/>
    <col min="10247" max="10247" width="10.7109375" style="148" customWidth="1"/>
    <col min="10248" max="10248" width="11.7109375" style="148" customWidth="1"/>
    <col min="10249" max="10249" width="12.140625" style="148" customWidth="1"/>
    <col min="10250" max="10251" width="11.5703125" style="148" customWidth="1"/>
    <col min="10252" max="10252" width="11.140625" style="148" customWidth="1"/>
    <col min="10253" max="10253" width="12.140625" style="148" customWidth="1"/>
    <col min="10254" max="10254" width="11.42578125" style="148" customWidth="1"/>
    <col min="10255" max="10255" width="12.140625" style="148" customWidth="1"/>
    <col min="10256" max="10256" width="12.28515625" style="148" customWidth="1"/>
    <col min="10257" max="10257" width="11.140625" style="148" customWidth="1"/>
    <col min="10258" max="10258" width="11.28515625" style="148" customWidth="1"/>
    <col min="10259" max="10259" width="11.7109375" style="148" customWidth="1"/>
    <col min="10260" max="10260" width="11.42578125" style="148" customWidth="1"/>
    <col min="10261" max="10261" width="11.28515625" style="148" customWidth="1"/>
    <col min="10262" max="10262" width="11.140625" style="148" customWidth="1"/>
    <col min="10263" max="10263" width="12.5703125" style="148" customWidth="1"/>
    <col min="10264" max="10264" width="12.85546875" style="148" customWidth="1"/>
    <col min="10265" max="10495" width="9.140625" style="148" customWidth="1"/>
    <col min="10496" max="10496" width="3.28515625" style="148"/>
    <col min="10497" max="10497" width="3.28515625" style="148" customWidth="1"/>
    <col min="10498" max="10498" width="10.85546875" style="148" customWidth="1"/>
    <col min="10499" max="10499" width="36" style="148" customWidth="1"/>
    <col min="10500" max="10500" width="3.42578125" style="148" customWidth="1"/>
    <col min="10501" max="10501" width="11.28515625" style="148" customWidth="1"/>
    <col min="10502" max="10502" width="9.85546875" style="148" customWidth="1"/>
    <col min="10503" max="10503" width="10.7109375" style="148" customWidth="1"/>
    <col min="10504" max="10504" width="11.7109375" style="148" customWidth="1"/>
    <col min="10505" max="10505" width="12.140625" style="148" customWidth="1"/>
    <col min="10506" max="10507" width="11.5703125" style="148" customWidth="1"/>
    <col min="10508" max="10508" width="11.140625" style="148" customWidth="1"/>
    <col min="10509" max="10509" width="12.140625" style="148" customWidth="1"/>
    <col min="10510" max="10510" width="11.42578125" style="148" customWidth="1"/>
    <col min="10511" max="10511" width="12.140625" style="148" customWidth="1"/>
    <col min="10512" max="10512" width="12.28515625" style="148" customWidth="1"/>
    <col min="10513" max="10513" width="11.140625" style="148" customWidth="1"/>
    <col min="10514" max="10514" width="11.28515625" style="148" customWidth="1"/>
    <col min="10515" max="10515" width="11.7109375" style="148" customWidth="1"/>
    <col min="10516" max="10516" width="11.42578125" style="148" customWidth="1"/>
    <col min="10517" max="10517" width="11.28515625" style="148" customWidth="1"/>
    <col min="10518" max="10518" width="11.140625" style="148" customWidth="1"/>
    <col min="10519" max="10519" width="12.5703125" style="148" customWidth="1"/>
    <col min="10520" max="10520" width="12.85546875" style="148" customWidth="1"/>
    <col min="10521" max="10751" width="9.140625" style="148" customWidth="1"/>
    <col min="10752" max="10752" width="3.28515625" style="148"/>
    <col min="10753" max="10753" width="3.28515625" style="148" customWidth="1"/>
    <col min="10754" max="10754" width="10.85546875" style="148" customWidth="1"/>
    <col min="10755" max="10755" width="36" style="148" customWidth="1"/>
    <col min="10756" max="10756" width="3.42578125" style="148" customWidth="1"/>
    <col min="10757" max="10757" width="11.28515625" style="148" customWidth="1"/>
    <col min="10758" max="10758" width="9.85546875" style="148" customWidth="1"/>
    <col min="10759" max="10759" width="10.7109375" style="148" customWidth="1"/>
    <col min="10760" max="10760" width="11.7109375" style="148" customWidth="1"/>
    <col min="10761" max="10761" width="12.140625" style="148" customWidth="1"/>
    <col min="10762" max="10763" width="11.5703125" style="148" customWidth="1"/>
    <col min="10764" max="10764" width="11.140625" style="148" customWidth="1"/>
    <col min="10765" max="10765" width="12.140625" style="148" customWidth="1"/>
    <col min="10766" max="10766" width="11.42578125" style="148" customWidth="1"/>
    <col min="10767" max="10767" width="12.140625" style="148" customWidth="1"/>
    <col min="10768" max="10768" width="12.28515625" style="148" customWidth="1"/>
    <col min="10769" max="10769" width="11.140625" style="148" customWidth="1"/>
    <col min="10770" max="10770" width="11.28515625" style="148" customWidth="1"/>
    <col min="10771" max="10771" width="11.7109375" style="148" customWidth="1"/>
    <col min="10772" max="10772" width="11.42578125" style="148" customWidth="1"/>
    <col min="10773" max="10773" width="11.28515625" style="148" customWidth="1"/>
    <col min="10774" max="10774" width="11.140625" style="148" customWidth="1"/>
    <col min="10775" max="10775" width="12.5703125" style="148" customWidth="1"/>
    <col min="10776" max="10776" width="12.85546875" style="148" customWidth="1"/>
    <col min="10777" max="11007" width="9.140625" style="148" customWidth="1"/>
    <col min="11008" max="11008" width="3.28515625" style="148"/>
    <col min="11009" max="11009" width="3.28515625" style="148" customWidth="1"/>
    <col min="11010" max="11010" width="10.85546875" style="148" customWidth="1"/>
    <col min="11011" max="11011" width="36" style="148" customWidth="1"/>
    <col min="11012" max="11012" width="3.42578125" style="148" customWidth="1"/>
    <col min="11013" max="11013" width="11.28515625" style="148" customWidth="1"/>
    <col min="11014" max="11014" width="9.85546875" style="148" customWidth="1"/>
    <col min="11015" max="11015" width="10.7109375" style="148" customWidth="1"/>
    <col min="11016" max="11016" width="11.7109375" style="148" customWidth="1"/>
    <col min="11017" max="11017" width="12.140625" style="148" customWidth="1"/>
    <col min="11018" max="11019" width="11.5703125" style="148" customWidth="1"/>
    <col min="11020" max="11020" width="11.140625" style="148" customWidth="1"/>
    <col min="11021" max="11021" width="12.140625" style="148" customWidth="1"/>
    <col min="11022" max="11022" width="11.42578125" style="148" customWidth="1"/>
    <col min="11023" max="11023" width="12.140625" style="148" customWidth="1"/>
    <col min="11024" max="11024" width="12.28515625" style="148" customWidth="1"/>
    <col min="11025" max="11025" width="11.140625" style="148" customWidth="1"/>
    <col min="11026" max="11026" width="11.28515625" style="148" customWidth="1"/>
    <col min="11027" max="11027" width="11.7109375" style="148" customWidth="1"/>
    <col min="11028" max="11028" width="11.42578125" style="148" customWidth="1"/>
    <col min="11029" max="11029" width="11.28515625" style="148" customWidth="1"/>
    <col min="11030" max="11030" width="11.140625" style="148" customWidth="1"/>
    <col min="11031" max="11031" width="12.5703125" style="148" customWidth="1"/>
    <col min="11032" max="11032" width="12.85546875" style="148" customWidth="1"/>
    <col min="11033" max="11263" width="9.140625" style="148" customWidth="1"/>
    <col min="11264" max="11264" width="3.28515625" style="148"/>
    <col min="11265" max="11265" width="3.28515625" style="148" customWidth="1"/>
    <col min="11266" max="11266" width="10.85546875" style="148" customWidth="1"/>
    <col min="11267" max="11267" width="36" style="148" customWidth="1"/>
    <col min="11268" max="11268" width="3.42578125" style="148" customWidth="1"/>
    <col min="11269" max="11269" width="11.28515625" style="148" customWidth="1"/>
    <col min="11270" max="11270" width="9.85546875" style="148" customWidth="1"/>
    <col min="11271" max="11271" width="10.7109375" style="148" customWidth="1"/>
    <col min="11272" max="11272" width="11.7109375" style="148" customWidth="1"/>
    <col min="11273" max="11273" width="12.140625" style="148" customWidth="1"/>
    <col min="11274" max="11275" width="11.5703125" style="148" customWidth="1"/>
    <col min="11276" max="11276" width="11.140625" style="148" customWidth="1"/>
    <col min="11277" max="11277" width="12.140625" style="148" customWidth="1"/>
    <col min="11278" max="11278" width="11.42578125" style="148" customWidth="1"/>
    <col min="11279" max="11279" width="12.140625" style="148" customWidth="1"/>
    <col min="11280" max="11280" width="12.28515625" style="148" customWidth="1"/>
    <col min="11281" max="11281" width="11.140625" style="148" customWidth="1"/>
    <col min="11282" max="11282" width="11.28515625" style="148" customWidth="1"/>
    <col min="11283" max="11283" width="11.7109375" style="148" customWidth="1"/>
    <col min="11284" max="11284" width="11.42578125" style="148" customWidth="1"/>
    <col min="11285" max="11285" width="11.28515625" style="148" customWidth="1"/>
    <col min="11286" max="11286" width="11.140625" style="148" customWidth="1"/>
    <col min="11287" max="11287" width="12.5703125" style="148" customWidth="1"/>
    <col min="11288" max="11288" width="12.85546875" style="148" customWidth="1"/>
    <col min="11289" max="11519" width="9.140625" style="148" customWidth="1"/>
    <col min="11520" max="11520" width="3.28515625" style="148"/>
    <col min="11521" max="11521" width="3.28515625" style="148" customWidth="1"/>
    <col min="11522" max="11522" width="10.85546875" style="148" customWidth="1"/>
    <col min="11523" max="11523" width="36" style="148" customWidth="1"/>
    <col min="11524" max="11524" width="3.42578125" style="148" customWidth="1"/>
    <col min="11525" max="11525" width="11.28515625" style="148" customWidth="1"/>
    <col min="11526" max="11526" width="9.85546875" style="148" customWidth="1"/>
    <col min="11527" max="11527" width="10.7109375" style="148" customWidth="1"/>
    <col min="11528" max="11528" width="11.7109375" style="148" customWidth="1"/>
    <col min="11529" max="11529" width="12.140625" style="148" customWidth="1"/>
    <col min="11530" max="11531" width="11.5703125" style="148" customWidth="1"/>
    <col min="11532" max="11532" width="11.140625" style="148" customWidth="1"/>
    <col min="11533" max="11533" width="12.140625" style="148" customWidth="1"/>
    <col min="11534" max="11534" width="11.42578125" style="148" customWidth="1"/>
    <col min="11535" max="11535" width="12.140625" style="148" customWidth="1"/>
    <col min="11536" max="11536" width="12.28515625" style="148" customWidth="1"/>
    <col min="11537" max="11537" width="11.140625" style="148" customWidth="1"/>
    <col min="11538" max="11538" width="11.28515625" style="148" customWidth="1"/>
    <col min="11539" max="11539" width="11.7109375" style="148" customWidth="1"/>
    <col min="11540" max="11540" width="11.42578125" style="148" customWidth="1"/>
    <col min="11541" max="11541" width="11.28515625" style="148" customWidth="1"/>
    <col min="11542" max="11542" width="11.140625" style="148" customWidth="1"/>
    <col min="11543" max="11543" width="12.5703125" style="148" customWidth="1"/>
    <col min="11544" max="11544" width="12.85546875" style="148" customWidth="1"/>
    <col min="11545" max="11775" width="9.140625" style="148" customWidth="1"/>
    <col min="11776" max="11776" width="3.28515625" style="148"/>
    <col min="11777" max="11777" width="3.28515625" style="148" customWidth="1"/>
    <col min="11778" max="11778" width="10.85546875" style="148" customWidth="1"/>
    <col min="11779" max="11779" width="36" style="148" customWidth="1"/>
    <col min="11780" max="11780" width="3.42578125" style="148" customWidth="1"/>
    <col min="11781" max="11781" width="11.28515625" style="148" customWidth="1"/>
    <col min="11782" max="11782" width="9.85546875" style="148" customWidth="1"/>
    <col min="11783" max="11783" width="10.7109375" style="148" customWidth="1"/>
    <col min="11784" max="11784" width="11.7109375" style="148" customWidth="1"/>
    <col min="11785" max="11785" width="12.140625" style="148" customWidth="1"/>
    <col min="11786" max="11787" width="11.5703125" style="148" customWidth="1"/>
    <col min="11788" max="11788" width="11.140625" style="148" customWidth="1"/>
    <col min="11789" max="11789" width="12.140625" style="148" customWidth="1"/>
    <col min="11790" max="11790" width="11.42578125" style="148" customWidth="1"/>
    <col min="11791" max="11791" width="12.140625" style="148" customWidth="1"/>
    <col min="11792" max="11792" width="12.28515625" style="148" customWidth="1"/>
    <col min="11793" max="11793" width="11.140625" style="148" customWidth="1"/>
    <col min="11794" max="11794" width="11.28515625" style="148" customWidth="1"/>
    <col min="11795" max="11795" width="11.7109375" style="148" customWidth="1"/>
    <col min="11796" max="11796" width="11.42578125" style="148" customWidth="1"/>
    <col min="11797" max="11797" width="11.28515625" style="148" customWidth="1"/>
    <col min="11798" max="11798" width="11.140625" style="148" customWidth="1"/>
    <col min="11799" max="11799" width="12.5703125" style="148" customWidth="1"/>
    <col min="11800" max="11800" width="12.85546875" style="148" customWidth="1"/>
    <col min="11801" max="12031" width="9.140625" style="148" customWidth="1"/>
    <col min="12032" max="12032" width="3.28515625" style="148"/>
    <col min="12033" max="12033" width="3.28515625" style="148" customWidth="1"/>
    <col min="12034" max="12034" width="10.85546875" style="148" customWidth="1"/>
    <col min="12035" max="12035" width="36" style="148" customWidth="1"/>
    <col min="12036" max="12036" width="3.42578125" style="148" customWidth="1"/>
    <col min="12037" max="12037" width="11.28515625" style="148" customWidth="1"/>
    <col min="12038" max="12038" width="9.85546875" style="148" customWidth="1"/>
    <col min="12039" max="12039" width="10.7109375" style="148" customWidth="1"/>
    <col min="12040" max="12040" width="11.7109375" style="148" customWidth="1"/>
    <col min="12041" max="12041" width="12.140625" style="148" customWidth="1"/>
    <col min="12042" max="12043" width="11.5703125" style="148" customWidth="1"/>
    <col min="12044" max="12044" width="11.140625" style="148" customWidth="1"/>
    <col min="12045" max="12045" width="12.140625" style="148" customWidth="1"/>
    <col min="12046" max="12046" width="11.42578125" style="148" customWidth="1"/>
    <col min="12047" max="12047" width="12.140625" style="148" customWidth="1"/>
    <col min="12048" max="12048" width="12.28515625" style="148" customWidth="1"/>
    <col min="12049" max="12049" width="11.140625" style="148" customWidth="1"/>
    <col min="12050" max="12050" width="11.28515625" style="148" customWidth="1"/>
    <col min="12051" max="12051" width="11.7109375" style="148" customWidth="1"/>
    <col min="12052" max="12052" width="11.42578125" style="148" customWidth="1"/>
    <col min="12053" max="12053" width="11.28515625" style="148" customWidth="1"/>
    <col min="12054" max="12054" width="11.140625" style="148" customWidth="1"/>
    <col min="12055" max="12055" width="12.5703125" style="148" customWidth="1"/>
    <col min="12056" max="12056" width="12.85546875" style="148" customWidth="1"/>
    <col min="12057" max="12287" width="9.140625" style="148" customWidth="1"/>
    <col min="12288" max="12288" width="3.28515625" style="148"/>
    <col min="12289" max="12289" width="3.28515625" style="148" customWidth="1"/>
    <col min="12290" max="12290" width="10.85546875" style="148" customWidth="1"/>
    <col min="12291" max="12291" width="36" style="148" customWidth="1"/>
    <col min="12292" max="12292" width="3.42578125" style="148" customWidth="1"/>
    <col min="12293" max="12293" width="11.28515625" style="148" customWidth="1"/>
    <col min="12294" max="12294" width="9.85546875" style="148" customWidth="1"/>
    <col min="12295" max="12295" width="10.7109375" style="148" customWidth="1"/>
    <col min="12296" max="12296" width="11.7109375" style="148" customWidth="1"/>
    <col min="12297" max="12297" width="12.140625" style="148" customWidth="1"/>
    <col min="12298" max="12299" width="11.5703125" style="148" customWidth="1"/>
    <col min="12300" max="12300" width="11.140625" style="148" customWidth="1"/>
    <col min="12301" max="12301" width="12.140625" style="148" customWidth="1"/>
    <col min="12302" max="12302" width="11.42578125" style="148" customWidth="1"/>
    <col min="12303" max="12303" width="12.140625" style="148" customWidth="1"/>
    <col min="12304" max="12304" width="12.28515625" style="148" customWidth="1"/>
    <col min="12305" max="12305" width="11.140625" style="148" customWidth="1"/>
    <col min="12306" max="12306" width="11.28515625" style="148" customWidth="1"/>
    <col min="12307" max="12307" width="11.7109375" style="148" customWidth="1"/>
    <col min="12308" max="12308" width="11.42578125" style="148" customWidth="1"/>
    <col min="12309" max="12309" width="11.28515625" style="148" customWidth="1"/>
    <col min="12310" max="12310" width="11.140625" style="148" customWidth="1"/>
    <col min="12311" max="12311" width="12.5703125" style="148" customWidth="1"/>
    <col min="12312" max="12312" width="12.85546875" style="148" customWidth="1"/>
    <col min="12313" max="12543" width="9.140625" style="148" customWidth="1"/>
    <col min="12544" max="12544" width="3.28515625" style="148"/>
    <col min="12545" max="12545" width="3.28515625" style="148" customWidth="1"/>
    <col min="12546" max="12546" width="10.85546875" style="148" customWidth="1"/>
    <col min="12547" max="12547" width="36" style="148" customWidth="1"/>
    <col min="12548" max="12548" width="3.42578125" style="148" customWidth="1"/>
    <col min="12549" max="12549" width="11.28515625" style="148" customWidth="1"/>
    <col min="12550" max="12550" width="9.85546875" style="148" customWidth="1"/>
    <col min="12551" max="12551" width="10.7109375" style="148" customWidth="1"/>
    <col min="12552" max="12552" width="11.7109375" style="148" customWidth="1"/>
    <col min="12553" max="12553" width="12.140625" style="148" customWidth="1"/>
    <col min="12554" max="12555" width="11.5703125" style="148" customWidth="1"/>
    <col min="12556" max="12556" width="11.140625" style="148" customWidth="1"/>
    <col min="12557" max="12557" width="12.140625" style="148" customWidth="1"/>
    <col min="12558" max="12558" width="11.42578125" style="148" customWidth="1"/>
    <col min="12559" max="12559" width="12.140625" style="148" customWidth="1"/>
    <col min="12560" max="12560" width="12.28515625" style="148" customWidth="1"/>
    <col min="12561" max="12561" width="11.140625" style="148" customWidth="1"/>
    <col min="12562" max="12562" width="11.28515625" style="148" customWidth="1"/>
    <col min="12563" max="12563" width="11.7109375" style="148" customWidth="1"/>
    <col min="12564" max="12564" width="11.42578125" style="148" customWidth="1"/>
    <col min="12565" max="12565" width="11.28515625" style="148" customWidth="1"/>
    <col min="12566" max="12566" width="11.140625" style="148" customWidth="1"/>
    <col min="12567" max="12567" width="12.5703125" style="148" customWidth="1"/>
    <col min="12568" max="12568" width="12.85546875" style="148" customWidth="1"/>
    <col min="12569" max="12799" width="9.140625" style="148" customWidth="1"/>
    <col min="12800" max="12800" width="3.28515625" style="148"/>
    <col min="12801" max="12801" width="3.28515625" style="148" customWidth="1"/>
    <col min="12802" max="12802" width="10.85546875" style="148" customWidth="1"/>
    <col min="12803" max="12803" width="36" style="148" customWidth="1"/>
    <col min="12804" max="12804" width="3.42578125" style="148" customWidth="1"/>
    <col min="12805" max="12805" width="11.28515625" style="148" customWidth="1"/>
    <col min="12806" max="12806" width="9.85546875" style="148" customWidth="1"/>
    <col min="12807" max="12807" width="10.7109375" style="148" customWidth="1"/>
    <col min="12808" max="12808" width="11.7109375" style="148" customWidth="1"/>
    <col min="12809" max="12809" width="12.140625" style="148" customWidth="1"/>
    <col min="12810" max="12811" width="11.5703125" style="148" customWidth="1"/>
    <col min="12812" max="12812" width="11.140625" style="148" customWidth="1"/>
    <col min="12813" max="12813" width="12.140625" style="148" customWidth="1"/>
    <col min="12814" max="12814" width="11.42578125" style="148" customWidth="1"/>
    <col min="12815" max="12815" width="12.140625" style="148" customWidth="1"/>
    <col min="12816" max="12816" width="12.28515625" style="148" customWidth="1"/>
    <col min="12817" max="12817" width="11.140625" style="148" customWidth="1"/>
    <col min="12818" max="12818" width="11.28515625" style="148" customWidth="1"/>
    <col min="12819" max="12819" width="11.7109375" style="148" customWidth="1"/>
    <col min="12820" max="12820" width="11.42578125" style="148" customWidth="1"/>
    <col min="12821" max="12821" width="11.28515625" style="148" customWidth="1"/>
    <col min="12822" max="12822" width="11.140625" style="148" customWidth="1"/>
    <col min="12823" max="12823" width="12.5703125" style="148" customWidth="1"/>
    <col min="12824" max="12824" width="12.85546875" style="148" customWidth="1"/>
    <col min="12825" max="13055" width="9.140625" style="148" customWidth="1"/>
    <col min="13056" max="13056" width="3.28515625" style="148"/>
    <col min="13057" max="13057" width="3.28515625" style="148" customWidth="1"/>
    <col min="13058" max="13058" width="10.85546875" style="148" customWidth="1"/>
    <col min="13059" max="13059" width="36" style="148" customWidth="1"/>
    <col min="13060" max="13060" width="3.42578125" style="148" customWidth="1"/>
    <col min="13061" max="13061" width="11.28515625" style="148" customWidth="1"/>
    <col min="13062" max="13062" width="9.85546875" style="148" customWidth="1"/>
    <col min="13063" max="13063" width="10.7109375" style="148" customWidth="1"/>
    <col min="13064" max="13064" width="11.7109375" style="148" customWidth="1"/>
    <col min="13065" max="13065" width="12.140625" style="148" customWidth="1"/>
    <col min="13066" max="13067" width="11.5703125" style="148" customWidth="1"/>
    <col min="13068" max="13068" width="11.140625" style="148" customWidth="1"/>
    <col min="13069" max="13069" width="12.140625" style="148" customWidth="1"/>
    <col min="13070" max="13070" width="11.42578125" style="148" customWidth="1"/>
    <col min="13071" max="13071" width="12.140625" style="148" customWidth="1"/>
    <col min="13072" max="13072" width="12.28515625" style="148" customWidth="1"/>
    <col min="13073" max="13073" width="11.140625" style="148" customWidth="1"/>
    <col min="13074" max="13074" width="11.28515625" style="148" customWidth="1"/>
    <col min="13075" max="13075" width="11.7109375" style="148" customWidth="1"/>
    <col min="13076" max="13076" width="11.42578125" style="148" customWidth="1"/>
    <col min="13077" max="13077" width="11.28515625" style="148" customWidth="1"/>
    <col min="13078" max="13078" width="11.140625" style="148" customWidth="1"/>
    <col min="13079" max="13079" width="12.5703125" style="148" customWidth="1"/>
    <col min="13080" max="13080" width="12.85546875" style="148" customWidth="1"/>
    <col min="13081" max="13311" width="9.140625" style="148" customWidth="1"/>
    <col min="13312" max="13312" width="3.28515625" style="148"/>
    <col min="13313" max="13313" width="3.28515625" style="148" customWidth="1"/>
    <col min="13314" max="13314" width="10.85546875" style="148" customWidth="1"/>
    <col min="13315" max="13315" width="36" style="148" customWidth="1"/>
    <col min="13316" max="13316" width="3.42578125" style="148" customWidth="1"/>
    <col min="13317" max="13317" width="11.28515625" style="148" customWidth="1"/>
    <col min="13318" max="13318" width="9.85546875" style="148" customWidth="1"/>
    <col min="13319" max="13319" width="10.7109375" style="148" customWidth="1"/>
    <col min="13320" max="13320" width="11.7109375" style="148" customWidth="1"/>
    <col min="13321" max="13321" width="12.140625" style="148" customWidth="1"/>
    <col min="13322" max="13323" width="11.5703125" style="148" customWidth="1"/>
    <col min="13324" max="13324" width="11.140625" style="148" customWidth="1"/>
    <col min="13325" max="13325" width="12.140625" style="148" customWidth="1"/>
    <col min="13326" max="13326" width="11.42578125" style="148" customWidth="1"/>
    <col min="13327" max="13327" width="12.140625" style="148" customWidth="1"/>
    <col min="13328" max="13328" width="12.28515625" style="148" customWidth="1"/>
    <col min="13329" max="13329" width="11.140625" style="148" customWidth="1"/>
    <col min="13330" max="13330" width="11.28515625" style="148" customWidth="1"/>
    <col min="13331" max="13331" width="11.7109375" style="148" customWidth="1"/>
    <col min="13332" max="13332" width="11.42578125" style="148" customWidth="1"/>
    <col min="13333" max="13333" width="11.28515625" style="148" customWidth="1"/>
    <col min="13334" max="13334" width="11.140625" style="148" customWidth="1"/>
    <col min="13335" max="13335" width="12.5703125" style="148" customWidth="1"/>
    <col min="13336" max="13336" width="12.85546875" style="148" customWidth="1"/>
    <col min="13337" max="13567" width="9.140625" style="148" customWidth="1"/>
    <col min="13568" max="13568" width="3.28515625" style="148"/>
    <col min="13569" max="13569" width="3.28515625" style="148" customWidth="1"/>
    <col min="13570" max="13570" width="10.85546875" style="148" customWidth="1"/>
    <col min="13571" max="13571" width="36" style="148" customWidth="1"/>
    <col min="13572" max="13572" width="3.42578125" style="148" customWidth="1"/>
    <col min="13573" max="13573" width="11.28515625" style="148" customWidth="1"/>
    <col min="13574" max="13574" width="9.85546875" style="148" customWidth="1"/>
    <col min="13575" max="13575" width="10.7109375" style="148" customWidth="1"/>
    <col min="13576" max="13576" width="11.7109375" style="148" customWidth="1"/>
    <col min="13577" max="13577" width="12.140625" style="148" customWidth="1"/>
    <col min="13578" max="13579" width="11.5703125" style="148" customWidth="1"/>
    <col min="13580" max="13580" width="11.140625" style="148" customWidth="1"/>
    <col min="13581" max="13581" width="12.140625" style="148" customWidth="1"/>
    <col min="13582" max="13582" width="11.42578125" style="148" customWidth="1"/>
    <col min="13583" max="13583" width="12.140625" style="148" customWidth="1"/>
    <col min="13584" max="13584" width="12.28515625" style="148" customWidth="1"/>
    <col min="13585" max="13585" width="11.140625" style="148" customWidth="1"/>
    <col min="13586" max="13586" width="11.28515625" style="148" customWidth="1"/>
    <col min="13587" max="13587" width="11.7109375" style="148" customWidth="1"/>
    <col min="13588" max="13588" width="11.42578125" style="148" customWidth="1"/>
    <col min="13589" max="13589" width="11.28515625" style="148" customWidth="1"/>
    <col min="13590" max="13590" width="11.140625" style="148" customWidth="1"/>
    <col min="13591" max="13591" width="12.5703125" style="148" customWidth="1"/>
    <col min="13592" max="13592" width="12.85546875" style="148" customWidth="1"/>
    <col min="13593" max="13823" width="9.140625" style="148" customWidth="1"/>
    <col min="13824" max="13824" width="3.28515625" style="148"/>
    <col min="13825" max="13825" width="3.28515625" style="148" customWidth="1"/>
    <col min="13826" max="13826" width="10.85546875" style="148" customWidth="1"/>
    <col min="13827" max="13827" width="36" style="148" customWidth="1"/>
    <col min="13828" max="13828" width="3.42578125" style="148" customWidth="1"/>
    <col min="13829" max="13829" width="11.28515625" style="148" customWidth="1"/>
    <col min="13830" max="13830" width="9.85546875" style="148" customWidth="1"/>
    <col min="13831" max="13831" width="10.7109375" style="148" customWidth="1"/>
    <col min="13832" max="13832" width="11.7109375" style="148" customWidth="1"/>
    <col min="13833" max="13833" width="12.140625" style="148" customWidth="1"/>
    <col min="13834" max="13835" width="11.5703125" style="148" customWidth="1"/>
    <col min="13836" max="13836" width="11.140625" style="148" customWidth="1"/>
    <col min="13837" max="13837" width="12.140625" style="148" customWidth="1"/>
    <col min="13838" max="13838" width="11.42578125" style="148" customWidth="1"/>
    <col min="13839" max="13839" width="12.140625" style="148" customWidth="1"/>
    <col min="13840" max="13840" width="12.28515625" style="148" customWidth="1"/>
    <col min="13841" max="13841" width="11.140625" style="148" customWidth="1"/>
    <col min="13842" max="13842" width="11.28515625" style="148" customWidth="1"/>
    <col min="13843" max="13843" width="11.7109375" style="148" customWidth="1"/>
    <col min="13844" max="13844" width="11.42578125" style="148" customWidth="1"/>
    <col min="13845" max="13845" width="11.28515625" style="148" customWidth="1"/>
    <col min="13846" max="13846" width="11.140625" style="148" customWidth="1"/>
    <col min="13847" max="13847" width="12.5703125" style="148" customWidth="1"/>
    <col min="13848" max="13848" width="12.85546875" style="148" customWidth="1"/>
    <col min="13849" max="14079" width="9.140625" style="148" customWidth="1"/>
    <col min="14080" max="14080" width="3.28515625" style="148"/>
    <col min="14081" max="14081" width="3.28515625" style="148" customWidth="1"/>
    <col min="14082" max="14082" width="10.85546875" style="148" customWidth="1"/>
    <col min="14083" max="14083" width="36" style="148" customWidth="1"/>
    <col min="14084" max="14084" width="3.42578125" style="148" customWidth="1"/>
    <col min="14085" max="14085" width="11.28515625" style="148" customWidth="1"/>
    <col min="14086" max="14086" width="9.85546875" style="148" customWidth="1"/>
    <col min="14087" max="14087" width="10.7109375" style="148" customWidth="1"/>
    <col min="14088" max="14088" width="11.7109375" style="148" customWidth="1"/>
    <col min="14089" max="14089" width="12.140625" style="148" customWidth="1"/>
    <col min="14090" max="14091" width="11.5703125" style="148" customWidth="1"/>
    <col min="14092" max="14092" width="11.140625" style="148" customWidth="1"/>
    <col min="14093" max="14093" width="12.140625" style="148" customWidth="1"/>
    <col min="14094" max="14094" width="11.42578125" style="148" customWidth="1"/>
    <col min="14095" max="14095" width="12.140625" style="148" customWidth="1"/>
    <col min="14096" max="14096" width="12.28515625" style="148" customWidth="1"/>
    <col min="14097" max="14097" width="11.140625" style="148" customWidth="1"/>
    <col min="14098" max="14098" width="11.28515625" style="148" customWidth="1"/>
    <col min="14099" max="14099" width="11.7109375" style="148" customWidth="1"/>
    <col min="14100" max="14100" width="11.42578125" style="148" customWidth="1"/>
    <col min="14101" max="14101" width="11.28515625" style="148" customWidth="1"/>
    <col min="14102" max="14102" width="11.140625" style="148" customWidth="1"/>
    <col min="14103" max="14103" width="12.5703125" style="148" customWidth="1"/>
    <col min="14104" max="14104" width="12.85546875" style="148" customWidth="1"/>
    <col min="14105" max="14335" width="9.140625" style="148" customWidth="1"/>
    <col min="14336" max="14336" width="3.28515625" style="148"/>
    <col min="14337" max="14337" width="3.28515625" style="148" customWidth="1"/>
    <col min="14338" max="14338" width="10.85546875" style="148" customWidth="1"/>
    <col min="14339" max="14339" width="36" style="148" customWidth="1"/>
    <col min="14340" max="14340" width="3.42578125" style="148" customWidth="1"/>
    <col min="14341" max="14341" width="11.28515625" style="148" customWidth="1"/>
    <col min="14342" max="14342" width="9.85546875" style="148" customWidth="1"/>
    <col min="14343" max="14343" width="10.7109375" style="148" customWidth="1"/>
    <col min="14344" max="14344" width="11.7109375" style="148" customWidth="1"/>
    <col min="14345" max="14345" width="12.140625" style="148" customWidth="1"/>
    <col min="14346" max="14347" width="11.5703125" style="148" customWidth="1"/>
    <col min="14348" max="14348" width="11.140625" style="148" customWidth="1"/>
    <col min="14349" max="14349" width="12.140625" style="148" customWidth="1"/>
    <col min="14350" max="14350" width="11.42578125" style="148" customWidth="1"/>
    <col min="14351" max="14351" width="12.140625" style="148" customWidth="1"/>
    <col min="14352" max="14352" width="12.28515625" style="148" customWidth="1"/>
    <col min="14353" max="14353" width="11.140625" style="148" customWidth="1"/>
    <col min="14354" max="14354" width="11.28515625" style="148" customWidth="1"/>
    <col min="14355" max="14355" width="11.7109375" style="148" customWidth="1"/>
    <col min="14356" max="14356" width="11.42578125" style="148" customWidth="1"/>
    <col min="14357" max="14357" width="11.28515625" style="148" customWidth="1"/>
    <col min="14358" max="14358" width="11.140625" style="148" customWidth="1"/>
    <col min="14359" max="14359" width="12.5703125" style="148" customWidth="1"/>
    <col min="14360" max="14360" width="12.85546875" style="148" customWidth="1"/>
    <col min="14361" max="14591" width="9.140625" style="148" customWidth="1"/>
    <col min="14592" max="14592" width="3.28515625" style="148"/>
    <col min="14593" max="14593" width="3.28515625" style="148" customWidth="1"/>
    <col min="14594" max="14594" width="10.85546875" style="148" customWidth="1"/>
    <col min="14595" max="14595" width="36" style="148" customWidth="1"/>
    <col min="14596" max="14596" width="3.42578125" style="148" customWidth="1"/>
    <col min="14597" max="14597" width="11.28515625" style="148" customWidth="1"/>
    <col min="14598" max="14598" width="9.85546875" style="148" customWidth="1"/>
    <col min="14599" max="14599" width="10.7109375" style="148" customWidth="1"/>
    <col min="14600" max="14600" width="11.7109375" style="148" customWidth="1"/>
    <col min="14601" max="14601" width="12.140625" style="148" customWidth="1"/>
    <col min="14602" max="14603" width="11.5703125" style="148" customWidth="1"/>
    <col min="14604" max="14604" width="11.140625" style="148" customWidth="1"/>
    <col min="14605" max="14605" width="12.140625" style="148" customWidth="1"/>
    <col min="14606" max="14606" width="11.42578125" style="148" customWidth="1"/>
    <col min="14607" max="14607" width="12.140625" style="148" customWidth="1"/>
    <col min="14608" max="14608" width="12.28515625" style="148" customWidth="1"/>
    <col min="14609" max="14609" width="11.140625" style="148" customWidth="1"/>
    <col min="14610" max="14610" width="11.28515625" style="148" customWidth="1"/>
    <col min="14611" max="14611" width="11.7109375" style="148" customWidth="1"/>
    <col min="14612" max="14612" width="11.42578125" style="148" customWidth="1"/>
    <col min="14613" max="14613" width="11.28515625" style="148" customWidth="1"/>
    <col min="14614" max="14614" width="11.140625" style="148" customWidth="1"/>
    <col min="14615" max="14615" width="12.5703125" style="148" customWidth="1"/>
    <col min="14616" max="14616" width="12.85546875" style="148" customWidth="1"/>
    <col min="14617" max="14847" width="9.140625" style="148" customWidth="1"/>
    <col min="14848" max="14848" width="3.28515625" style="148"/>
    <col min="14849" max="14849" width="3.28515625" style="148" customWidth="1"/>
    <col min="14850" max="14850" width="10.85546875" style="148" customWidth="1"/>
    <col min="14851" max="14851" width="36" style="148" customWidth="1"/>
    <col min="14852" max="14852" width="3.42578125" style="148" customWidth="1"/>
    <col min="14853" max="14853" width="11.28515625" style="148" customWidth="1"/>
    <col min="14854" max="14854" width="9.85546875" style="148" customWidth="1"/>
    <col min="14855" max="14855" width="10.7109375" style="148" customWidth="1"/>
    <col min="14856" max="14856" width="11.7109375" style="148" customWidth="1"/>
    <col min="14857" max="14857" width="12.140625" style="148" customWidth="1"/>
    <col min="14858" max="14859" width="11.5703125" style="148" customWidth="1"/>
    <col min="14860" max="14860" width="11.140625" style="148" customWidth="1"/>
    <col min="14861" max="14861" width="12.140625" style="148" customWidth="1"/>
    <col min="14862" max="14862" width="11.42578125" style="148" customWidth="1"/>
    <col min="14863" max="14863" width="12.140625" style="148" customWidth="1"/>
    <col min="14864" max="14864" width="12.28515625" style="148" customWidth="1"/>
    <col min="14865" max="14865" width="11.140625" style="148" customWidth="1"/>
    <col min="14866" max="14866" width="11.28515625" style="148" customWidth="1"/>
    <col min="14867" max="14867" width="11.7109375" style="148" customWidth="1"/>
    <col min="14868" max="14868" width="11.42578125" style="148" customWidth="1"/>
    <col min="14869" max="14869" width="11.28515625" style="148" customWidth="1"/>
    <col min="14870" max="14870" width="11.140625" style="148" customWidth="1"/>
    <col min="14871" max="14871" width="12.5703125" style="148" customWidth="1"/>
    <col min="14872" max="14872" width="12.85546875" style="148" customWidth="1"/>
    <col min="14873" max="15103" width="9.140625" style="148" customWidth="1"/>
    <col min="15104" max="15104" width="3.28515625" style="148"/>
    <col min="15105" max="15105" width="3.28515625" style="148" customWidth="1"/>
    <col min="15106" max="15106" width="10.85546875" style="148" customWidth="1"/>
    <col min="15107" max="15107" width="36" style="148" customWidth="1"/>
    <col min="15108" max="15108" width="3.42578125" style="148" customWidth="1"/>
    <col min="15109" max="15109" width="11.28515625" style="148" customWidth="1"/>
    <col min="15110" max="15110" width="9.85546875" style="148" customWidth="1"/>
    <col min="15111" max="15111" width="10.7109375" style="148" customWidth="1"/>
    <col min="15112" max="15112" width="11.7109375" style="148" customWidth="1"/>
    <col min="15113" max="15113" width="12.140625" style="148" customWidth="1"/>
    <col min="15114" max="15115" width="11.5703125" style="148" customWidth="1"/>
    <col min="15116" max="15116" width="11.140625" style="148" customWidth="1"/>
    <col min="15117" max="15117" width="12.140625" style="148" customWidth="1"/>
    <col min="15118" max="15118" width="11.42578125" style="148" customWidth="1"/>
    <col min="15119" max="15119" width="12.140625" style="148" customWidth="1"/>
    <col min="15120" max="15120" width="12.28515625" style="148" customWidth="1"/>
    <col min="15121" max="15121" width="11.140625" style="148" customWidth="1"/>
    <col min="15122" max="15122" width="11.28515625" style="148" customWidth="1"/>
    <col min="15123" max="15123" width="11.7109375" style="148" customWidth="1"/>
    <col min="15124" max="15124" width="11.42578125" style="148" customWidth="1"/>
    <col min="15125" max="15125" width="11.28515625" style="148" customWidth="1"/>
    <col min="15126" max="15126" width="11.140625" style="148" customWidth="1"/>
    <col min="15127" max="15127" width="12.5703125" style="148" customWidth="1"/>
    <col min="15128" max="15128" width="12.85546875" style="148" customWidth="1"/>
    <col min="15129" max="15359" width="9.140625" style="148" customWidth="1"/>
    <col min="15360" max="15360" width="3.28515625" style="148"/>
    <col min="15361" max="15361" width="3.28515625" style="148" customWidth="1"/>
    <col min="15362" max="15362" width="10.85546875" style="148" customWidth="1"/>
    <col min="15363" max="15363" width="36" style="148" customWidth="1"/>
    <col min="15364" max="15364" width="3.42578125" style="148" customWidth="1"/>
    <col min="15365" max="15365" width="11.28515625" style="148" customWidth="1"/>
    <col min="15366" max="15366" width="9.85546875" style="148" customWidth="1"/>
    <col min="15367" max="15367" width="10.7109375" style="148" customWidth="1"/>
    <col min="15368" max="15368" width="11.7109375" style="148" customWidth="1"/>
    <col min="15369" max="15369" width="12.140625" style="148" customWidth="1"/>
    <col min="15370" max="15371" width="11.5703125" style="148" customWidth="1"/>
    <col min="15372" max="15372" width="11.140625" style="148" customWidth="1"/>
    <col min="15373" max="15373" width="12.140625" style="148" customWidth="1"/>
    <col min="15374" max="15374" width="11.42578125" style="148" customWidth="1"/>
    <col min="15375" max="15375" width="12.140625" style="148" customWidth="1"/>
    <col min="15376" max="15376" width="12.28515625" style="148" customWidth="1"/>
    <col min="15377" max="15377" width="11.140625" style="148" customWidth="1"/>
    <col min="15378" max="15378" width="11.28515625" style="148" customWidth="1"/>
    <col min="15379" max="15379" width="11.7109375" style="148" customWidth="1"/>
    <col min="15380" max="15380" width="11.42578125" style="148" customWidth="1"/>
    <col min="15381" max="15381" width="11.28515625" style="148" customWidth="1"/>
    <col min="15382" max="15382" width="11.140625" style="148" customWidth="1"/>
    <col min="15383" max="15383" width="12.5703125" style="148" customWidth="1"/>
    <col min="15384" max="15384" width="12.85546875" style="148" customWidth="1"/>
    <col min="15385" max="15615" width="9.140625" style="148" customWidth="1"/>
    <col min="15616" max="15616" width="3.28515625" style="148"/>
    <col min="15617" max="15617" width="3.28515625" style="148" customWidth="1"/>
    <col min="15618" max="15618" width="10.85546875" style="148" customWidth="1"/>
    <col min="15619" max="15619" width="36" style="148" customWidth="1"/>
    <col min="15620" max="15620" width="3.42578125" style="148" customWidth="1"/>
    <col min="15621" max="15621" width="11.28515625" style="148" customWidth="1"/>
    <col min="15622" max="15622" width="9.85546875" style="148" customWidth="1"/>
    <col min="15623" max="15623" width="10.7109375" style="148" customWidth="1"/>
    <col min="15624" max="15624" width="11.7109375" style="148" customWidth="1"/>
    <col min="15625" max="15625" width="12.140625" style="148" customWidth="1"/>
    <col min="15626" max="15627" width="11.5703125" style="148" customWidth="1"/>
    <col min="15628" max="15628" width="11.140625" style="148" customWidth="1"/>
    <col min="15629" max="15629" width="12.140625" style="148" customWidth="1"/>
    <col min="15630" max="15630" width="11.42578125" style="148" customWidth="1"/>
    <col min="15631" max="15631" width="12.140625" style="148" customWidth="1"/>
    <col min="15632" max="15632" width="12.28515625" style="148" customWidth="1"/>
    <col min="15633" max="15633" width="11.140625" style="148" customWidth="1"/>
    <col min="15634" max="15634" width="11.28515625" style="148" customWidth="1"/>
    <col min="15635" max="15635" width="11.7109375" style="148" customWidth="1"/>
    <col min="15636" max="15636" width="11.42578125" style="148" customWidth="1"/>
    <col min="15637" max="15637" width="11.28515625" style="148" customWidth="1"/>
    <col min="15638" max="15638" width="11.140625" style="148" customWidth="1"/>
    <col min="15639" max="15639" width="12.5703125" style="148" customWidth="1"/>
    <col min="15640" max="15640" width="12.85546875" style="148" customWidth="1"/>
    <col min="15641" max="15871" width="9.140625" style="148" customWidth="1"/>
    <col min="15872" max="15872" width="3.28515625" style="148"/>
    <col min="15873" max="15873" width="3.28515625" style="148" customWidth="1"/>
    <col min="15874" max="15874" width="10.85546875" style="148" customWidth="1"/>
    <col min="15875" max="15875" width="36" style="148" customWidth="1"/>
    <col min="15876" max="15876" width="3.42578125" style="148" customWidth="1"/>
    <col min="15877" max="15877" width="11.28515625" style="148" customWidth="1"/>
    <col min="15878" max="15878" width="9.85546875" style="148" customWidth="1"/>
    <col min="15879" max="15879" width="10.7109375" style="148" customWidth="1"/>
    <col min="15880" max="15880" width="11.7109375" style="148" customWidth="1"/>
    <col min="15881" max="15881" width="12.140625" style="148" customWidth="1"/>
    <col min="15882" max="15883" width="11.5703125" style="148" customWidth="1"/>
    <col min="15884" max="15884" width="11.140625" style="148" customWidth="1"/>
    <col min="15885" max="15885" width="12.140625" style="148" customWidth="1"/>
    <col min="15886" max="15886" width="11.42578125" style="148" customWidth="1"/>
    <col min="15887" max="15887" width="12.140625" style="148" customWidth="1"/>
    <col min="15888" max="15888" width="12.28515625" style="148" customWidth="1"/>
    <col min="15889" max="15889" width="11.140625" style="148" customWidth="1"/>
    <col min="15890" max="15890" width="11.28515625" style="148" customWidth="1"/>
    <col min="15891" max="15891" width="11.7109375" style="148" customWidth="1"/>
    <col min="15892" max="15892" width="11.42578125" style="148" customWidth="1"/>
    <col min="15893" max="15893" width="11.28515625" style="148" customWidth="1"/>
    <col min="15894" max="15894" width="11.140625" style="148" customWidth="1"/>
    <col min="15895" max="15895" width="12.5703125" style="148" customWidth="1"/>
    <col min="15896" max="15896" width="12.85546875" style="148" customWidth="1"/>
    <col min="15897" max="16127" width="9.140625" style="148" customWidth="1"/>
    <col min="16128" max="16128" width="3.28515625" style="148"/>
    <col min="16129" max="16129" width="3.28515625" style="148" customWidth="1"/>
    <col min="16130" max="16130" width="10.85546875" style="148" customWidth="1"/>
    <col min="16131" max="16131" width="36" style="148" customWidth="1"/>
    <col min="16132" max="16132" width="3.42578125" style="148" customWidth="1"/>
    <col min="16133" max="16133" width="11.28515625" style="148" customWidth="1"/>
    <col min="16134" max="16134" width="9.85546875" style="148" customWidth="1"/>
    <col min="16135" max="16135" width="10.7109375" style="148" customWidth="1"/>
    <col min="16136" max="16136" width="11.7109375" style="148" customWidth="1"/>
    <col min="16137" max="16137" width="12.140625" style="148" customWidth="1"/>
    <col min="16138" max="16139" width="11.5703125" style="148" customWidth="1"/>
    <col min="16140" max="16140" width="11.140625" style="148" customWidth="1"/>
    <col min="16141" max="16141" width="12.140625" style="148" customWidth="1"/>
    <col min="16142" max="16142" width="11.42578125" style="148" customWidth="1"/>
    <col min="16143" max="16143" width="12.140625" style="148" customWidth="1"/>
    <col min="16144" max="16144" width="12.28515625" style="148" customWidth="1"/>
    <col min="16145" max="16145" width="11.140625" style="148" customWidth="1"/>
    <col min="16146" max="16146" width="11.28515625" style="148" customWidth="1"/>
    <col min="16147" max="16147" width="11.7109375" style="148" customWidth="1"/>
    <col min="16148" max="16148" width="11.42578125" style="148" customWidth="1"/>
    <col min="16149" max="16149" width="11.28515625" style="148" customWidth="1"/>
    <col min="16150" max="16150" width="11.140625" style="148" customWidth="1"/>
    <col min="16151" max="16151" width="12.5703125" style="148" customWidth="1"/>
    <col min="16152" max="16152" width="12.85546875" style="148" customWidth="1"/>
    <col min="16153" max="16383" width="9.140625" style="148" customWidth="1"/>
    <col min="16384" max="16384" width="3.28515625" style="148"/>
  </cols>
  <sheetData>
    <row r="1" spans="1:24" x14ac:dyDescent="0.2">
      <c r="B1" s="149" t="s">
        <v>153</v>
      </c>
      <c r="C1" s="150"/>
      <c r="D1" s="150"/>
      <c r="E1" s="150"/>
      <c r="F1" s="151"/>
      <c r="G1" s="151"/>
      <c r="K1" s="152"/>
      <c r="L1" s="153" t="s">
        <v>489</v>
      </c>
    </row>
    <row r="2" spans="1:24" ht="15" x14ac:dyDescent="0.25">
      <c r="B2" s="149"/>
      <c r="C2" s="150"/>
      <c r="D2" s="150"/>
      <c r="E2" s="150"/>
      <c r="F2" s="151"/>
      <c r="G2" s="151"/>
      <c r="K2" s="154"/>
      <c r="L2" s="155" t="s">
        <v>379</v>
      </c>
    </row>
    <row r="3" spans="1:24" ht="15" x14ac:dyDescent="0.25">
      <c r="B3" s="149"/>
      <c r="C3" s="150"/>
      <c r="D3" s="150"/>
      <c r="E3" s="150"/>
      <c r="F3" s="151"/>
      <c r="G3" s="151"/>
      <c r="K3" s="154"/>
      <c r="L3" s="155" t="s">
        <v>589</v>
      </c>
    </row>
    <row r="4" spans="1:24" ht="18" customHeight="1" x14ac:dyDescent="0.25">
      <c r="A4" s="565" t="s">
        <v>563</v>
      </c>
      <c r="B4" s="565"/>
      <c r="C4" s="565"/>
      <c r="D4" s="565"/>
      <c r="E4" s="565"/>
      <c r="F4" s="565"/>
      <c r="G4" s="565"/>
      <c r="H4" s="565"/>
      <c r="I4" s="565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</row>
    <row r="5" spans="1:24" s="161" customFormat="1" ht="12.75" customHeight="1" x14ac:dyDescent="0.2">
      <c r="A5" s="566" t="s">
        <v>490</v>
      </c>
      <c r="B5" s="568" t="s">
        <v>491</v>
      </c>
      <c r="C5" s="570" t="s">
        <v>492</v>
      </c>
      <c r="D5" s="157"/>
      <c r="E5" s="157" t="s">
        <v>493</v>
      </c>
      <c r="F5" s="157" t="s">
        <v>494</v>
      </c>
      <c r="G5" s="157" t="s">
        <v>495</v>
      </c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9"/>
      <c r="U5" s="159"/>
      <c r="V5" s="159"/>
      <c r="W5" s="159"/>
      <c r="X5" s="160" t="s">
        <v>496</v>
      </c>
    </row>
    <row r="6" spans="1:24" s="161" customFormat="1" x14ac:dyDescent="0.2">
      <c r="A6" s="567"/>
      <c r="B6" s="569"/>
      <c r="C6" s="571"/>
      <c r="D6" s="162"/>
      <c r="E6" s="162" t="s">
        <v>497</v>
      </c>
      <c r="F6" s="162" t="s">
        <v>498</v>
      </c>
      <c r="G6" s="162" t="s">
        <v>287</v>
      </c>
      <c r="H6" s="162">
        <v>2019</v>
      </c>
      <c r="I6" s="162">
        <f t="shared" ref="I6:V6" si="0">SUM(H6+1)</f>
        <v>2020</v>
      </c>
      <c r="J6" s="162">
        <f t="shared" si="0"/>
        <v>2021</v>
      </c>
      <c r="K6" s="162">
        <f>SUM(J6+1)</f>
        <v>2022</v>
      </c>
      <c r="L6" s="162">
        <f t="shared" si="0"/>
        <v>2023</v>
      </c>
      <c r="M6" s="162">
        <f t="shared" si="0"/>
        <v>2024</v>
      </c>
      <c r="N6" s="162">
        <f t="shared" si="0"/>
        <v>2025</v>
      </c>
      <c r="O6" s="162">
        <f t="shared" si="0"/>
        <v>2026</v>
      </c>
      <c r="P6" s="162">
        <f t="shared" si="0"/>
        <v>2027</v>
      </c>
      <c r="Q6" s="162">
        <f t="shared" si="0"/>
        <v>2028</v>
      </c>
      <c r="R6" s="162">
        <f t="shared" si="0"/>
        <v>2029</v>
      </c>
      <c r="S6" s="162">
        <f t="shared" si="0"/>
        <v>2030</v>
      </c>
      <c r="T6" s="162">
        <f t="shared" si="0"/>
        <v>2031</v>
      </c>
      <c r="U6" s="162">
        <f t="shared" si="0"/>
        <v>2032</v>
      </c>
      <c r="V6" s="343">
        <f t="shared" si="0"/>
        <v>2033</v>
      </c>
      <c r="W6" s="163" t="s">
        <v>676</v>
      </c>
      <c r="X6" s="164" t="s">
        <v>499</v>
      </c>
    </row>
    <row r="7" spans="1:24" s="168" customFormat="1" x14ac:dyDescent="0.2">
      <c r="A7" s="544">
        <v>1</v>
      </c>
      <c r="B7" s="339" t="s">
        <v>501</v>
      </c>
      <c r="C7" s="501" t="s">
        <v>593</v>
      </c>
      <c r="D7" s="501">
        <v>648</v>
      </c>
      <c r="E7" s="546">
        <v>45201391.5</v>
      </c>
      <c r="F7" s="519" t="s">
        <v>594</v>
      </c>
      <c r="G7" s="183" t="s">
        <v>500</v>
      </c>
      <c r="H7" s="211">
        <v>5108904</v>
      </c>
      <c r="I7" s="211">
        <v>5489516</v>
      </c>
      <c r="J7" s="211">
        <v>5307920</v>
      </c>
      <c r="K7" s="211">
        <v>4563372</v>
      </c>
      <c r="L7" s="211">
        <v>4178496</v>
      </c>
      <c r="M7" s="211">
        <v>3888532</v>
      </c>
      <c r="N7" s="211">
        <v>3795232</v>
      </c>
      <c r="O7" s="211">
        <v>3470364</v>
      </c>
      <c r="P7" s="211">
        <v>1653540</v>
      </c>
      <c r="Q7" s="211">
        <v>1134524</v>
      </c>
      <c r="R7" s="211">
        <v>936532</v>
      </c>
      <c r="S7" s="211">
        <v>747604</v>
      </c>
      <c r="T7" s="211">
        <v>747604</v>
      </c>
      <c r="U7" s="211">
        <v>747604</v>
      </c>
      <c r="V7" s="211">
        <v>725552</v>
      </c>
      <c r="W7" s="370">
        <f>269152</f>
        <v>269152</v>
      </c>
      <c r="X7" s="167">
        <f>SUM(H7:W7)</f>
        <v>42764448</v>
      </c>
    </row>
    <row r="8" spans="1:24" s="168" customFormat="1" x14ac:dyDescent="0.2">
      <c r="A8" s="545"/>
      <c r="B8" s="340" t="s">
        <v>595</v>
      </c>
      <c r="C8" s="502"/>
      <c r="D8" s="502"/>
      <c r="E8" s="547"/>
      <c r="F8" s="520"/>
      <c r="G8" s="291">
        <v>2.5000000000000001E-3</v>
      </c>
      <c r="H8" s="193">
        <v>111270</v>
      </c>
      <c r="I8" s="193">
        <v>112215</v>
      </c>
      <c r="J8" s="193">
        <v>95385</v>
      </c>
      <c r="K8" s="193">
        <v>79680</v>
      </c>
      <c r="L8" s="193">
        <v>65920</v>
      </c>
      <c r="M8" s="193">
        <v>53485</v>
      </c>
      <c r="N8" s="193">
        <v>41515</v>
      </c>
      <c r="O8" s="193">
        <v>30165</v>
      </c>
      <c r="P8" s="193">
        <v>20710</v>
      </c>
      <c r="Q8" s="193">
        <v>15750</v>
      </c>
      <c r="R8" s="193">
        <v>12295</v>
      </c>
      <c r="S8" s="193">
        <v>9530</v>
      </c>
      <c r="T8" s="193">
        <v>7225</v>
      </c>
      <c r="U8" s="193">
        <v>4965</v>
      </c>
      <c r="V8" s="193">
        <v>2690</v>
      </c>
      <c r="W8" s="369">
        <v>815</v>
      </c>
      <c r="X8" s="172">
        <f>SUM(H8:W8)</f>
        <v>663615</v>
      </c>
    </row>
    <row r="9" spans="1:24" s="168" customFormat="1" ht="12.75" customHeight="1" x14ac:dyDescent="0.2">
      <c r="A9" s="544">
        <v>2</v>
      </c>
      <c r="B9" s="341" t="s">
        <v>501</v>
      </c>
      <c r="C9" s="521" t="s">
        <v>502</v>
      </c>
      <c r="D9" s="521">
        <v>628</v>
      </c>
      <c r="E9" s="550">
        <v>119421</v>
      </c>
      <c r="F9" s="572" t="s">
        <v>503</v>
      </c>
      <c r="G9" s="184" t="s">
        <v>500</v>
      </c>
      <c r="H9" s="194">
        <v>6728</v>
      </c>
      <c r="I9" s="295">
        <v>6728</v>
      </c>
      <c r="J9" s="295">
        <v>6728</v>
      </c>
      <c r="K9" s="295">
        <v>6728</v>
      </c>
      <c r="L9" s="295">
        <v>6728</v>
      </c>
      <c r="M9" s="295">
        <v>6728</v>
      </c>
      <c r="N9" s="295">
        <v>6728</v>
      </c>
      <c r="O9" s="295">
        <v>6728</v>
      </c>
      <c r="P9" s="196">
        <v>6728</v>
      </c>
      <c r="Q9" s="295">
        <v>6728</v>
      </c>
      <c r="R9" s="295">
        <v>6728</v>
      </c>
      <c r="S9" s="295">
        <v>6728</v>
      </c>
      <c r="T9" s="295">
        <v>6728</v>
      </c>
      <c r="U9" s="295">
        <v>6728</v>
      </c>
      <c r="V9" s="324">
        <v>6728</v>
      </c>
      <c r="W9" s="324">
        <f>6728+1682</f>
        <v>8410</v>
      </c>
      <c r="X9" s="167">
        <f t="shared" ref="X9:X72" si="1">SUM(H9:W9)</f>
        <v>109330</v>
      </c>
    </row>
    <row r="10" spans="1:24" s="168" customFormat="1" x14ac:dyDescent="0.2">
      <c r="A10" s="545"/>
      <c r="B10" s="342" t="s">
        <v>504</v>
      </c>
      <c r="C10" s="522"/>
      <c r="D10" s="522"/>
      <c r="E10" s="551"/>
      <c r="F10" s="518"/>
      <c r="G10" s="291">
        <v>2.5000000000000001E-3</v>
      </c>
      <c r="H10" s="195">
        <v>320</v>
      </c>
      <c r="I10" s="296">
        <v>310</v>
      </c>
      <c r="J10" s="296">
        <v>290</v>
      </c>
      <c r="K10" s="296">
        <v>270</v>
      </c>
      <c r="L10" s="296">
        <v>250</v>
      </c>
      <c r="M10" s="296">
        <v>230</v>
      </c>
      <c r="N10" s="296">
        <v>210</v>
      </c>
      <c r="O10" s="296">
        <v>190</v>
      </c>
      <c r="P10" s="176">
        <v>170</v>
      </c>
      <c r="Q10" s="296">
        <v>150</v>
      </c>
      <c r="R10" s="296">
        <v>125</v>
      </c>
      <c r="S10" s="296">
        <v>105</v>
      </c>
      <c r="T10" s="296">
        <v>85</v>
      </c>
      <c r="U10" s="296">
        <v>65</v>
      </c>
      <c r="V10" s="325">
        <v>45</v>
      </c>
      <c r="W10" s="325">
        <v>30</v>
      </c>
      <c r="X10" s="172">
        <f t="shared" si="1"/>
        <v>2845</v>
      </c>
    </row>
    <row r="11" spans="1:24" s="168" customFormat="1" ht="12.75" customHeight="1" x14ac:dyDescent="0.2">
      <c r="A11" s="544">
        <v>3</v>
      </c>
      <c r="B11" s="339" t="s">
        <v>501</v>
      </c>
      <c r="C11" s="501" t="s">
        <v>505</v>
      </c>
      <c r="D11" s="501">
        <v>629</v>
      </c>
      <c r="E11" s="546">
        <v>463710</v>
      </c>
      <c r="F11" s="519" t="s">
        <v>506</v>
      </c>
      <c r="G11" s="183" t="s">
        <v>500</v>
      </c>
      <c r="H11" s="192">
        <v>25412</v>
      </c>
      <c r="I11" s="292">
        <v>25412</v>
      </c>
      <c r="J11" s="292">
        <v>25412</v>
      </c>
      <c r="K11" s="292">
        <v>25412</v>
      </c>
      <c r="L11" s="292">
        <v>25412</v>
      </c>
      <c r="M11" s="292">
        <v>25412</v>
      </c>
      <c r="N11" s="292">
        <v>25412</v>
      </c>
      <c r="O11" s="292">
        <v>25412</v>
      </c>
      <c r="P11" s="166">
        <v>25412</v>
      </c>
      <c r="Q11" s="292">
        <v>25412</v>
      </c>
      <c r="R11" s="292">
        <v>25412</v>
      </c>
      <c r="S11" s="292">
        <v>25412</v>
      </c>
      <c r="T11" s="292">
        <v>25412</v>
      </c>
      <c r="U11" s="292">
        <v>25412</v>
      </c>
      <c r="V11" s="322">
        <v>25412</v>
      </c>
      <c r="W11" s="322">
        <f>25412+6353</f>
        <v>31765</v>
      </c>
      <c r="X11" s="167">
        <f t="shared" si="1"/>
        <v>412945</v>
      </c>
    </row>
    <row r="12" spans="1:24" s="168" customFormat="1" x14ac:dyDescent="0.2">
      <c r="A12" s="545"/>
      <c r="B12" s="340" t="s">
        <v>507</v>
      </c>
      <c r="C12" s="502"/>
      <c r="D12" s="502"/>
      <c r="E12" s="547"/>
      <c r="F12" s="520"/>
      <c r="G12" s="291">
        <v>2.5000000000000001E-3</v>
      </c>
      <c r="H12" s="193">
        <v>1195</v>
      </c>
      <c r="I12" s="293">
        <v>1175</v>
      </c>
      <c r="J12" s="293">
        <v>1090</v>
      </c>
      <c r="K12" s="293">
        <v>1015</v>
      </c>
      <c r="L12" s="293">
        <v>935</v>
      </c>
      <c r="M12" s="293">
        <v>865</v>
      </c>
      <c r="N12" s="293">
        <v>785</v>
      </c>
      <c r="O12" s="293">
        <v>705</v>
      </c>
      <c r="P12" s="171">
        <v>630</v>
      </c>
      <c r="Q12" s="293">
        <v>555</v>
      </c>
      <c r="R12" s="293">
        <v>475</v>
      </c>
      <c r="S12" s="293">
        <v>395</v>
      </c>
      <c r="T12" s="293">
        <v>320</v>
      </c>
      <c r="U12" s="293">
        <v>240</v>
      </c>
      <c r="V12" s="326">
        <v>165</v>
      </c>
      <c r="W12" s="326">
        <v>100</v>
      </c>
      <c r="X12" s="172">
        <f t="shared" si="1"/>
        <v>10645</v>
      </c>
    </row>
    <row r="13" spans="1:24" s="168" customFormat="1" x14ac:dyDescent="0.2">
      <c r="A13" s="544">
        <v>4</v>
      </c>
      <c r="B13" s="341" t="s">
        <v>501</v>
      </c>
      <c r="C13" s="521" t="s">
        <v>508</v>
      </c>
      <c r="D13" s="521">
        <v>630</v>
      </c>
      <c r="E13" s="550">
        <v>162998</v>
      </c>
      <c r="F13" s="517" t="s">
        <v>509</v>
      </c>
      <c r="G13" s="184" t="s">
        <v>500</v>
      </c>
      <c r="H13" s="199"/>
      <c r="I13" s="199"/>
      <c r="J13" s="199"/>
      <c r="K13" s="199"/>
      <c r="L13" s="371">
        <v>968.39</v>
      </c>
      <c r="M13" s="200">
        <v>9316</v>
      </c>
      <c r="N13" s="200">
        <v>9316</v>
      </c>
      <c r="O13" s="200">
        <v>9316</v>
      </c>
      <c r="P13" s="200">
        <v>9316</v>
      </c>
      <c r="Q13" s="200">
        <v>9316</v>
      </c>
      <c r="R13" s="200">
        <v>9316</v>
      </c>
      <c r="S13" s="200">
        <v>9316</v>
      </c>
      <c r="T13" s="200">
        <v>9316</v>
      </c>
      <c r="U13" s="200">
        <v>9316</v>
      </c>
      <c r="V13" s="327">
        <f>9316</f>
        <v>9316</v>
      </c>
      <c r="W13" s="327">
        <f>9316+4658</f>
        <v>13974</v>
      </c>
      <c r="X13" s="167">
        <f t="shared" si="1"/>
        <v>108102.39</v>
      </c>
    </row>
    <row r="14" spans="1:24" s="168" customFormat="1" x14ac:dyDescent="0.2">
      <c r="A14" s="545"/>
      <c r="B14" s="342" t="s">
        <v>510</v>
      </c>
      <c r="C14" s="522"/>
      <c r="D14" s="522"/>
      <c r="E14" s="551"/>
      <c r="F14" s="518"/>
      <c r="G14" s="291">
        <v>2.5000000000000001E-3</v>
      </c>
      <c r="H14" s="201">
        <v>305</v>
      </c>
      <c r="I14" s="296">
        <v>330</v>
      </c>
      <c r="J14" s="201">
        <v>330</v>
      </c>
      <c r="K14" s="201">
        <v>330</v>
      </c>
      <c r="L14" s="201">
        <v>330</v>
      </c>
      <c r="M14" s="201">
        <v>325</v>
      </c>
      <c r="N14" s="201">
        <v>295</v>
      </c>
      <c r="O14" s="201">
        <v>265</v>
      </c>
      <c r="P14" s="201">
        <v>240</v>
      </c>
      <c r="Q14" s="201">
        <v>210</v>
      </c>
      <c r="R14" s="201">
        <v>180</v>
      </c>
      <c r="S14" s="201">
        <v>155</v>
      </c>
      <c r="T14" s="201">
        <v>125</v>
      </c>
      <c r="U14" s="201">
        <v>100</v>
      </c>
      <c r="V14" s="328">
        <v>70</v>
      </c>
      <c r="W14" s="328">
        <v>50</v>
      </c>
      <c r="X14" s="172">
        <f t="shared" si="1"/>
        <v>3640</v>
      </c>
    </row>
    <row r="15" spans="1:24" s="168" customFormat="1" ht="12.75" customHeight="1" x14ac:dyDescent="0.2">
      <c r="A15" s="544">
        <v>5</v>
      </c>
      <c r="B15" s="339" t="s">
        <v>511</v>
      </c>
      <c r="C15" s="501" t="s">
        <v>512</v>
      </c>
      <c r="D15" s="501">
        <v>631</v>
      </c>
      <c r="E15" s="546">
        <v>89504</v>
      </c>
      <c r="F15" s="519" t="s">
        <v>513</v>
      </c>
      <c r="G15" s="183" t="s">
        <v>500</v>
      </c>
      <c r="H15" s="202">
        <v>5116</v>
      </c>
      <c r="I15" s="202">
        <v>5116</v>
      </c>
      <c r="J15" s="202">
        <v>5116</v>
      </c>
      <c r="K15" s="202">
        <v>5116</v>
      </c>
      <c r="L15" s="202">
        <v>5116</v>
      </c>
      <c r="M15" s="202">
        <v>5116</v>
      </c>
      <c r="N15" s="202">
        <v>5116</v>
      </c>
      <c r="O15" s="202">
        <v>5116</v>
      </c>
      <c r="P15" s="202">
        <v>5116</v>
      </c>
      <c r="Q15" s="202">
        <v>5116</v>
      </c>
      <c r="R15" s="202">
        <v>5116</v>
      </c>
      <c r="S15" s="202">
        <v>5116</v>
      </c>
      <c r="T15" s="202">
        <v>5116</v>
      </c>
      <c r="U15" s="202">
        <v>5116</v>
      </c>
      <c r="V15" s="332">
        <f>5116</f>
        <v>5116</v>
      </c>
      <c r="W15" s="332">
        <f>5116+2557.76</f>
        <v>7673.76</v>
      </c>
      <c r="X15" s="167">
        <f t="shared" si="1"/>
        <v>84413.759999999995</v>
      </c>
    </row>
    <row r="16" spans="1:24" s="168" customFormat="1" x14ac:dyDescent="0.2">
      <c r="A16" s="545">
        <v>7.6561771561771499</v>
      </c>
      <c r="B16" s="340" t="s">
        <v>514</v>
      </c>
      <c r="C16" s="502"/>
      <c r="D16" s="502"/>
      <c r="E16" s="547"/>
      <c r="F16" s="520"/>
      <c r="G16" s="291">
        <v>2.5000000000000001E-3</v>
      </c>
      <c r="H16" s="203">
        <v>235</v>
      </c>
      <c r="I16" s="293">
        <v>240</v>
      </c>
      <c r="J16" s="203">
        <v>225</v>
      </c>
      <c r="K16" s="203">
        <v>210</v>
      </c>
      <c r="L16" s="203">
        <v>195</v>
      </c>
      <c r="M16" s="203">
        <v>180</v>
      </c>
      <c r="N16" s="203">
        <v>165</v>
      </c>
      <c r="O16" s="203">
        <v>150</v>
      </c>
      <c r="P16" s="203">
        <v>130</v>
      </c>
      <c r="Q16" s="203">
        <v>115</v>
      </c>
      <c r="R16" s="203">
        <v>100</v>
      </c>
      <c r="S16" s="203">
        <v>85</v>
      </c>
      <c r="T16" s="203">
        <v>70</v>
      </c>
      <c r="U16" s="203">
        <v>55</v>
      </c>
      <c r="V16" s="372">
        <v>40</v>
      </c>
      <c r="W16" s="372">
        <v>30</v>
      </c>
      <c r="X16" s="172">
        <f t="shared" si="1"/>
        <v>2225</v>
      </c>
    </row>
    <row r="17" spans="1:24" s="168" customFormat="1" ht="12.75" customHeight="1" x14ac:dyDescent="0.2">
      <c r="A17" s="548">
        <v>6</v>
      </c>
      <c r="B17" s="339" t="s">
        <v>501</v>
      </c>
      <c r="C17" s="521" t="s">
        <v>515</v>
      </c>
      <c r="D17" s="521">
        <v>632</v>
      </c>
      <c r="E17" s="550">
        <v>1331708.19</v>
      </c>
      <c r="F17" s="521" t="s">
        <v>516</v>
      </c>
      <c r="G17" s="183" t="s">
        <v>500</v>
      </c>
      <c r="H17" s="194">
        <v>4000</v>
      </c>
      <c r="I17" s="295">
        <v>4000</v>
      </c>
      <c r="J17" s="295">
        <v>4000</v>
      </c>
      <c r="K17" s="295">
        <v>20000</v>
      </c>
      <c r="L17" s="295">
        <v>20000</v>
      </c>
      <c r="M17" s="295">
        <v>20000</v>
      </c>
      <c r="N17" s="295">
        <v>20000</v>
      </c>
      <c r="O17" s="295">
        <v>50000</v>
      </c>
      <c r="P17" s="196">
        <v>79000</v>
      </c>
      <c r="Q17" s="295">
        <v>79000</v>
      </c>
      <c r="R17" s="295">
        <v>79000</v>
      </c>
      <c r="S17" s="295">
        <v>79000</v>
      </c>
      <c r="T17" s="295">
        <v>79000</v>
      </c>
      <c r="U17" s="294">
        <v>79000</v>
      </c>
      <c r="V17" s="323">
        <f>79000</f>
        <v>79000</v>
      </c>
      <c r="W17" s="323">
        <f>79000+59250</f>
        <v>138250</v>
      </c>
      <c r="X17" s="167">
        <f t="shared" si="1"/>
        <v>833250</v>
      </c>
    </row>
    <row r="18" spans="1:24" s="168" customFormat="1" x14ac:dyDescent="0.2">
      <c r="A18" s="545">
        <v>8.0547785547785509</v>
      </c>
      <c r="B18" s="340" t="s">
        <v>517</v>
      </c>
      <c r="C18" s="522"/>
      <c r="D18" s="522"/>
      <c r="E18" s="551"/>
      <c r="F18" s="522"/>
      <c r="G18" s="291">
        <v>2.5000000000000001E-3</v>
      </c>
      <c r="H18" s="195">
        <v>2220</v>
      </c>
      <c r="I18" s="296">
        <v>2530</v>
      </c>
      <c r="J18" s="296">
        <v>2510</v>
      </c>
      <c r="K18" s="296">
        <v>2490</v>
      </c>
      <c r="L18" s="296">
        <v>2430</v>
      </c>
      <c r="M18" s="296">
        <v>2375</v>
      </c>
      <c r="N18" s="296">
        <v>2310</v>
      </c>
      <c r="O18" s="296">
        <v>2230</v>
      </c>
      <c r="P18" s="176">
        <v>2065</v>
      </c>
      <c r="Q18" s="296">
        <v>1835</v>
      </c>
      <c r="R18" s="296">
        <v>1585</v>
      </c>
      <c r="S18" s="296">
        <v>1345</v>
      </c>
      <c r="T18" s="296">
        <v>1105</v>
      </c>
      <c r="U18" s="296">
        <v>870</v>
      </c>
      <c r="V18" s="325">
        <v>625</v>
      </c>
      <c r="W18" s="325">
        <v>530</v>
      </c>
      <c r="X18" s="172">
        <f t="shared" si="1"/>
        <v>29055</v>
      </c>
    </row>
    <row r="19" spans="1:24" s="168" customFormat="1" ht="12.75" customHeight="1" x14ac:dyDescent="0.2">
      <c r="A19" s="548">
        <v>7</v>
      </c>
      <c r="B19" s="341" t="s">
        <v>501</v>
      </c>
      <c r="C19" s="564" t="s">
        <v>596</v>
      </c>
      <c r="D19" s="501">
        <v>633</v>
      </c>
      <c r="E19" s="546">
        <f>8339124-3412924</f>
        <v>4926200</v>
      </c>
      <c r="F19" s="519" t="s">
        <v>518</v>
      </c>
      <c r="G19" s="183" t="s">
        <v>500</v>
      </c>
      <c r="H19" s="205"/>
      <c r="I19" s="205">
        <v>750</v>
      </c>
      <c r="J19" s="205">
        <v>1000</v>
      </c>
      <c r="K19" s="205">
        <v>5000</v>
      </c>
      <c r="L19" s="205">
        <v>5000</v>
      </c>
      <c r="M19" s="205">
        <v>8000</v>
      </c>
      <c r="N19" s="205">
        <v>20000</v>
      </c>
      <c r="O19" s="205">
        <v>60000</v>
      </c>
      <c r="P19" s="205">
        <v>238344</v>
      </c>
      <c r="Q19" s="205">
        <v>238344</v>
      </c>
      <c r="R19" s="205">
        <v>238344</v>
      </c>
      <c r="S19" s="205">
        <v>238344</v>
      </c>
      <c r="T19" s="205">
        <v>238344</v>
      </c>
      <c r="U19" s="205">
        <v>238344</v>
      </c>
      <c r="V19" s="205">
        <v>238344</v>
      </c>
      <c r="W19" s="205">
        <v>3158042</v>
      </c>
      <c r="X19" s="167">
        <f t="shared" si="1"/>
        <v>4926200</v>
      </c>
    </row>
    <row r="20" spans="1:24" s="168" customFormat="1" x14ac:dyDescent="0.2">
      <c r="A20" s="549">
        <v>8.4533799533799492</v>
      </c>
      <c r="B20" s="340" t="s">
        <v>519</v>
      </c>
      <c r="C20" s="526"/>
      <c r="D20" s="502"/>
      <c r="E20" s="547"/>
      <c r="F20" s="520"/>
      <c r="G20" s="291">
        <v>2.5000000000000001E-3</v>
      </c>
      <c r="H20" s="206">
        <v>12860</v>
      </c>
      <c r="I20" s="206">
        <v>15025</v>
      </c>
      <c r="J20" s="206">
        <v>14985</v>
      </c>
      <c r="K20" s="206">
        <v>14980</v>
      </c>
      <c r="L20" s="206">
        <v>14965</v>
      </c>
      <c r="M20" s="206">
        <v>14985</v>
      </c>
      <c r="N20" s="206">
        <v>14915</v>
      </c>
      <c r="O20" s="206">
        <v>14830</v>
      </c>
      <c r="P20" s="206">
        <v>14540</v>
      </c>
      <c r="Q20" s="206">
        <v>13885</v>
      </c>
      <c r="R20" s="206">
        <v>13120</v>
      </c>
      <c r="S20" s="206">
        <v>12395</v>
      </c>
      <c r="T20" s="206">
        <v>11670</v>
      </c>
      <c r="U20" s="206">
        <v>10975</v>
      </c>
      <c r="V20" s="206">
        <v>10220</v>
      </c>
      <c r="W20" s="206">
        <v>67045</v>
      </c>
      <c r="X20" s="172">
        <f t="shared" si="1"/>
        <v>271395</v>
      </c>
    </row>
    <row r="21" spans="1:24" s="168" customFormat="1" ht="12.75" customHeight="1" x14ac:dyDescent="0.2">
      <c r="A21" s="544">
        <v>8</v>
      </c>
      <c r="B21" s="341" t="s">
        <v>501</v>
      </c>
      <c r="C21" s="564" t="s">
        <v>520</v>
      </c>
      <c r="D21" s="501">
        <v>634</v>
      </c>
      <c r="E21" s="546">
        <v>206622</v>
      </c>
      <c r="F21" s="519" t="s">
        <v>521</v>
      </c>
      <c r="G21" s="183" t="s">
        <v>500</v>
      </c>
      <c r="H21" s="205"/>
      <c r="I21" s="205">
        <v>1000</v>
      </c>
      <c r="J21" s="205">
        <v>1000</v>
      </c>
      <c r="K21" s="205">
        <v>13640</v>
      </c>
      <c r="L21" s="205">
        <v>13640</v>
      </c>
      <c r="M21" s="205">
        <v>13640</v>
      </c>
      <c r="N21" s="205">
        <v>13640</v>
      </c>
      <c r="O21" s="205">
        <v>13640</v>
      </c>
      <c r="P21" s="205">
        <v>13640</v>
      </c>
      <c r="Q21" s="205">
        <v>13640</v>
      </c>
      <c r="R21" s="205">
        <v>13640</v>
      </c>
      <c r="S21" s="205">
        <v>13640</v>
      </c>
      <c r="T21" s="205">
        <v>13640</v>
      </c>
      <c r="U21" s="205">
        <v>13640</v>
      </c>
      <c r="V21" s="329">
        <v>13640</v>
      </c>
      <c r="W21" s="329">
        <f>40942</f>
        <v>40942</v>
      </c>
      <c r="X21" s="167">
        <f t="shared" si="1"/>
        <v>206622</v>
      </c>
    </row>
    <row r="22" spans="1:24" s="168" customFormat="1" x14ac:dyDescent="0.2">
      <c r="A22" s="545">
        <v>8.8519813519813493</v>
      </c>
      <c r="B22" s="340" t="s">
        <v>522</v>
      </c>
      <c r="C22" s="526"/>
      <c r="D22" s="502"/>
      <c r="E22" s="547"/>
      <c r="F22" s="520"/>
      <c r="G22" s="291">
        <v>2.5000000000000001E-3</v>
      </c>
      <c r="H22" s="206">
        <v>580</v>
      </c>
      <c r="I22" s="206">
        <v>630</v>
      </c>
      <c r="J22" s="206">
        <v>625</v>
      </c>
      <c r="K22" s="206">
        <v>615</v>
      </c>
      <c r="L22" s="206">
        <v>575</v>
      </c>
      <c r="M22" s="206">
        <v>535</v>
      </c>
      <c r="N22" s="206">
        <v>495</v>
      </c>
      <c r="O22" s="206">
        <v>455</v>
      </c>
      <c r="P22" s="206">
        <v>410</v>
      </c>
      <c r="Q22" s="206">
        <v>370</v>
      </c>
      <c r="R22" s="206">
        <v>330</v>
      </c>
      <c r="S22" s="206">
        <v>285</v>
      </c>
      <c r="T22" s="206">
        <v>245</v>
      </c>
      <c r="U22" s="206">
        <v>205</v>
      </c>
      <c r="V22" s="331">
        <v>160</v>
      </c>
      <c r="W22" s="331">
        <v>235</v>
      </c>
      <c r="X22" s="172">
        <f t="shared" si="1"/>
        <v>6750</v>
      </c>
    </row>
    <row r="23" spans="1:24" s="168" customFormat="1" ht="12.75" customHeight="1" x14ac:dyDescent="0.2">
      <c r="A23" s="548">
        <v>9</v>
      </c>
      <c r="B23" s="341" t="s">
        <v>501</v>
      </c>
      <c r="C23" s="525" t="s">
        <v>560</v>
      </c>
      <c r="D23" s="501">
        <v>635</v>
      </c>
      <c r="E23" s="562">
        <v>307624.96000000002</v>
      </c>
      <c r="F23" s="519" t="s">
        <v>523</v>
      </c>
      <c r="G23" s="183" t="s">
        <v>500</v>
      </c>
      <c r="H23" s="205"/>
      <c r="I23" s="297">
        <v>750</v>
      </c>
      <c r="J23" s="297">
        <v>1000</v>
      </c>
      <c r="K23" s="297">
        <v>5000</v>
      </c>
      <c r="L23" s="297">
        <v>5000</v>
      </c>
      <c r="M23" s="297">
        <v>10000</v>
      </c>
      <c r="N23" s="297">
        <v>23824</v>
      </c>
      <c r="O23" s="297">
        <v>23824</v>
      </c>
      <c r="P23" s="188">
        <v>23824</v>
      </c>
      <c r="Q23" s="297">
        <v>23824</v>
      </c>
      <c r="R23" s="297">
        <v>23824</v>
      </c>
      <c r="S23" s="297">
        <v>23824</v>
      </c>
      <c r="T23" s="297">
        <v>23824</v>
      </c>
      <c r="U23" s="292">
        <v>23824</v>
      </c>
      <c r="V23" s="292">
        <f>23824</f>
        <v>23824</v>
      </c>
      <c r="W23" s="292">
        <f>71458.96</f>
        <v>71458.960000000006</v>
      </c>
      <c r="X23" s="167">
        <f t="shared" si="1"/>
        <v>307624.96000000002</v>
      </c>
    </row>
    <row r="24" spans="1:24" s="168" customFormat="1" x14ac:dyDescent="0.2">
      <c r="A24" s="549"/>
      <c r="B24" s="340" t="s">
        <v>524</v>
      </c>
      <c r="C24" s="526"/>
      <c r="D24" s="502"/>
      <c r="E24" s="563"/>
      <c r="F24" s="520"/>
      <c r="G24" s="291">
        <v>2.5000000000000001E-3</v>
      </c>
      <c r="H24" s="206">
        <v>860</v>
      </c>
      <c r="I24" s="293">
        <v>940</v>
      </c>
      <c r="J24" s="293">
        <v>935</v>
      </c>
      <c r="K24" s="293">
        <v>930</v>
      </c>
      <c r="L24" s="293">
        <v>915</v>
      </c>
      <c r="M24" s="293">
        <v>900</v>
      </c>
      <c r="N24" s="293">
        <v>860</v>
      </c>
      <c r="O24" s="293">
        <v>790</v>
      </c>
      <c r="P24" s="171">
        <v>715</v>
      </c>
      <c r="Q24" s="293">
        <v>645</v>
      </c>
      <c r="R24" s="293">
        <v>570</v>
      </c>
      <c r="S24" s="293">
        <v>500</v>
      </c>
      <c r="T24" s="293">
        <v>425</v>
      </c>
      <c r="U24" s="293">
        <v>355</v>
      </c>
      <c r="V24" s="293">
        <v>280</v>
      </c>
      <c r="W24" s="293">
        <v>410</v>
      </c>
      <c r="X24" s="172">
        <f t="shared" si="1"/>
        <v>11030</v>
      </c>
    </row>
    <row r="25" spans="1:24" s="168" customFormat="1" ht="12.75" customHeight="1" x14ac:dyDescent="0.2">
      <c r="A25" s="544">
        <v>10</v>
      </c>
      <c r="B25" s="341" t="s">
        <v>501</v>
      </c>
      <c r="C25" s="525" t="s">
        <v>525</v>
      </c>
      <c r="D25" s="501">
        <v>636</v>
      </c>
      <c r="E25" s="562">
        <v>69989</v>
      </c>
      <c r="F25" s="519" t="s">
        <v>523</v>
      </c>
      <c r="G25" s="183" t="s">
        <v>500</v>
      </c>
      <c r="H25" s="205"/>
      <c r="I25" s="297">
        <v>1000</v>
      </c>
      <c r="J25" s="297">
        <v>1000</v>
      </c>
      <c r="K25" s="297">
        <v>1000</v>
      </c>
      <c r="L25" s="297">
        <v>2000</v>
      </c>
      <c r="M25" s="297">
        <v>2000</v>
      </c>
      <c r="N25" s="297">
        <v>5000</v>
      </c>
      <c r="O25" s="297">
        <v>5272</v>
      </c>
      <c r="P25" s="188">
        <v>5272</v>
      </c>
      <c r="Q25" s="297">
        <v>5272</v>
      </c>
      <c r="R25" s="297">
        <v>5272</v>
      </c>
      <c r="S25" s="297">
        <v>5272</v>
      </c>
      <c r="T25" s="297">
        <v>5272</v>
      </c>
      <c r="U25" s="297">
        <v>5272</v>
      </c>
      <c r="V25" s="297">
        <v>5272</v>
      </c>
      <c r="W25" s="297">
        <v>15813</v>
      </c>
      <c r="X25" s="213">
        <f t="shared" si="1"/>
        <v>69989</v>
      </c>
    </row>
    <row r="26" spans="1:24" s="168" customFormat="1" x14ac:dyDescent="0.2">
      <c r="A26" s="545"/>
      <c r="B26" s="340" t="s">
        <v>526</v>
      </c>
      <c r="C26" s="526"/>
      <c r="D26" s="502"/>
      <c r="E26" s="563"/>
      <c r="F26" s="520"/>
      <c r="G26" s="291">
        <v>2.5000000000000001E-3</v>
      </c>
      <c r="H26" s="206">
        <v>200</v>
      </c>
      <c r="I26" s="293">
        <v>215</v>
      </c>
      <c r="J26" s="293">
        <v>210</v>
      </c>
      <c r="K26" s="293">
        <v>210</v>
      </c>
      <c r="L26" s="293">
        <v>205</v>
      </c>
      <c r="M26" s="293">
        <v>200</v>
      </c>
      <c r="N26" s="293">
        <v>190</v>
      </c>
      <c r="O26" s="293">
        <v>175</v>
      </c>
      <c r="P26" s="171">
        <v>160</v>
      </c>
      <c r="Q26" s="293">
        <v>145</v>
      </c>
      <c r="R26" s="293">
        <v>130</v>
      </c>
      <c r="S26" s="293">
        <v>110</v>
      </c>
      <c r="T26" s="293">
        <v>95</v>
      </c>
      <c r="U26" s="293">
        <v>80</v>
      </c>
      <c r="V26" s="293">
        <v>65</v>
      </c>
      <c r="W26" s="293">
        <v>90</v>
      </c>
      <c r="X26" s="215">
        <f t="shared" si="1"/>
        <v>2480</v>
      </c>
    </row>
    <row r="27" spans="1:24" s="168" customFormat="1" ht="12.75" customHeight="1" x14ac:dyDescent="0.2">
      <c r="A27" s="548">
        <v>11</v>
      </c>
      <c r="B27" s="339" t="s">
        <v>501</v>
      </c>
      <c r="C27" s="525" t="s">
        <v>527</v>
      </c>
      <c r="D27" s="525">
        <v>637</v>
      </c>
      <c r="E27" s="546">
        <v>212555.77</v>
      </c>
      <c r="F27" s="519" t="s">
        <v>528</v>
      </c>
      <c r="G27" s="197" t="s">
        <v>500</v>
      </c>
      <c r="H27" s="205"/>
      <c r="I27" s="205">
        <v>750</v>
      </c>
      <c r="J27" s="205">
        <v>1000</v>
      </c>
      <c r="K27" s="205">
        <v>1000</v>
      </c>
      <c r="L27" s="205">
        <v>2000</v>
      </c>
      <c r="M27" s="205">
        <v>2000</v>
      </c>
      <c r="N27" s="205">
        <v>2000</v>
      </c>
      <c r="O27" s="205">
        <v>5000</v>
      </c>
      <c r="P27" s="205">
        <v>19920</v>
      </c>
      <c r="Q27" s="205">
        <v>19920</v>
      </c>
      <c r="R27" s="205">
        <v>19920</v>
      </c>
      <c r="S27" s="205">
        <v>19920</v>
      </c>
      <c r="T27" s="205">
        <v>19920</v>
      </c>
      <c r="U27" s="204">
        <v>19920</v>
      </c>
      <c r="V27" s="330">
        <v>19920</v>
      </c>
      <c r="W27" s="330">
        <f>59365.77</f>
        <v>59365.77</v>
      </c>
      <c r="X27" s="167">
        <f t="shared" si="1"/>
        <v>212555.77</v>
      </c>
    </row>
    <row r="28" spans="1:24" s="168" customFormat="1" x14ac:dyDescent="0.2">
      <c r="A28" s="549"/>
      <c r="B28" s="340" t="s">
        <v>529</v>
      </c>
      <c r="C28" s="526"/>
      <c r="D28" s="526"/>
      <c r="E28" s="547"/>
      <c r="F28" s="520"/>
      <c r="G28" s="291">
        <v>2.5000000000000001E-3</v>
      </c>
      <c r="H28" s="206">
        <v>570</v>
      </c>
      <c r="I28" s="206">
        <v>650</v>
      </c>
      <c r="J28" s="206">
        <v>645</v>
      </c>
      <c r="K28" s="206">
        <v>645</v>
      </c>
      <c r="L28" s="206">
        <v>640</v>
      </c>
      <c r="M28" s="206">
        <v>635</v>
      </c>
      <c r="N28" s="206">
        <v>630</v>
      </c>
      <c r="O28" s="206">
        <v>620</v>
      </c>
      <c r="P28" s="206">
        <v>595</v>
      </c>
      <c r="Q28" s="206">
        <v>540</v>
      </c>
      <c r="R28" s="206">
        <v>475</v>
      </c>
      <c r="S28" s="206">
        <v>415</v>
      </c>
      <c r="T28" s="206">
        <v>355</v>
      </c>
      <c r="U28" s="206">
        <v>295</v>
      </c>
      <c r="V28" s="331">
        <v>235</v>
      </c>
      <c r="W28" s="331">
        <v>340</v>
      </c>
      <c r="X28" s="172">
        <f t="shared" si="1"/>
        <v>8285</v>
      </c>
    </row>
    <row r="29" spans="1:24" s="168" customFormat="1" ht="15" customHeight="1" x14ac:dyDescent="0.2">
      <c r="A29" s="544">
        <v>12</v>
      </c>
      <c r="B29" s="339" t="s">
        <v>501</v>
      </c>
      <c r="C29" s="525" t="s">
        <v>561</v>
      </c>
      <c r="D29" s="525">
        <v>638</v>
      </c>
      <c r="E29" s="546">
        <v>1496459</v>
      </c>
      <c r="F29" s="501" t="s">
        <v>530</v>
      </c>
      <c r="G29" s="366" t="s">
        <v>500</v>
      </c>
      <c r="H29" s="205"/>
      <c r="I29" s="205">
        <v>750</v>
      </c>
      <c r="J29" s="205">
        <v>1000</v>
      </c>
      <c r="K29" s="205">
        <v>3000</v>
      </c>
      <c r="L29" s="205">
        <v>5000</v>
      </c>
      <c r="M29" s="205">
        <v>5000</v>
      </c>
      <c r="N29" s="205">
        <v>10000</v>
      </c>
      <c r="O29" s="205">
        <v>20000</v>
      </c>
      <c r="P29" s="205">
        <v>50000</v>
      </c>
      <c r="Q29" s="205">
        <v>50000</v>
      </c>
      <c r="R29" s="205">
        <v>50000</v>
      </c>
      <c r="S29" s="205">
        <v>69458</v>
      </c>
      <c r="T29" s="205">
        <v>75944</v>
      </c>
      <c r="U29" s="204">
        <v>75944</v>
      </c>
      <c r="V29" s="330">
        <f>75944</f>
        <v>75944</v>
      </c>
      <c r="W29" s="330">
        <v>1004419</v>
      </c>
      <c r="X29" s="167">
        <f t="shared" si="1"/>
        <v>1496459</v>
      </c>
    </row>
    <row r="30" spans="1:24" s="168" customFormat="1" ht="17.25" customHeight="1" x14ac:dyDescent="0.2">
      <c r="A30" s="545"/>
      <c r="B30" s="340" t="s">
        <v>531</v>
      </c>
      <c r="C30" s="526"/>
      <c r="D30" s="526"/>
      <c r="E30" s="547"/>
      <c r="F30" s="502"/>
      <c r="G30" s="367">
        <v>2.5000000000000001E-3</v>
      </c>
      <c r="H30" s="206">
        <v>3985</v>
      </c>
      <c r="I30" s="206">
        <v>4565</v>
      </c>
      <c r="J30" s="206">
        <v>4540</v>
      </c>
      <c r="K30" s="206">
        <v>4545</v>
      </c>
      <c r="L30" s="206">
        <v>4535</v>
      </c>
      <c r="M30" s="206">
        <v>4535</v>
      </c>
      <c r="N30" s="206">
        <v>4505</v>
      </c>
      <c r="O30" s="206">
        <v>4470</v>
      </c>
      <c r="P30" s="206">
        <v>4390</v>
      </c>
      <c r="Q30" s="206">
        <v>4255</v>
      </c>
      <c r="R30" s="206">
        <v>4090</v>
      </c>
      <c r="S30" s="206">
        <v>3930</v>
      </c>
      <c r="T30" s="206">
        <v>3715</v>
      </c>
      <c r="U30" s="206">
        <v>3495</v>
      </c>
      <c r="V30" s="331">
        <v>3255</v>
      </c>
      <c r="W30" s="331">
        <v>21290</v>
      </c>
      <c r="X30" s="172">
        <f t="shared" si="1"/>
        <v>84100</v>
      </c>
    </row>
    <row r="31" spans="1:24" s="168" customFormat="1" ht="12.75" customHeight="1" x14ac:dyDescent="0.2">
      <c r="A31" s="548">
        <v>13</v>
      </c>
      <c r="B31" s="339" t="s">
        <v>501</v>
      </c>
      <c r="C31" s="525" t="s">
        <v>562</v>
      </c>
      <c r="D31" s="525">
        <v>639</v>
      </c>
      <c r="E31" s="546">
        <v>520249</v>
      </c>
      <c r="F31" s="501" t="s">
        <v>532</v>
      </c>
      <c r="G31" s="366" t="s">
        <v>500</v>
      </c>
      <c r="H31" s="205"/>
      <c r="I31" s="205">
        <v>300</v>
      </c>
      <c r="J31" s="205">
        <v>1000</v>
      </c>
      <c r="K31" s="205">
        <v>2000</v>
      </c>
      <c r="L31" s="205">
        <v>2000</v>
      </c>
      <c r="M31" s="205">
        <v>5000</v>
      </c>
      <c r="N31" s="205">
        <v>5000</v>
      </c>
      <c r="O31" s="205">
        <v>10000</v>
      </c>
      <c r="P31" s="205">
        <v>45000</v>
      </c>
      <c r="Q31" s="205">
        <v>45000</v>
      </c>
      <c r="R31" s="205">
        <v>45000</v>
      </c>
      <c r="S31" s="205">
        <v>45000</v>
      </c>
      <c r="T31" s="205">
        <v>45000</v>
      </c>
      <c r="U31" s="204">
        <v>45000</v>
      </c>
      <c r="V31" s="330">
        <v>45000</v>
      </c>
      <c r="W31" s="330">
        <f>179949</f>
        <v>179949</v>
      </c>
      <c r="X31" s="167">
        <f t="shared" si="1"/>
        <v>520249</v>
      </c>
    </row>
    <row r="32" spans="1:24" s="168" customFormat="1" x14ac:dyDescent="0.2">
      <c r="A32" s="549"/>
      <c r="B32" s="340" t="s">
        <v>533</v>
      </c>
      <c r="C32" s="526"/>
      <c r="D32" s="526"/>
      <c r="E32" s="547"/>
      <c r="F32" s="502"/>
      <c r="G32" s="367">
        <v>2.5000000000000001E-3</v>
      </c>
      <c r="H32" s="206">
        <v>1390</v>
      </c>
      <c r="I32" s="206">
        <v>1590</v>
      </c>
      <c r="J32" s="206">
        <v>1585</v>
      </c>
      <c r="K32" s="206">
        <v>1580</v>
      </c>
      <c r="L32" s="206">
        <v>1575</v>
      </c>
      <c r="M32" s="206">
        <v>1570</v>
      </c>
      <c r="N32" s="206">
        <v>1550</v>
      </c>
      <c r="O32" s="206">
        <v>1535</v>
      </c>
      <c r="P32" s="206">
        <v>1480</v>
      </c>
      <c r="Q32" s="206">
        <v>1355</v>
      </c>
      <c r="R32" s="206">
        <v>1215</v>
      </c>
      <c r="S32" s="206">
        <v>1075</v>
      </c>
      <c r="T32" s="206">
        <v>940</v>
      </c>
      <c r="U32" s="206">
        <v>805</v>
      </c>
      <c r="V32" s="331">
        <v>665</v>
      </c>
      <c r="W32" s="331">
        <v>1275</v>
      </c>
      <c r="X32" s="172">
        <f t="shared" si="1"/>
        <v>21185</v>
      </c>
    </row>
    <row r="33" spans="1:24" s="168" customFormat="1" ht="12.75" customHeight="1" x14ac:dyDescent="0.2">
      <c r="A33" s="544">
        <v>14</v>
      </c>
      <c r="B33" s="339" t="s">
        <v>501</v>
      </c>
      <c r="C33" s="525" t="s">
        <v>534</v>
      </c>
      <c r="D33" s="525">
        <v>640</v>
      </c>
      <c r="E33" s="546">
        <v>409900</v>
      </c>
      <c r="F33" s="501" t="s">
        <v>535</v>
      </c>
      <c r="G33" s="366" t="s">
        <v>500</v>
      </c>
      <c r="H33" s="205"/>
      <c r="I33" s="205">
        <v>300</v>
      </c>
      <c r="J33" s="205">
        <v>1000</v>
      </c>
      <c r="K33" s="205">
        <v>2000</v>
      </c>
      <c r="L33" s="205">
        <v>2000</v>
      </c>
      <c r="M33" s="205">
        <v>5000</v>
      </c>
      <c r="N33" s="205">
        <v>5000</v>
      </c>
      <c r="O33" s="205">
        <v>10000</v>
      </c>
      <c r="P33" s="205">
        <v>34964</v>
      </c>
      <c r="Q33" s="205">
        <v>34964</v>
      </c>
      <c r="R33" s="205">
        <v>34964</v>
      </c>
      <c r="S33" s="205">
        <v>34964</v>
      </c>
      <c r="T33" s="205">
        <v>34964</v>
      </c>
      <c r="U33" s="204">
        <v>34964</v>
      </c>
      <c r="V33" s="330">
        <v>34964</v>
      </c>
      <c r="W33" s="330">
        <f>139852</f>
        <v>139852</v>
      </c>
      <c r="X33" s="167">
        <f t="shared" si="1"/>
        <v>409900</v>
      </c>
    </row>
    <row r="34" spans="1:24" s="168" customFormat="1" x14ac:dyDescent="0.2">
      <c r="A34" s="545"/>
      <c r="B34" s="340" t="s">
        <v>536</v>
      </c>
      <c r="C34" s="526"/>
      <c r="D34" s="526"/>
      <c r="E34" s="547"/>
      <c r="F34" s="502"/>
      <c r="G34" s="367">
        <v>2.5000000000000001E-3</v>
      </c>
      <c r="H34" s="206">
        <v>1040</v>
      </c>
      <c r="I34" s="206">
        <v>1255</v>
      </c>
      <c r="J34" s="206">
        <v>1250</v>
      </c>
      <c r="K34" s="206">
        <v>1245</v>
      </c>
      <c r="L34" s="206">
        <v>1240</v>
      </c>
      <c r="M34" s="206">
        <v>1235</v>
      </c>
      <c r="N34" s="206">
        <v>1215</v>
      </c>
      <c r="O34" s="206">
        <v>1195</v>
      </c>
      <c r="P34" s="206">
        <v>1150</v>
      </c>
      <c r="Q34" s="206">
        <v>1055</v>
      </c>
      <c r="R34" s="206">
        <v>945</v>
      </c>
      <c r="S34" s="206">
        <v>835</v>
      </c>
      <c r="T34" s="206">
        <v>730</v>
      </c>
      <c r="U34" s="206">
        <v>625</v>
      </c>
      <c r="V34" s="331">
        <v>520</v>
      </c>
      <c r="W34" s="331">
        <v>1005</v>
      </c>
      <c r="X34" s="172">
        <f t="shared" si="1"/>
        <v>16540</v>
      </c>
    </row>
    <row r="35" spans="1:24" s="168" customFormat="1" ht="17.25" customHeight="1" x14ac:dyDescent="0.2">
      <c r="A35" s="548">
        <v>15</v>
      </c>
      <c r="B35" s="339" t="s">
        <v>501</v>
      </c>
      <c r="C35" s="503" t="s">
        <v>537</v>
      </c>
      <c r="D35" s="525">
        <v>641</v>
      </c>
      <c r="E35" s="546">
        <v>157928</v>
      </c>
      <c r="F35" s="501" t="s">
        <v>597</v>
      </c>
      <c r="G35" s="366" t="s">
        <v>500</v>
      </c>
      <c r="H35" s="188">
        <v>12150</v>
      </c>
      <c r="I35" s="297">
        <v>48600</v>
      </c>
      <c r="J35" s="297">
        <v>48600</v>
      </c>
      <c r="K35" s="297">
        <v>48578</v>
      </c>
      <c r="L35" s="297"/>
      <c r="M35" s="297"/>
      <c r="N35" s="297"/>
      <c r="O35" s="297"/>
      <c r="P35" s="188"/>
      <c r="Q35" s="297"/>
      <c r="R35" s="297"/>
      <c r="S35" s="297"/>
      <c r="T35" s="297"/>
      <c r="U35" s="297"/>
      <c r="V35" s="365"/>
      <c r="W35" s="365"/>
      <c r="X35" s="167">
        <f t="shared" si="1"/>
        <v>157928</v>
      </c>
    </row>
    <row r="36" spans="1:24" s="168" customFormat="1" ht="17.25" customHeight="1" x14ac:dyDescent="0.2">
      <c r="A36" s="549"/>
      <c r="B36" s="340" t="s">
        <v>538</v>
      </c>
      <c r="C36" s="504"/>
      <c r="D36" s="526"/>
      <c r="E36" s="547"/>
      <c r="F36" s="502"/>
      <c r="G36" s="367">
        <v>2.5000000000000001E-3</v>
      </c>
      <c r="H36" s="171">
        <v>385</v>
      </c>
      <c r="I36" s="293">
        <v>425</v>
      </c>
      <c r="J36" s="293">
        <v>275</v>
      </c>
      <c r="K36" s="293">
        <f>125+10</f>
        <v>135</v>
      </c>
      <c r="L36" s="293"/>
      <c r="M36" s="293"/>
      <c r="N36" s="293"/>
      <c r="O36" s="293"/>
      <c r="P36" s="171"/>
      <c r="Q36" s="293"/>
      <c r="R36" s="293"/>
      <c r="S36" s="293"/>
      <c r="T36" s="293"/>
      <c r="U36" s="293"/>
      <c r="V36" s="326"/>
      <c r="W36" s="326"/>
      <c r="X36" s="172">
        <f t="shared" si="1"/>
        <v>1220</v>
      </c>
    </row>
    <row r="37" spans="1:24" s="168" customFormat="1" ht="12.75" customHeight="1" x14ac:dyDescent="0.2">
      <c r="A37" s="544">
        <v>16</v>
      </c>
      <c r="B37" s="339" t="s">
        <v>501</v>
      </c>
      <c r="C37" s="525" t="s">
        <v>577</v>
      </c>
      <c r="D37" s="525">
        <v>642</v>
      </c>
      <c r="E37" s="546">
        <v>231313</v>
      </c>
      <c r="F37" s="501" t="s">
        <v>598</v>
      </c>
      <c r="G37" s="366" t="s">
        <v>500</v>
      </c>
      <c r="H37" s="211"/>
      <c r="I37" s="297">
        <v>0</v>
      </c>
      <c r="J37" s="297">
        <v>6000</v>
      </c>
      <c r="K37" s="297">
        <v>6000</v>
      </c>
      <c r="L37" s="297">
        <v>14620</v>
      </c>
      <c r="M37" s="297">
        <v>14620</v>
      </c>
      <c r="N37" s="297">
        <v>14620</v>
      </c>
      <c r="O37" s="297">
        <v>14620</v>
      </c>
      <c r="P37" s="211">
        <v>14620</v>
      </c>
      <c r="Q37" s="297">
        <v>14620</v>
      </c>
      <c r="R37" s="297">
        <v>14620</v>
      </c>
      <c r="S37" s="297">
        <v>14620</v>
      </c>
      <c r="T37" s="297">
        <v>14620</v>
      </c>
      <c r="U37" s="297">
        <v>14620</v>
      </c>
      <c r="V37" s="297">
        <f>14620</f>
        <v>14620</v>
      </c>
      <c r="W37" s="297">
        <f>58493</f>
        <v>58493</v>
      </c>
      <c r="X37" s="167">
        <f t="shared" si="1"/>
        <v>231313</v>
      </c>
    </row>
    <row r="38" spans="1:24" s="168" customFormat="1" x14ac:dyDescent="0.2">
      <c r="A38" s="545"/>
      <c r="B38" s="368" t="s">
        <v>599</v>
      </c>
      <c r="C38" s="526"/>
      <c r="D38" s="526"/>
      <c r="E38" s="547"/>
      <c r="F38" s="502"/>
      <c r="G38" s="367">
        <v>2.5000000000000001E-3</v>
      </c>
      <c r="H38" s="193">
        <v>675</v>
      </c>
      <c r="I38" s="293">
        <v>710</v>
      </c>
      <c r="J38" s="293">
        <v>700</v>
      </c>
      <c r="K38" s="293">
        <v>685</v>
      </c>
      <c r="L38" s="293">
        <v>660</v>
      </c>
      <c r="M38" s="293">
        <v>620</v>
      </c>
      <c r="N38" s="293">
        <v>575</v>
      </c>
      <c r="O38" s="293">
        <v>530</v>
      </c>
      <c r="P38" s="193">
        <v>485</v>
      </c>
      <c r="Q38" s="293">
        <v>440</v>
      </c>
      <c r="R38" s="293">
        <v>395</v>
      </c>
      <c r="S38" s="293">
        <v>350</v>
      </c>
      <c r="T38" s="293">
        <v>305</v>
      </c>
      <c r="U38" s="293">
        <v>265</v>
      </c>
      <c r="V38" s="293">
        <v>220</v>
      </c>
      <c r="W38" s="293">
        <v>425</v>
      </c>
      <c r="X38" s="172">
        <f t="shared" si="1"/>
        <v>8040</v>
      </c>
    </row>
    <row r="39" spans="1:24" s="168" customFormat="1" ht="17.25" customHeight="1" x14ac:dyDescent="0.2">
      <c r="A39" s="560">
        <v>17</v>
      </c>
      <c r="B39" s="431" t="s">
        <v>501</v>
      </c>
      <c r="C39" s="539" t="s">
        <v>600</v>
      </c>
      <c r="D39" s="539">
        <v>643</v>
      </c>
      <c r="E39" s="541">
        <f>129575+85311</f>
        <v>214886</v>
      </c>
      <c r="F39" s="496" t="s">
        <v>601</v>
      </c>
      <c r="G39" s="447" t="s">
        <v>500</v>
      </c>
      <c r="H39" s="216"/>
      <c r="I39" s="216"/>
      <c r="J39" s="216">
        <v>500</v>
      </c>
      <c r="K39" s="216">
        <v>1000</v>
      </c>
      <c r="L39" s="216">
        <v>2000</v>
      </c>
      <c r="M39" s="216">
        <v>52848</v>
      </c>
      <c r="N39" s="216">
        <v>52848</v>
      </c>
      <c r="O39" s="216">
        <v>52848</v>
      </c>
      <c r="P39" s="216">
        <v>52842</v>
      </c>
      <c r="Q39" s="455"/>
      <c r="R39" s="455"/>
      <c r="S39" s="455"/>
      <c r="T39" s="455"/>
      <c r="U39" s="455"/>
      <c r="V39" s="456"/>
      <c r="W39" s="456"/>
      <c r="X39" s="213">
        <f t="shared" si="1"/>
        <v>214886</v>
      </c>
    </row>
    <row r="40" spans="1:24" s="168" customFormat="1" ht="20.25" customHeight="1" x14ac:dyDescent="0.2">
      <c r="A40" s="561"/>
      <c r="B40" s="450" t="s">
        <v>602</v>
      </c>
      <c r="C40" s="540"/>
      <c r="D40" s="540"/>
      <c r="E40" s="542"/>
      <c r="F40" s="497"/>
      <c r="G40" s="451">
        <v>2.5000000000000001E-3</v>
      </c>
      <c r="H40" s="217">
        <v>445</v>
      </c>
      <c r="I40" s="217">
        <v>660</v>
      </c>
      <c r="J40" s="217">
        <v>655</v>
      </c>
      <c r="K40" s="217">
        <v>655</v>
      </c>
      <c r="L40" s="217">
        <v>650</v>
      </c>
      <c r="M40" s="217">
        <v>615</v>
      </c>
      <c r="N40" s="217">
        <v>450</v>
      </c>
      <c r="O40" s="217">
        <v>300</v>
      </c>
      <c r="P40" s="217">
        <f>145</f>
        <v>145</v>
      </c>
      <c r="Q40" s="457"/>
      <c r="R40" s="457"/>
      <c r="S40" s="457"/>
      <c r="T40" s="457"/>
      <c r="U40" s="457"/>
      <c r="V40" s="458"/>
      <c r="W40" s="458"/>
      <c r="X40" s="215">
        <f t="shared" si="1"/>
        <v>4575</v>
      </c>
    </row>
    <row r="41" spans="1:24" s="181" customFormat="1" ht="20.25" customHeight="1" x14ac:dyDescent="0.2">
      <c r="A41" s="544">
        <v>18</v>
      </c>
      <c r="B41" s="339" t="s">
        <v>501</v>
      </c>
      <c r="C41" s="525" t="s">
        <v>603</v>
      </c>
      <c r="D41" s="525">
        <v>644</v>
      </c>
      <c r="E41" s="546">
        <v>1188567</v>
      </c>
      <c r="F41" s="501" t="s">
        <v>604</v>
      </c>
      <c r="G41" s="366" t="s">
        <v>500</v>
      </c>
      <c r="H41" s="211"/>
      <c r="I41" s="211"/>
      <c r="J41" s="211">
        <v>375</v>
      </c>
      <c r="K41" s="211">
        <v>1000</v>
      </c>
      <c r="L41" s="211">
        <v>2000</v>
      </c>
      <c r="M41" s="211">
        <v>6000</v>
      </c>
      <c r="N41" s="211">
        <v>10000</v>
      </c>
      <c r="O41" s="211">
        <v>20000</v>
      </c>
      <c r="P41" s="211">
        <v>54200</v>
      </c>
      <c r="Q41" s="211">
        <v>54200</v>
      </c>
      <c r="R41" s="211">
        <v>54200</v>
      </c>
      <c r="S41" s="211">
        <v>54200</v>
      </c>
      <c r="T41" s="211">
        <v>54200</v>
      </c>
      <c r="U41" s="211">
        <v>54200</v>
      </c>
      <c r="V41" s="211">
        <v>54200</v>
      </c>
      <c r="W41" s="370">
        <v>769792</v>
      </c>
      <c r="X41" s="167">
        <f t="shared" si="1"/>
        <v>1188567</v>
      </c>
    </row>
    <row r="42" spans="1:24" s="168" customFormat="1" x14ac:dyDescent="0.2">
      <c r="A42" s="545"/>
      <c r="B42" s="368" t="s">
        <v>605</v>
      </c>
      <c r="C42" s="526"/>
      <c r="D42" s="526"/>
      <c r="E42" s="547"/>
      <c r="F42" s="502"/>
      <c r="G42" s="367">
        <v>2.5000000000000001E-3</v>
      </c>
      <c r="H42" s="193">
        <v>2900</v>
      </c>
      <c r="I42" s="193">
        <v>3630</v>
      </c>
      <c r="J42" s="193">
        <v>3620</v>
      </c>
      <c r="K42" s="193">
        <v>3615</v>
      </c>
      <c r="L42" s="193">
        <v>3610</v>
      </c>
      <c r="M42" s="193">
        <v>3615</v>
      </c>
      <c r="N42" s="193">
        <v>3585</v>
      </c>
      <c r="O42" s="193">
        <v>3550</v>
      </c>
      <c r="P42" s="193">
        <v>3465</v>
      </c>
      <c r="Q42" s="193">
        <v>3315</v>
      </c>
      <c r="R42" s="193">
        <v>3145</v>
      </c>
      <c r="S42" s="193">
        <v>2980</v>
      </c>
      <c r="T42" s="193">
        <v>2815</v>
      </c>
      <c r="U42" s="193">
        <v>2655</v>
      </c>
      <c r="V42" s="193">
        <v>2485</v>
      </c>
      <c r="W42" s="369">
        <v>17460</v>
      </c>
      <c r="X42" s="172">
        <f t="shared" si="1"/>
        <v>66445</v>
      </c>
    </row>
    <row r="43" spans="1:24" s="181" customFormat="1" ht="12.75" customHeight="1" x14ac:dyDescent="0.2">
      <c r="A43" s="544">
        <v>19</v>
      </c>
      <c r="B43" s="339" t="s">
        <v>501</v>
      </c>
      <c r="C43" s="525" t="s">
        <v>606</v>
      </c>
      <c r="D43" s="525">
        <v>645</v>
      </c>
      <c r="E43" s="546">
        <v>785535</v>
      </c>
      <c r="F43" s="501" t="s">
        <v>607</v>
      </c>
      <c r="G43" s="366" t="s">
        <v>500</v>
      </c>
      <c r="H43" s="211"/>
      <c r="I43" s="211"/>
      <c r="J43" s="211">
        <v>375</v>
      </c>
      <c r="K43" s="211">
        <v>2000</v>
      </c>
      <c r="L43" s="211">
        <v>4000</v>
      </c>
      <c r="M43" s="211">
        <v>6000</v>
      </c>
      <c r="N43" s="211">
        <v>10000</v>
      </c>
      <c r="O43" s="211">
        <v>20000</v>
      </c>
      <c r="P43" s="211">
        <v>66200</v>
      </c>
      <c r="Q43" s="211">
        <v>66200</v>
      </c>
      <c r="R43" s="211">
        <v>66200</v>
      </c>
      <c r="S43" s="211">
        <v>66200</v>
      </c>
      <c r="T43" s="211">
        <v>66200</v>
      </c>
      <c r="U43" s="211">
        <v>66200</v>
      </c>
      <c r="V43" s="211">
        <v>66200</v>
      </c>
      <c r="W43" s="370">
        <v>279760</v>
      </c>
      <c r="X43" s="167">
        <f t="shared" si="1"/>
        <v>785535</v>
      </c>
    </row>
    <row r="44" spans="1:24" s="168" customFormat="1" x14ac:dyDescent="0.2">
      <c r="A44" s="545"/>
      <c r="B44" s="368" t="s">
        <v>608</v>
      </c>
      <c r="C44" s="526"/>
      <c r="D44" s="526"/>
      <c r="E44" s="547"/>
      <c r="F44" s="502"/>
      <c r="G44" s="367">
        <v>2.5000000000000001E-3</v>
      </c>
      <c r="H44" s="193">
        <v>2035</v>
      </c>
      <c r="I44" s="193">
        <v>2400</v>
      </c>
      <c r="J44" s="193">
        <v>2390</v>
      </c>
      <c r="K44" s="193">
        <v>2390</v>
      </c>
      <c r="L44" s="193">
        <v>2380</v>
      </c>
      <c r="M44" s="193">
        <v>2375</v>
      </c>
      <c r="N44" s="193">
        <v>2350</v>
      </c>
      <c r="O44" s="193">
        <v>2315</v>
      </c>
      <c r="P44" s="193">
        <v>2225</v>
      </c>
      <c r="Q44" s="193">
        <v>2035</v>
      </c>
      <c r="R44" s="193">
        <v>1830</v>
      </c>
      <c r="S44" s="193">
        <v>1630</v>
      </c>
      <c r="T44" s="193">
        <v>1425</v>
      </c>
      <c r="U44" s="193">
        <v>1230</v>
      </c>
      <c r="V44" s="193">
        <v>1025</v>
      </c>
      <c r="W44" s="369">
        <v>2110</v>
      </c>
      <c r="X44" s="172">
        <f t="shared" si="1"/>
        <v>32145</v>
      </c>
    </row>
    <row r="45" spans="1:24" s="181" customFormat="1" ht="18.75" customHeight="1" x14ac:dyDescent="0.2">
      <c r="A45" s="544">
        <v>20</v>
      </c>
      <c r="B45" s="339" t="s">
        <v>501</v>
      </c>
      <c r="C45" s="556" t="s">
        <v>609</v>
      </c>
      <c r="D45" s="556">
        <v>646</v>
      </c>
      <c r="E45" s="558">
        <v>2254246</v>
      </c>
      <c r="F45" s="503" t="s">
        <v>610</v>
      </c>
      <c r="G45" s="366" t="s">
        <v>500</v>
      </c>
      <c r="H45" s="211"/>
      <c r="I45" s="211"/>
      <c r="J45" s="211">
        <v>1500</v>
      </c>
      <c r="K45" s="211">
        <v>4000</v>
      </c>
      <c r="L45" s="211">
        <v>6000</v>
      </c>
      <c r="M45" s="211">
        <v>10000</v>
      </c>
      <c r="N45" s="211">
        <v>20000</v>
      </c>
      <c r="O45" s="211">
        <v>40000</v>
      </c>
      <c r="P45" s="211">
        <v>102248</v>
      </c>
      <c r="Q45" s="211">
        <v>102248</v>
      </c>
      <c r="R45" s="211">
        <v>102248</v>
      </c>
      <c r="S45" s="211">
        <v>102248</v>
      </c>
      <c r="T45" s="211">
        <v>102248</v>
      </c>
      <c r="U45" s="211">
        <v>102248</v>
      </c>
      <c r="V45" s="211">
        <v>102248</v>
      </c>
      <c r="W45" s="370">
        <v>1457010</v>
      </c>
      <c r="X45" s="167">
        <f t="shared" si="1"/>
        <v>2254246</v>
      </c>
    </row>
    <row r="46" spans="1:24" s="168" customFormat="1" ht="15.75" customHeight="1" x14ac:dyDescent="0.2">
      <c r="A46" s="545"/>
      <c r="B46" s="368" t="s">
        <v>611</v>
      </c>
      <c r="C46" s="557"/>
      <c r="D46" s="557"/>
      <c r="E46" s="559"/>
      <c r="F46" s="504"/>
      <c r="G46" s="367">
        <v>2.5000000000000001E-3</v>
      </c>
      <c r="H46" s="193">
        <v>3200</v>
      </c>
      <c r="I46" s="193">
        <v>6355</v>
      </c>
      <c r="J46" s="193">
        <v>6860</v>
      </c>
      <c r="K46" s="193">
        <v>6850</v>
      </c>
      <c r="L46" s="193">
        <v>6840</v>
      </c>
      <c r="M46" s="193">
        <v>6840</v>
      </c>
      <c r="N46" s="193">
        <v>6785</v>
      </c>
      <c r="O46" s="193">
        <v>6710</v>
      </c>
      <c r="P46" s="193">
        <v>6555</v>
      </c>
      <c r="Q46" s="193">
        <v>6270</v>
      </c>
      <c r="R46" s="193">
        <v>5940</v>
      </c>
      <c r="S46" s="193">
        <v>5630</v>
      </c>
      <c r="T46" s="193">
        <v>5320</v>
      </c>
      <c r="U46" s="193">
        <v>5020</v>
      </c>
      <c r="V46" s="193">
        <v>4695</v>
      </c>
      <c r="W46" s="369">
        <v>33150</v>
      </c>
      <c r="X46" s="172">
        <f t="shared" si="1"/>
        <v>123020</v>
      </c>
    </row>
    <row r="47" spans="1:24" s="181" customFormat="1" ht="15.75" customHeight="1" x14ac:dyDescent="0.2">
      <c r="A47" s="548">
        <v>21</v>
      </c>
      <c r="B47" s="339" t="s">
        <v>501</v>
      </c>
      <c r="C47" s="556" t="s">
        <v>612</v>
      </c>
      <c r="D47" s="556">
        <v>647</v>
      </c>
      <c r="E47" s="558">
        <v>1632032</v>
      </c>
      <c r="F47" s="503" t="s">
        <v>610</v>
      </c>
      <c r="G47" s="366" t="s">
        <v>500</v>
      </c>
      <c r="H47" s="211"/>
      <c r="I47" s="211"/>
      <c r="J47" s="211">
        <v>375</v>
      </c>
      <c r="K47" s="211">
        <v>2000</v>
      </c>
      <c r="L47" s="211">
        <v>6000</v>
      </c>
      <c r="M47" s="211">
        <v>20000</v>
      </c>
      <c r="N47" s="211">
        <v>40000</v>
      </c>
      <c r="O47" s="211">
        <v>60000</v>
      </c>
      <c r="P47" s="211">
        <v>70760</v>
      </c>
      <c r="Q47" s="211">
        <v>70760</v>
      </c>
      <c r="R47" s="211">
        <v>70760</v>
      </c>
      <c r="S47" s="211">
        <v>70760</v>
      </c>
      <c r="T47" s="211">
        <v>70760</v>
      </c>
      <c r="U47" s="211">
        <v>70760</v>
      </c>
      <c r="V47" s="211">
        <v>70760</v>
      </c>
      <c r="W47" s="370">
        <v>1008337</v>
      </c>
      <c r="X47" s="167">
        <f t="shared" si="1"/>
        <v>1632032</v>
      </c>
    </row>
    <row r="48" spans="1:24" s="168" customFormat="1" ht="18" customHeight="1" x14ac:dyDescent="0.2">
      <c r="A48" s="549"/>
      <c r="B48" s="368" t="s">
        <v>613</v>
      </c>
      <c r="C48" s="557"/>
      <c r="D48" s="557"/>
      <c r="E48" s="559"/>
      <c r="F48" s="504"/>
      <c r="G48" s="367">
        <v>2.5000000000000001E-3</v>
      </c>
      <c r="H48" s="193">
        <v>3395</v>
      </c>
      <c r="I48" s="193">
        <v>4980</v>
      </c>
      <c r="J48" s="193">
        <v>4965</v>
      </c>
      <c r="K48" s="193">
        <v>4965</v>
      </c>
      <c r="L48" s="193">
        <v>4955</v>
      </c>
      <c r="M48" s="193">
        <v>4945</v>
      </c>
      <c r="N48" s="193">
        <v>4860</v>
      </c>
      <c r="O48" s="193">
        <v>4725</v>
      </c>
      <c r="P48" s="193">
        <v>4540</v>
      </c>
      <c r="Q48" s="193">
        <v>4340</v>
      </c>
      <c r="R48" s="193">
        <v>4115</v>
      </c>
      <c r="S48" s="193">
        <v>3895</v>
      </c>
      <c r="T48" s="193">
        <v>3680</v>
      </c>
      <c r="U48" s="193">
        <v>3475</v>
      </c>
      <c r="V48" s="193">
        <v>3250</v>
      </c>
      <c r="W48" s="369">
        <v>22940</v>
      </c>
      <c r="X48" s="172">
        <f t="shared" si="1"/>
        <v>88025</v>
      </c>
    </row>
    <row r="49" spans="1:24" s="181" customFormat="1" ht="19.5" customHeight="1" x14ac:dyDescent="0.2">
      <c r="A49" s="544">
        <v>22</v>
      </c>
      <c r="B49" s="339" t="s">
        <v>501</v>
      </c>
      <c r="C49" s="525" t="s">
        <v>614</v>
      </c>
      <c r="D49" s="525">
        <v>649</v>
      </c>
      <c r="E49" s="546">
        <f>1346177</f>
        <v>1346177</v>
      </c>
      <c r="F49" s="501" t="s">
        <v>615</v>
      </c>
      <c r="G49" s="366" t="s">
        <v>500</v>
      </c>
      <c r="H49" s="385"/>
      <c r="I49" s="211"/>
      <c r="J49" s="211">
        <v>500</v>
      </c>
      <c r="K49" s="211">
        <v>2000</v>
      </c>
      <c r="L49" s="211">
        <v>6000</v>
      </c>
      <c r="M49" s="211">
        <v>10000</v>
      </c>
      <c r="N49" s="211">
        <v>20000</v>
      </c>
      <c r="O49" s="211">
        <v>40000</v>
      </c>
      <c r="P49" s="211">
        <v>51324</v>
      </c>
      <c r="Q49" s="211">
        <v>59336</v>
      </c>
      <c r="R49" s="211">
        <v>59336</v>
      </c>
      <c r="S49" s="211">
        <v>59336</v>
      </c>
      <c r="T49" s="211">
        <v>59336</v>
      </c>
      <c r="U49" s="211">
        <v>59336</v>
      </c>
      <c r="V49" s="211">
        <v>59336</v>
      </c>
      <c r="W49" s="370">
        <v>860337</v>
      </c>
      <c r="X49" s="167">
        <f t="shared" si="1"/>
        <v>1346177</v>
      </c>
    </row>
    <row r="50" spans="1:24" s="168" customFormat="1" ht="15.75" customHeight="1" x14ac:dyDescent="0.2">
      <c r="A50" s="545"/>
      <c r="B50" s="368" t="s">
        <v>616</v>
      </c>
      <c r="C50" s="526"/>
      <c r="D50" s="526"/>
      <c r="E50" s="547"/>
      <c r="F50" s="502"/>
      <c r="G50" s="367">
        <v>2.5000000000000001E-3</v>
      </c>
      <c r="H50" s="373">
        <v>3200</v>
      </c>
      <c r="I50" s="193">
        <v>4110</v>
      </c>
      <c r="J50" s="193">
        <v>4095</v>
      </c>
      <c r="K50" s="193">
        <v>4095</v>
      </c>
      <c r="L50" s="193">
        <v>4085</v>
      </c>
      <c r="M50" s="193">
        <v>4075</v>
      </c>
      <c r="N50" s="193">
        <v>4030</v>
      </c>
      <c r="O50" s="193">
        <v>3960</v>
      </c>
      <c r="P50" s="193">
        <v>3830</v>
      </c>
      <c r="Q50" s="193">
        <v>3685</v>
      </c>
      <c r="R50" s="193">
        <v>3495</v>
      </c>
      <c r="S50" s="193">
        <v>3315</v>
      </c>
      <c r="T50" s="193">
        <v>3135</v>
      </c>
      <c r="U50" s="193">
        <v>2960</v>
      </c>
      <c r="V50" s="193">
        <v>2770</v>
      </c>
      <c r="W50" s="369">
        <v>19900</v>
      </c>
      <c r="X50" s="172">
        <f t="shared" si="1"/>
        <v>74740</v>
      </c>
    </row>
    <row r="51" spans="1:24" s="181" customFormat="1" ht="15.75" customHeight="1" x14ac:dyDescent="0.2">
      <c r="A51" s="548">
        <v>23</v>
      </c>
      <c r="B51" s="339" t="s">
        <v>501</v>
      </c>
      <c r="C51" s="525" t="s">
        <v>617</v>
      </c>
      <c r="D51" s="525">
        <v>650</v>
      </c>
      <c r="E51" s="546">
        <v>1108154</v>
      </c>
      <c r="F51" s="501" t="s">
        <v>618</v>
      </c>
      <c r="G51" s="366" t="s">
        <v>500</v>
      </c>
      <c r="H51" s="211"/>
      <c r="I51" s="211"/>
      <c r="J51" s="211">
        <v>750</v>
      </c>
      <c r="K51" s="211">
        <v>2000</v>
      </c>
      <c r="L51" s="211">
        <v>4000</v>
      </c>
      <c r="M51" s="211">
        <v>10000</v>
      </c>
      <c r="N51" s="211">
        <v>20000</v>
      </c>
      <c r="O51" s="211">
        <v>40000</v>
      </c>
      <c r="P51" s="211">
        <v>48600</v>
      </c>
      <c r="Q51" s="211">
        <v>48600</v>
      </c>
      <c r="R51" s="211">
        <v>48600</v>
      </c>
      <c r="S51" s="211">
        <v>48600</v>
      </c>
      <c r="T51" s="211">
        <v>48600</v>
      </c>
      <c r="U51" s="211">
        <v>48600</v>
      </c>
      <c r="V51" s="211">
        <v>48600</v>
      </c>
      <c r="W51" s="370">
        <v>691204</v>
      </c>
      <c r="X51" s="167">
        <f t="shared" si="1"/>
        <v>1108154</v>
      </c>
    </row>
    <row r="52" spans="1:24" s="168" customFormat="1" ht="15.75" customHeight="1" x14ac:dyDescent="0.2">
      <c r="A52" s="549"/>
      <c r="B52" s="368" t="s">
        <v>619</v>
      </c>
      <c r="C52" s="526"/>
      <c r="D52" s="526"/>
      <c r="E52" s="547"/>
      <c r="F52" s="502"/>
      <c r="G52" s="367">
        <v>2.5000000000000001E-3</v>
      </c>
      <c r="H52" s="193">
        <v>1735</v>
      </c>
      <c r="I52" s="193">
        <v>3195</v>
      </c>
      <c r="J52" s="193">
        <v>3375</v>
      </c>
      <c r="K52" s="193">
        <v>3370</v>
      </c>
      <c r="L52" s="193">
        <v>3365</v>
      </c>
      <c r="M52" s="193">
        <v>3355</v>
      </c>
      <c r="N52" s="193">
        <v>3310</v>
      </c>
      <c r="O52" s="193">
        <v>3240</v>
      </c>
      <c r="P52" s="193">
        <v>3115</v>
      </c>
      <c r="Q52" s="193">
        <v>2975</v>
      </c>
      <c r="R52" s="193">
        <v>2820</v>
      </c>
      <c r="S52" s="193">
        <v>2675</v>
      </c>
      <c r="T52" s="193">
        <v>2525</v>
      </c>
      <c r="U52" s="193">
        <v>2385</v>
      </c>
      <c r="V52" s="193">
        <v>2230</v>
      </c>
      <c r="W52" s="369">
        <v>15700</v>
      </c>
      <c r="X52" s="172">
        <f t="shared" si="1"/>
        <v>59370</v>
      </c>
    </row>
    <row r="53" spans="1:24" s="181" customFormat="1" ht="12.75" customHeight="1" x14ac:dyDescent="0.2">
      <c r="A53" s="544">
        <v>24</v>
      </c>
      <c r="B53" s="339" t="s">
        <v>501</v>
      </c>
      <c r="C53" s="556" t="s">
        <v>620</v>
      </c>
      <c r="D53" s="556">
        <v>651</v>
      </c>
      <c r="E53" s="558">
        <f>225000-4003.53</f>
        <v>220996.47</v>
      </c>
      <c r="F53" s="503" t="s">
        <v>621</v>
      </c>
      <c r="G53" s="366" t="s">
        <v>500</v>
      </c>
      <c r="H53" s="211"/>
      <c r="I53" s="211"/>
      <c r="J53" s="211">
        <v>375</v>
      </c>
      <c r="K53" s="211">
        <v>2000</v>
      </c>
      <c r="L53" s="211">
        <v>4000</v>
      </c>
      <c r="M53" s="211">
        <v>6000</v>
      </c>
      <c r="N53" s="211">
        <v>8000</v>
      </c>
      <c r="O53" s="211">
        <v>16380</v>
      </c>
      <c r="P53" s="211">
        <v>16380</v>
      </c>
      <c r="Q53" s="211">
        <v>16380</v>
      </c>
      <c r="R53" s="211">
        <v>16380</v>
      </c>
      <c r="S53" s="211">
        <v>16380</v>
      </c>
      <c r="T53" s="211">
        <v>16380</v>
      </c>
      <c r="U53" s="211">
        <v>16380</v>
      </c>
      <c r="V53" s="211">
        <v>16380</v>
      </c>
      <c r="W53" s="370">
        <v>69581.47</v>
      </c>
      <c r="X53" s="167">
        <f t="shared" si="1"/>
        <v>220996.47</v>
      </c>
    </row>
    <row r="54" spans="1:24" s="168" customFormat="1" x14ac:dyDescent="0.2">
      <c r="A54" s="545"/>
      <c r="B54" s="368" t="s">
        <v>622</v>
      </c>
      <c r="C54" s="557"/>
      <c r="D54" s="557"/>
      <c r="E54" s="559"/>
      <c r="F54" s="504"/>
      <c r="G54" s="367">
        <v>2.5000000000000001E-3</v>
      </c>
      <c r="H54" s="193">
        <v>585</v>
      </c>
      <c r="I54" s="193">
        <v>665</v>
      </c>
      <c r="J54" s="193">
        <v>660</v>
      </c>
      <c r="K54" s="193">
        <v>660</v>
      </c>
      <c r="L54" s="193">
        <v>655</v>
      </c>
      <c r="M54" s="193">
        <v>640</v>
      </c>
      <c r="N54" s="193">
        <v>620</v>
      </c>
      <c r="O54" s="193">
        <v>590</v>
      </c>
      <c r="P54" s="193">
        <v>545</v>
      </c>
      <c r="Q54" s="193">
        <v>495</v>
      </c>
      <c r="R54" s="193">
        <v>445</v>
      </c>
      <c r="S54" s="193">
        <v>400</v>
      </c>
      <c r="T54" s="193">
        <v>350</v>
      </c>
      <c r="U54" s="193">
        <v>300</v>
      </c>
      <c r="V54" s="193">
        <v>250</v>
      </c>
      <c r="W54" s="369">
        <v>520</v>
      </c>
      <c r="X54" s="172">
        <f t="shared" si="1"/>
        <v>8380</v>
      </c>
    </row>
    <row r="55" spans="1:24" s="181" customFormat="1" ht="12.75" customHeight="1" x14ac:dyDescent="0.2">
      <c r="A55" s="544">
        <v>25</v>
      </c>
      <c r="B55" s="339" t="s">
        <v>501</v>
      </c>
      <c r="C55" s="556" t="s">
        <v>623</v>
      </c>
      <c r="D55" s="556">
        <v>652</v>
      </c>
      <c r="E55" s="558">
        <v>888438</v>
      </c>
      <c r="F55" s="503" t="s">
        <v>624</v>
      </c>
      <c r="G55" s="366" t="s">
        <v>500</v>
      </c>
      <c r="H55" s="211"/>
      <c r="I55" s="211"/>
      <c r="J55" s="211">
        <v>500</v>
      </c>
      <c r="K55" s="211">
        <v>2500</v>
      </c>
      <c r="L55" s="211">
        <v>6000</v>
      </c>
      <c r="M55" s="211">
        <v>10000</v>
      </c>
      <c r="N55" s="211">
        <v>20000</v>
      </c>
      <c r="O55" s="211">
        <v>40000</v>
      </c>
      <c r="P55" s="211">
        <v>70384</v>
      </c>
      <c r="Q55" s="211">
        <v>70384</v>
      </c>
      <c r="R55" s="211">
        <v>70384</v>
      </c>
      <c r="S55" s="211">
        <v>70384</v>
      </c>
      <c r="T55" s="211">
        <v>70384</v>
      </c>
      <c r="U55" s="211">
        <v>70384</v>
      </c>
      <c r="V55" s="211">
        <v>70384</v>
      </c>
      <c r="W55" s="370">
        <v>316750</v>
      </c>
      <c r="X55" s="167">
        <f t="shared" si="1"/>
        <v>888438</v>
      </c>
    </row>
    <row r="56" spans="1:24" s="168" customFormat="1" x14ac:dyDescent="0.2">
      <c r="A56" s="545"/>
      <c r="B56" s="368" t="s">
        <v>625</v>
      </c>
      <c r="C56" s="557"/>
      <c r="D56" s="557"/>
      <c r="E56" s="559"/>
      <c r="F56" s="504"/>
      <c r="G56" s="367">
        <v>2.5000000000000001E-3</v>
      </c>
      <c r="H56" s="193">
        <v>2060</v>
      </c>
      <c r="I56" s="193">
        <v>2710</v>
      </c>
      <c r="J56" s="193">
        <v>2705</v>
      </c>
      <c r="K56" s="193">
        <v>2700</v>
      </c>
      <c r="L56" s="193">
        <v>2690</v>
      </c>
      <c r="M56" s="193">
        <v>2680</v>
      </c>
      <c r="N56" s="193">
        <v>2635</v>
      </c>
      <c r="O56" s="193">
        <v>2565</v>
      </c>
      <c r="P56" s="193">
        <v>2425</v>
      </c>
      <c r="Q56" s="193">
        <v>2225</v>
      </c>
      <c r="R56" s="193">
        <v>2005</v>
      </c>
      <c r="S56" s="193">
        <v>1790</v>
      </c>
      <c r="T56" s="193">
        <v>1575</v>
      </c>
      <c r="U56" s="193">
        <v>1365</v>
      </c>
      <c r="V56" s="193">
        <v>1145</v>
      </c>
      <c r="W56" s="369">
        <v>2515</v>
      </c>
      <c r="X56" s="172">
        <f t="shared" si="1"/>
        <v>35790</v>
      </c>
    </row>
    <row r="57" spans="1:24" s="168" customFormat="1" ht="17.25" customHeight="1" x14ac:dyDescent="0.2">
      <c r="A57" s="537">
        <v>26</v>
      </c>
      <c r="B57" s="431" t="s">
        <v>501</v>
      </c>
      <c r="C57" s="539" t="s">
        <v>834</v>
      </c>
      <c r="D57" s="539">
        <v>653</v>
      </c>
      <c r="E57" s="554" t="s">
        <v>836</v>
      </c>
      <c r="F57" s="496" t="s">
        <v>835</v>
      </c>
      <c r="G57" s="447" t="s">
        <v>500</v>
      </c>
      <c r="H57" s="216"/>
      <c r="I57" s="216"/>
      <c r="J57" s="216">
        <v>500</v>
      </c>
      <c r="K57" s="216">
        <v>3000</v>
      </c>
      <c r="L57" s="216">
        <v>71112</v>
      </c>
      <c r="M57" s="216">
        <v>71112</v>
      </c>
      <c r="N57" s="216">
        <v>71112</v>
      </c>
      <c r="O57" s="216">
        <v>71112</v>
      </c>
      <c r="P57" s="216">
        <v>71112</v>
      </c>
      <c r="Q57" s="448">
        <f>35551.67+15169.33</f>
        <v>50721</v>
      </c>
      <c r="R57" s="216"/>
      <c r="S57" s="216"/>
      <c r="T57" s="216"/>
      <c r="U57" s="216"/>
      <c r="V57" s="216"/>
      <c r="W57" s="449"/>
      <c r="X57" s="213">
        <f t="shared" ref="X57:X58" si="2">SUM(H57:W57)</f>
        <v>409781</v>
      </c>
    </row>
    <row r="58" spans="1:24" s="168" customFormat="1" ht="17.25" customHeight="1" x14ac:dyDescent="0.2">
      <c r="A58" s="538"/>
      <c r="B58" s="450" t="s">
        <v>626</v>
      </c>
      <c r="C58" s="540"/>
      <c r="D58" s="540"/>
      <c r="E58" s="555"/>
      <c r="F58" s="497"/>
      <c r="G58" s="451">
        <v>2.5000000000000001E-3</v>
      </c>
      <c r="H58" s="217">
        <v>885</v>
      </c>
      <c r="I58" s="217">
        <v>1205</v>
      </c>
      <c r="J58" s="217">
        <v>1205</v>
      </c>
      <c r="K58" s="217">
        <v>1200</v>
      </c>
      <c r="L58" s="217">
        <v>1145</v>
      </c>
      <c r="M58" s="217">
        <v>945</v>
      </c>
      <c r="N58" s="217">
        <v>725</v>
      </c>
      <c r="O58" s="217">
        <v>510</v>
      </c>
      <c r="P58" s="217">
        <v>295</v>
      </c>
      <c r="Q58" s="217">
        <v>80</v>
      </c>
      <c r="R58" s="217"/>
      <c r="S58" s="217"/>
      <c r="T58" s="217"/>
      <c r="U58" s="217"/>
      <c r="V58" s="217"/>
      <c r="W58" s="452"/>
      <c r="X58" s="215">
        <f t="shared" si="2"/>
        <v>8195</v>
      </c>
    </row>
    <row r="59" spans="1:24" s="168" customFormat="1" ht="19.5" customHeight="1" x14ac:dyDescent="0.2">
      <c r="A59" s="548">
        <v>27</v>
      </c>
      <c r="B59" s="339" t="s">
        <v>501</v>
      </c>
      <c r="C59" s="556" t="s">
        <v>627</v>
      </c>
      <c r="D59" s="556">
        <v>654</v>
      </c>
      <c r="E59" s="558">
        <v>74150</v>
      </c>
      <c r="F59" s="503" t="s">
        <v>628</v>
      </c>
      <c r="G59" s="366" t="s">
        <v>500</v>
      </c>
      <c r="H59" s="211"/>
      <c r="I59" s="211"/>
      <c r="J59" s="211">
        <v>500</v>
      </c>
      <c r="K59" s="211">
        <v>2000</v>
      </c>
      <c r="L59" s="211">
        <v>3000</v>
      </c>
      <c r="M59" s="211">
        <v>4380</v>
      </c>
      <c r="N59" s="211">
        <v>4760</v>
      </c>
      <c r="O59" s="211">
        <v>4760</v>
      </c>
      <c r="P59" s="211">
        <v>4760</v>
      </c>
      <c r="Q59" s="211">
        <v>4760</v>
      </c>
      <c r="R59" s="211">
        <v>4760</v>
      </c>
      <c r="S59" s="211">
        <v>4760</v>
      </c>
      <c r="T59" s="211">
        <v>4760</v>
      </c>
      <c r="U59" s="211">
        <v>4760</v>
      </c>
      <c r="V59" s="211">
        <v>4760</v>
      </c>
      <c r="W59" s="370">
        <v>21430</v>
      </c>
      <c r="X59" s="167">
        <f t="shared" si="1"/>
        <v>74150</v>
      </c>
    </row>
    <row r="60" spans="1:24" s="168" customFormat="1" ht="18" customHeight="1" x14ac:dyDescent="0.2">
      <c r="A60" s="549"/>
      <c r="B60" s="368" t="s">
        <v>629</v>
      </c>
      <c r="C60" s="557"/>
      <c r="D60" s="557"/>
      <c r="E60" s="559"/>
      <c r="F60" s="504"/>
      <c r="G60" s="367">
        <v>2.5000000000000001E-3</v>
      </c>
      <c r="H60" s="193">
        <v>195</v>
      </c>
      <c r="I60" s="193">
        <v>230</v>
      </c>
      <c r="J60" s="193">
        <v>230</v>
      </c>
      <c r="K60" s="193">
        <v>225</v>
      </c>
      <c r="L60" s="193">
        <v>220</v>
      </c>
      <c r="M60" s="193">
        <v>210</v>
      </c>
      <c r="N60" s="193">
        <v>195</v>
      </c>
      <c r="O60" s="193">
        <v>180</v>
      </c>
      <c r="P60" s="193">
        <v>165</v>
      </c>
      <c r="Q60" s="193">
        <v>155</v>
      </c>
      <c r="R60" s="193">
        <v>140</v>
      </c>
      <c r="S60" s="193">
        <v>125</v>
      </c>
      <c r="T60" s="193">
        <v>110</v>
      </c>
      <c r="U60" s="193">
        <v>95</v>
      </c>
      <c r="V60" s="193">
        <v>80</v>
      </c>
      <c r="W60" s="369">
        <v>175</v>
      </c>
      <c r="X60" s="172">
        <f t="shared" si="1"/>
        <v>2730</v>
      </c>
    </row>
    <row r="61" spans="1:24" s="168" customFormat="1" ht="15.75" customHeight="1" x14ac:dyDescent="0.2">
      <c r="A61" s="544">
        <v>28</v>
      </c>
      <c r="B61" s="339" t="s">
        <v>501</v>
      </c>
      <c r="C61" s="525" t="s">
        <v>630</v>
      </c>
      <c r="D61" s="525">
        <v>655</v>
      </c>
      <c r="E61" s="546">
        <v>250000</v>
      </c>
      <c r="F61" s="501" t="s">
        <v>631</v>
      </c>
      <c r="G61" s="366" t="s">
        <v>500</v>
      </c>
      <c r="H61" s="211"/>
      <c r="I61" s="211"/>
      <c r="J61" s="211">
        <v>300</v>
      </c>
      <c r="K61" s="211">
        <v>1000</v>
      </c>
      <c r="L61" s="211">
        <v>2000</v>
      </c>
      <c r="M61" s="211">
        <v>3000</v>
      </c>
      <c r="N61" s="211">
        <v>6000</v>
      </c>
      <c r="O61" s="211">
        <v>18644</v>
      </c>
      <c r="P61" s="211">
        <v>18644</v>
      </c>
      <c r="Q61" s="211">
        <v>18644</v>
      </c>
      <c r="R61" s="211">
        <v>18644</v>
      </c>
      <c r="S61" s="211">
        <v>18644</v>
      </c>
      <c r="T61" s="211">
        <v>18644</v>
      </c>
      <c r="U61" s="211">
        <v>18644</v>
      </c>
      <c r="V61" s="211">
        <v>18644</v>
      </c>
      <c r="W61" s="370">
        <v>88548</v>
      </c>
      <c r="X61" s="167">
        <f t="shared" si="1"/>
        <v>250000</v>
      </c>
    </row>
    <row r="62" spans="1:24" s="168" customFormat="1" ht="17.25" customHeight="1" x14ac:dyDescent="0.2">
      <c r="A62" s="545"/>
      <c r="B62" s="368" t="s">
        <v>632</v>
      </c>
      <c r="C62" s="526"/>
      <c r="D62" s="526"/>
      <c r="E62" s="547"/>
      <c r="F62" s="502"/>
      <c r="G62" s="367">
        <v>2.5000000000000001E-3</v>
      </c>
      <c r="H62" s="193">
        <v>535</v>
      </c>
      <c r="I62" s="193">
        <v>685</v>
      </c>
      <c r="J62" s="193">
        <v>685</v>
      </c>
      <c r="K62" s="193">
        <v>685</v>
      </c>
      <c r="L62" s="193">
        <v>680</v>
      </c>
      <c r="M62" s="193">
        <v>675</v>
      </c>
      <c r="N62" s="193">
        <v>665</v>
      </c>
      <c r="O62" s="193">
        <v>640</v>
      </c>
      <c r="P62" s="193">
        <v>595</v>
      </c>
      <c r="Q62" s="193">
        <v>545</v>
      </c>
      <c r="R62" s="193">
        <v>490</v>
      </c>
      <c r="S62" s="193">
        <v>440</v>
      </c>
      <c r="T62" s="193">
        <v>390</v>
      </c>
      <c r="U62" s="193">
        <v>340</v>
      </c>
      <c r="V62" s="193">
        <v>290</v>
      </c>
      <c r="W62" s="369">
        <v>670</v>
      </c>
      <c r="X62" s="172">
        <f t="shared" si="1"/>
        <v>9010</v>
      </c>
    </row>
    <row r="63" spans="1:24" s="168" customFormat="1" ht="18" customHeight="1" x14ac:dyDescent="0.2">
      <c r="A63" s="548">
        <v>29</v>
      </c>
      <c r="B63" s="339" t="s">
        <v>501</v>
      </c>
      <c r="C63" s="525" t="s">
        <v>561</v>
      </c>
      <c r="D63" s="525">
        <v>656</v>
      </c>
      <c r="E63" s="546">
        <v>4203541</v>
      </c>
      <c r="F63" s="501" t="s">
        <v>633</v>
      </c>
      <c r="G63" s="366" t="s">
        <v>500</v>
      </c>
      <c r="H63" s="205"/>
      <c r="I63" s="205">
        <v>750</v>
      </c>
      <c r="J63" s="205">
        <v>1000</v>
      </c>
      <c r="K63" s="205">
        <v>3000</v>
      </c>
      <c r="L63" s="205">
        <v>4000</v>
      </c>
      <c r="M63" s="205">
        <v>5000</v>
      </c>
      <c r="N63" s="205">
        <v>10000</v>
      </c>
      <c r="O63" s="205">
        <v>20000</v>
      </c>
      <c r="P63" s="205">
        <v>50000</v>
      </c>
      <c r="Q63" s="205">
        <v>62000</v>
      </c>
      <c r="R63" s="205">
        <v>80000</v>
      </c>
      <c r="S63" s="205">
        <v>223540</v>
      </c>
      <c r="T63" s="205">
        <v>223540</v>
      </c>
      <c r="U63" s="205">
        <v>223540</v>
      </c>
      <c r="V63" s="330">
        <v>223540</v>
      </c>
      <c r="W63" s="370">
        <v>3073631</v>
      </c>
      <c r="X63" s="167">
        <f t="shared" si="1"/>
        <v>4203541</v>
      </c>
    </row>
    <row r="64" spans="1:24" s="168" customFormat="1" ht="18" customHeight="1" x14ac:dyDescent="0.2">
      <c r="A64" s="549"/>
      <c r="B64" s="368" t="s">
        <v>634</v>
      </c>
      <c r="C64" s="526"/>
      <c r="D64" s="526"/>
      <c r="E64" s="547"/>
      <c r="F64" s="502"/>
      <c r="G64" s="367">
        <v>2.5000000000000001E-3</v>
      </c>
      <c r="H64" s="206">
        <v>8990</v>
      </c>
      <c r="I64" s="206">
        <v>12825</v>
      </c>
      <c r="J64" s="206">
        <v>12785</v>
      </c>
      <c r="K64" s="206">
        <v>12780</v>
      </c>
      <c r="L64" s="206">
        <v>12770</v>
      </c>
      <c r="M64" s="206">
        <v>12795</v>
      </c>
      <c r="N64" s="206">
        <v>12740</v>
      </c>
      <c r="O64" s="206">
        <v>12705</v>
      </c>
      <c r="P64" s="206">
        <v>12625</v>
      </c>
      <c r="Q64" s="206">
        <v>12505</v>
      </c>
      <c r="R64" s="206">
        <v>12275</v>
      </c>
      <c r="S64" s="206">
        <v>11940</v>
      </c>
      <c r="T64" s="206">
        <v>11285</v>
      </c>
      <c r="U64" s="206">
        <v>10635</v>
      </c>
      <c r="V64" s="331">
        <v>9925</v>
      </c>
      <c r="W64" s="369">
        <v>67590</v>
      </c>
      <c r="X64" s="172">
        <f t="shared" si="1"/>
        <v>247170</v>
      </c>
    </row>
    <row r="65" spans="1:24" s="168" customFormat="1" ht="15.75" customHeight="1" x14ac:dyDescent="0.2">
      <c r="A65" s="544">
        <v>30</v>
      </c>
      <c r="B65" s="339" t="s">
        <v>501</v>
      </c>
      <c r="C65" s="525" t="s">
        <v>635</v>
      </c>
      <c r="D65" s="525">
        <v>657</v>
      </c>
      <c r="E65" s="546">
        <f>558194-11645.68-0.32</f>
        <v>546548</v>
      </c>
      <c r="F65" s="501" t="s">
        <v>636</v>
      </c>
      <c r="G65" s="366" t="s">
        <v>500</v>
      </c>
      <c r="H65" s="211"/>
      <c r="I65" s="211"/>
      <c r="J65" s="211"/>
      <c r="K65" s="211">
        <v>2500</v>
      </c>
      <c r="L65" s="211">
        <v>8000</v>
      </c>
      <c r="M65" s="211">
        <v>112852</v>
      </c>
      <c r="N65" s="211">
        <v>112852</v>
      </c>
      <c r="O65" s="211">
        <v>112852</v>
      </c>
      <c r="P65" s="211">
        <v>112852</v>
      </c>
      <c r="Q65" s="192">
        <v>84640</v>
      </c>
      <c r="R65" s="211"/>
      <c r="S65" s="211"/>
      <c r="T65" s="211"/>
      <c r="U65" s="211"/>
      <c r="V65" s="205"/>
      <c r="W65" s="330"/>
      <c r="X65" s="167">
        <f t="shared" si="1"/>
        <v>546548</v>
      </c>
    </row>
    <row r="66" spans="1:24" s="168" customFormat="1" ht="15.75" customHeight="1" x14ac:dyDescent="0.2">
      <c r="A66" s="545"/>
      <c r="B66" s="368" t="s">
        <v>637</v>
      </c>
      <c r="C66" s="526"/>
      <c r="D66" s="526"/>
      <c r="E66" s="547"/>
      <c r="F66" s="502"/>
      <c r="G66" s="367">
        <v>2.5000000000000001E-3</v>
      </c>
      <c r="H66" s="193">
        <v>1050</v>
      </c>
      <c r="I66" s="193">
        <v>1670</v>
      </c>
      <c r="J66" s="193">
        <v>1665</v>
      </c>
      <c r="K66" s="193">
        <v>1665</v>
      </c>
      <c r="L66" s="193">
        <v>1655</v>
      </c>
      <c r="M66" s="193">
        <v>1565</v>
      </c>
      <c r="N66" s="193">
        <v>1235</v>
      </c>
      <c r="O66" s="193">
        <v>895</v>
      </c>
      <c r="P66" s="193">
        <v>550</v>
      </c>
      <c r="Q66" s="193">
        <v>210</v>
      </c>
      <c r="R66" s="193"/>
      <c r="S66" s="193"/>
      <c r="T66" s="193"/>
      <c r="U66" s="193"/>
      <c r="V66" s="206"/>
      <c r="W66" s="331"/>
      <c r="X66" s="172">
        <f t="shared" si="1"/>
        <v>12160</v>
      </c>
    </row>
    <row r="67" spans="1:24" s="168" customFormat="1" ht="18.75" customHeight="1" x14ac:dyDescent="0.2">
      <c r="A67" s="548">
        <v>31</v>
      </c>
      <c r="B67" s="339" t="s">
        <v>501</v>
      </c>
      <c r="C67" s="525" t="s">
        <v>638</v>
      </c>
      <c r="D67" s="525">
        <v>658</v>
      </c>
      <c r="E67" s="546">
        <v>149917</v>
      </c>
      <c r="F67" s="501" t="s">
        <v>639</v>
      </c>
      <c r="G67" s="366" t="s">
        <v>500</v>
      </c>
      <c r="H67" s="211"/>
      <c r="I67" s="211"/>
      <c r="J67" s="211">
        <v>200</v>
      </c>
      <c r="K67" s="211">
        <v>1000</v>
      </c>
      <c r="L67" s="211">
        <v>1000</v>
      </c>
      <c r="M67" s="211">
        <v>2000</v>
      </c>
      <c r="N67" s="211">
        <v>2000</v>
      </c>
      <c r="O67" s="211">
        <v>11272</v>
      </c>
      <c r="P67" s="211">
        <v>11272</v>
      </c>
      <c r="Q67" s="211">
        <v>11272</v>
      </c>
      <c r="R67" s="211">
        <v>11272</v>
      </c>
      <c r="S67" s="211">
        <v>11272</v>
      </c>
      <c r="T67" s="211">
        <v>11272</v>
      </c>
      <c r="U67" s="211">
        <v>11272</v>
      </c>
      <c r="V67" s="211">
        <v>11272</v>
      </c>
      <c r="W67" s="211">
        <v>53541</v>
      </c>
      <c r="X67" s="167">
        <f t="shared" si="1"/>
        <v>149917</v>
      </c>
    </row>
    <row r="68" spans="1:24" s="168" customFormat="1" ht="16.5" customHeight="1" x14ac:dyDescent="0.2">
      <c r="A68" s="549"/>
      <c r="B68" s="368" t="s">
        <v>640</v>
      </c>
      <c r="C68" s="526"/>
      <c r="D68" s="526"/>
      <c r="E68" s="547"/>
      <c r="F68" s="502"/>
      <c r="G68" s="367">
        <v>2.5000000000000001E-3</v>
      </c>
      <c r="H68" s="193">
        <v>300</v>
      </c>
      <c r="I68" s="193">
        <v>410</v>
      </c>
      <c r="J68" s="193">
        <v>410</v>
      </c>
      <c r="K68" s="193">
        <v>410</v>
      </c>
      <c r="L68" s="193">
        <v>405</v>
      </c>
      <c r="M68" s="193">
        <v>405</v>
      </c>
      <c r="N68" s="193">
        <v>400</v>
      </c>
      <c r="O68" s="193">
        <v>390</v>
      </c>
      <c r="P68" s="193">
        <v>360</v>
      </c>
      <c r="Q68" s="193">
        <v>330</v>
      </c>
      <c r="R68" s="193">
        <v>300</v>
      </c>
      <c r="S68" s="193">
        <v>265</v>
      </c>
      <c r="T68" s="193">
        <v>235</v>
      </c>
      <c r="U68" s="193">
        <v>205</v>
      </c>
      <c r="V68" s="193">
        <v>175</v>
      </c>
      <c r="W68" s="193">
        <v>405</v>
      </c>
      <c r="X68" s="172">
        <f t="shared" si="1"/>
        <v>5405</v>
      </c>
    </row>
    <row r="69" spans="1:24" s="168" customFormat="1" ht="15.75" customHeight="1" x14ac:dyDescent="0.2">
      <c r="A69" s="552">
        <v>32</v>
      </c>
      <c r="B69" s="431" t="s">
        <v>501</v>
      </c>
      <c r="C69" s="539" t="s">
        <v>837</v>
      </c>
      <c r="D69" s="539"/>
      <c r="E69" s="541">
        <v>138215.88</v>
      </c>
      <c r="F69" s="496" t="s">
        <v>838</v>
      </c>
      <c r="G69" s="447" t="s">
        <v>500</v>
      </c>
      <c r="H69" s="453"/>
      <c r="I69" s="216"/>
      <c r="J69" s="216"/>
      <c r="K69" s="448">
        <v>1015.88</v>
      </c>
      <c r="L69" s="216">
        <v>3000</v>
      </c>
      <c r="M69" s="216">
        <v>4000</v>
      </c>
      <c r="N69" s="216">
        <v>9300</v>
      </c>
      <c r="O69" s="216">
        <v>9300</v>
      </c>
      <c r="P69" s="216">
        <v>9300</v>
      </c>
      <c r="Q69" s="216">
        <v>9300</v>
      </c>
      <c r="R69" s="216">
        <v>9300</v>
      </c>
      <c r="S69" s="216">
        <v>9300</v>
      </c>
      <c r="T69" s="216">
        <v>9300</v>
      </c>
      <c r="U69" s="216">
        <v>9300</v>
      </c>
      <c r="V69" s="216">
        <v>9300</v>
      </c>
      <c r="W69" s="216">
        <v>46500</v>
      </c>
      <c r="X69" s="213">
        <f t="shared" ref="X69:X70" si="3">SUM(H69:W69)</f>
        <v>138215.88</v>
      </c>
    </row>
    <row r="70" spans="1:24" s="168" customFormat="1" ht="18" customHeight="1" x14ac:dyDescent="0.2">
      <c r="A70" s="553"/>
      <c r="B70" s="450"/>
      <c r="C70" s="540"/>
      <c r="D70" s="540"/>
      <c r="E70" s="542"/>
      <c r="F70" s="497"/>
      <c r="G70" s="451">
        <v>2.5000000000000001E-3</v>
      </c>
      <c r="H70" s="454">
        <v>275</v>
      </c>
      <c r="I70" s="217">
        <v>425</v>
      </c>
      <c r="J70" s="217">
        <v>425</v>
      </c>
      <c r="K70" s="217">
        <v>420</v>
      </c>
      <c r="L70" s="217">
        <v>420</v>
      </c>
      <c r="M70" s="217">
        <v>410</v>
      </c>
      <c r="N70" s="217">
        <v>395</v>
      </c>
      <c r="O70" s="217">
        <v>365</v>
      </c>
      <c r="P70" s="217">
        <v>340</v>
      </c>
      <c r="Q70" s="217">
        <v>310</v>
      </c>
      <c r="R70" s="217">
        <v>280</v>
      </c>
      <c r="S70" s="217">
        <v>255</v>
      </c>
      <c r="T70" s="217">
        <v>225</v>
      </c>
      <c r="U70" s="217">
        <v>195</v>
      </c>
      <c r="V70" s="217">
        <v>170</v>
      </c>
      <c r="W70" s="217">
        <v>405</v>
      </c>
      <c r="X70" s="215">
        <f t="shared" si="3"/>
        <v>5315</v>
      </c>
    </row>
    <row r="71" spans="1:24" s="168" customFormat="1" ht="12.75" customHeight="1" x14ac:dyDescent="0.2">
      <c r="A71" s="537">
        <v>33</v>
      </c>
      <c r="B71" s="208" t="s">
        <v>501</v>
      </c>
      <c r="C71" s="496" t="s">
        <v>649</v>
      </c>
      <c r="D71" s="496"/>
      <c r="E71" s="541">
        <v>2947835</v>
      </c>
      <c r="F71" s="498" t="s">
        <v>839</v>
      </c>
      <c r="G71" s="447" t="s">
        <v>500</v>
      </c>
      <c r="H71" s="253"/>
      <c r="I71" s="253"/>
      <c r="J71" s="253"/>
      <c r="K71" s="461">
        <v>3000</v>
      </c>
      <c r="L71" s="461">
        <v>5000</v>
      </c>
      <c r="M71" s="461">
        <v>5000</v>
      </c>
      <c r="N71" s="461">
        <v>5000</v>
      </c>
      <c r="O71" s="461">
        <v>10000</v>
      </c>
      <c r="P71" s="461">
        <v>15000</v>
      </c>
      <c r="Q71" s="461">
        <v>136700</v>
      </c>
      <c r="R71" s="461">
        <v>136700</v>
      </c>
      <c r="S71" s="461">
        <v>136700</v>
      </c>
      <c r="T71" s="461">
        <v>136700</v>
      </c>
      <c r="U71" s="461">
        <v>136700</v>
      </c>
      <c r="V71" s="461">
        <v>136700</v>
      </c>
      <c r="W71" s="461">
        <v>2084635</v>
      </c>
      <c r="X71" s="213">
        <f t="shared" si="1"/>
        <v>2947835</v>
      </c>
    </row>
    <row r="72" spans="1:24" s="168" customFormat="1" x14ac:dyDescent="0.2">
      <c r="A72" s="538"/>
      <c r="B72" s="459"/>
      <c r="C72" s="497"/>
      <c r="D72" s="497"/>
      <c r="E72" s="542"/>
      <c r="F72" s="499"/>
      <c r="G72" s="451">
        <v>2.5000000000000001E-3</v>
      </c>
      <c r="H72" s="460">
        <v>3750</v>
      </c>
      <c r="I72" s="460">
        <v>8615</v>
      </c>
      <c r="J72" s="460">
        <v>8970</v>
      </c>
      <c r="K72" s="460">
        <v>8970</v>
      </c>
      <c r="L72" s="460">
        <v>8955</v>
      </c>
      <c r="M72" s="460">
        <v>8965</v>
      </c>
      <c r="N72" s="460">
        <v>8925</v>
      </c>
      <c r="O72" s="460">
        <v>8910</v>
      </c>
      <c r="P72" s="460">
        <v>8875</v>
      </c>
      <c r="Q72" s="460">
        <v>8780</v>
      </c>
      <c r="R72" s="460">
        <v>8360</v>
      </c>
      <c r="S72" s="460">
        <v>7940</v>
      </c>
      <c r="T72" s="460">
        <v>7525</v>
      </c>
      <c r="U72" s="460">
        <v>7130</v>
      </c>
      <c r="V72" s="460">
        <v>6695</v>
      </c>
      <c r="W72" s="460">
        <v>50600</v>
      </c>
      <c r="X72" s="215">
        <f t="shared" si="1"/>
        <v>171965</v>
      </c>
    </row>
    <row r="73" spans="1:24" s="168" customFormat="1" ht="19.5" customHeight="1" x14ac:dyDescent="0.2">
      <c r="A73" s="537">
        <v>34</v>
      </c>
      <c r="B73" s="208" t="s">
        <v>501</v>
      </c>
      <c r="C73" s="496" t="s">
        <v>772</v>
      </c>
      <c r="D73" s="496"/>
      <c r="E73" s="541">
        <v>1791208</v>
      </c>
      <c r="F73" s="498" t="s">
        <v>839</v>
      </c>
      <c r="G73" s="447" t="s">
        <v>500</v>
      </c>
      <c r="H73" s="253"/>
      <c r="I73" s="253"/>
      <c r="J73" s="253"/>
      <c r="K73" s="461">
        <v>3000</v>
      </c>
      <c r="L73" s="461">
        <v>5000</v>
      </c>
      <c r="M73" s="461">
        <v>5000</v>
      </c>
      <c r="N73" s="461">
        <v>5000</v>
      </c>
      <c r="O73" s="461">
        <v>10000</v>
      </c>
      <c r="P73" s="461">
        <v>15000</v>
      </c>
      <c r="Q73" s="253">
        <v>82268</v>
      </c>
      <c r="R73" s="253">
        <v>82268</v>
      </c>
      <c r="S73" s="253">
        <v>82268</v>
      </c>
      <c r="T73" s="253">
        <v>82268</v>
      </c>
      <c r="U73" s="253">
        <v>82268</v>
      </c>
      <c r="V73" s="253">
        <v>82268</v>
      </c>
      <c r="W73" s="253">
        <v>1254600</v>
      </c>
      <c r="X73" s="213">
        <f t="shared" ref="X73:X86" si="4">SUM(H73:W73)</f>
        <v>1791208</v>
      </c>
    </row>
    <row r="74" spans="1:24" s="168" customFormat="1" ht="18" customHeight="1" x14ac:dyDescent="0.2">
      <c r="A74" s="538"/>
      <c r="B74" s="459"/>
      <c r="C74" s="497"/>
      <c r="D74" s="497"/>
      <c r="E74" s="542"/>
      <c r="F74" s="499"/>
      <c r="G74" s="451">
        <v>2.5000000000000001E-3</v>
      </c>
      <c r="H74" s="460">
        <v>2280</v>
      </c>
      <c r="I74" s="460">
        <v>5235</v>
      </c>
      <c r="J74" s="460">
        <v>5480</v>
      </c>
      <c r="K74" s="460">
        <v>5450</v>
      </c>
      <c r="L74" s="460">
        <v>5440</v>
      </c>
      <c r="M74" s="460">
        <v>5440</v>
      </c>
      <c r="N74" s="460">
        <v>5410</v>
      </c>
      <c r="O74" s="256">
        <v>5390</v>
      </c>
      <c r="P74" s="256">
        <v>5360</v>
      </c>
      <c r="Q74" s="256">
        <v>5285</v>
      </c>
      <c r="R74" s="256">
        <v>5030</v>
      </c>
      <c r="S74" s="256">
        <v>4780</v>
      </c>
      <c r="T74" s="256">
        <v>4530</v>
      </c>
      <c r="U74" s="256">
        <v>4290</v>
      </c>
      <c r="V74" s="256">
        <v>4030</v>
      </c>
      <c r="W74" s="256">
        <v>30455</v>
      </c>
      <c r="X74" s="215">
        <f t="shared" si="4"/>
        <v>103885</v>
      </c>
    </row>
    <row r="75" spans="1:24" s="168" customFormat="1" ht="12.75" hidden="1" customHeight="1" x14ac:dyDescent="0.2">
      <c r="A75" s="548">
        <v>35</v>
      </c>
      <c r="B75" s="174"/>
      <c r="C75" s="521"/>
      <c r="D75" s="521"/>
      <c r="E75" s="550"/>
      <c r="F75" s="179"/>
      <c r="G75" s="184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67">
        <f t="shared" si="4"/>
        <v>0</v>
      </c>
    </row>
    <row r="76" spans="1:24" s="168" customFormat="1" hidden="1" x14ac:dyDescent="0.2">
      <c r="A76" s="549"/>
      <c r="B76" s="180"/>
      <c r="C76" s="522"/>
      <c r="D76" s="522"/>
      <c r="E76" s="551"/>
      <c r="F76" s="175"/>
      <c r="G76" s="291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2">
        <f t="shared" si="4"/>
        <v>0</v>
      </c>
    </row>
    <row r="77" spans="1:24" s="168" customFormat="1" ht="12.75" hidden="1" customHeight="1" x14ac:dyDescent="0.2">
      <c r="A77" s="544">
        <v>36</v>
      </c>
      <c r="B77" s="165"/>
      <c r="C77" s="501"/>
      <c r="D77" s="501"/>
      <c r="E77" s="546"/>
      <c r="F77" s="519"/>
      <c r="G77" s="183"/>
      <c r="H77" s="166"/>
      <c r="I77" s="166"/>
      <c r="J77" s="166"/>
      <c r="K77" s="166"/>
      <c r="L77" s="166"/>
      <c r="M77" s="166"/>
      <c r="N77" s="166"/>
      <c r="O77" s="177"/>
      <c r="P77" s="177"/>
      <c r="Q77" s="177"/>
      <c r="R77" s="177"/>
      <c r="S77" s="177"/>
      <c r="T77" s="177"/>
      <c r="U77" s="177"/>
      <c r="V77" s="166"/>
      <c r="W77" s="166"/>
      <c r="X77" s="167">
        <f t="shared" si="4"/>
        <v>0</v>
      </c>
    </row>
    <row r="78" spans="1:24" s="168" customFormat="1" hidden="1" x14ac:dyDescent="0.2">
      <c r="A78" s="545"/>
      <c r="B78" s="169"/>
      <c r="C78" s="502"/>
      <c r="D78" s="502"/>
      <c r="E78" s="547"/>
      <c r="F78" s="520"/>
      <c r="G78" s="291"/>
      <c r="H78" s="171"/>
      <c r="I78" s="171"/>
      <c r="J78" s="171"/>
      <c r="K78" s="171"/>
      <c r="L78" s="171"/>
      <c r="M78" s="171"/>
      <c r="N78" s="171"/>
      <c r="O78" s="178"/>
      <c r="P78" s="178"/>
      <c r="Q78" s="178"/>
      <c r="R78" s="178"/>
      <c r="S78" s="178"/>
      <c r="T78" s="178"/>
      <c r="U78" s="178"/>
      <c r="V78" s="170"/>
      <c r="W78" s="170"/>
      <c r="X78" s="172">
        <f t="shared" si="4"/>
        <v>0</v>
      </c>
    </row>
    <row r="79" spans="1:24" s="168" customFormat="1" ht="12.75" hidden="1" customHeight="1" x14ac:dyDescent="0.2">
      <c r="A79" s="548">
        <v>37</v>
      </c>
      <c r="B79" s="174"/>
      <c r="C79" s="521"/>
      <c r="D79" s="521"/>
      <c r="E79" s="550"/>
      <c r="F79" s="517"/>
      <c r="G79" s="184"/>
      <c r="H79" s="166"/>
      <c r="I79" s="166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82"/>
      <c r="U79" s="182"/>
      <c r="V79" s="173"/>
      <c r="W79" s="173"/>
      <c r="X79" s="167">
        <f t="shared" si="4"/>
        <v>0</v>
      </c>
    </row>
    <row r="80" spans="1:24" s="168" customFormat="1" hidden="1" x14ac:dyDescent="0.2">
      <c r="A80" s="549"/>
      <c r="B80" s="180"/>
      <c r="C80" s="522"/>
      <c r="D80" s="522"/>
      <c r="E80" s="551"/>
      <c r="F80" s="518"/>
      <c r="G80" s="291"/>
      <c r="H80" s="171"/>
      <c r="I80" s="171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85"/>
      <c r="U80" s="185"/>
      <c r="V80" s="176"/>
      <c r="W80" s="176"/>
      <c r="X80" s="172">
        <f t="shared" si="4"/>
        <v>0</v>
      </c>
    </row>
    <row r="81" spans="1:24" s="168" customFormat="1" ht="12.75" hidden="1" customHeight="1" x14ac:dyDescent="0.2">
      <c r="A81" s="544">
        <v>38</v>
      </c>
      <c r="B81" s="165"/>
      <c r="C81" s="501"/>
      <c r="D81" s="501"/>
      <c r="E81" s="546"/>
      <c r="F81" s="519"/>
      <c r="G81" s="183"/>
      <c r="H81" s="166"/>
      <c r="I81" s="166"/>
      <c r="J81" s="166"/>
      <c r="K81" s="166"/>
      <c r="L81" s="166"/>
      <c r="M81" s="166"/>
      <c r="N81" s="166"/>
      <c r="O81" s="186"/>
      <c r="P81" s="186"/>
      <c r="Q81" s="177"/>
      <c r="R81" s="177"/>
      <c r="S81" s="177"/>
      <c r="T81" s="177"/>
      <c r="U81" s="177"/>
      <c r="V81" s="166"/>
      <c r="W81" s="166"/>
      <c r="X81" s="167">
        <f t="shared" si="4"/>
        <v>0</v>
      </c>
    </row>
    <row r="82" spans="1:24" s="168" customFormat="1" hidden="1" x14ac:dyDescent="0.2">
      <c r="A82" s="545"/>
      <c r="B82" s="169"/>
      <c r="C82" s="502"/>
      <c r="D82" s="502"/>
      <c r="E82" s="547"/>
      <c r="F82" s="520"/>
      <c r="G82" s="291"/>
      <c r="H82" s="171"/>
      <c r="I82" s="171"/>
      <c r="J82" s="171"/>
      <c r="K82" s="171"/>
      <c r="L82" s="171"/>
      <c r="M82" s="171"/>
      <c r="N82" s="171"/>
      <c r="O82" s="187"/>
      <c r="P82" s="187"/>
      <c r="Q82" s="178"/>
      <c r="R82" s="178"/>
      <c r="S82" s="178"/>
      <c r="T82" s="178"/>
      <c r="U82" s="178"/>
      <c r="V82" s="170"/>
      <c r="W82" s="170"/>
      <c r="X82" s="172">
        <f t="shared" si="4"/>
        <v>0</v>
      </c>
    </row>
    <row r="83" spans="1:24" s="168" customFormat="1" ht="12.75" hidden="1" customHeight="1" x14ac:dyDescent="0.2">
      <c r="A83" s="548">
        <v>39</v>
      </c>
      <c r="B83" s="174"/>
      <c r="C83" s="521"/>
      <c r="D83" s="521"/>
      <c r="E83" s="550"/>
      <c r="F83" s="517"/>
      <c r="G83" s="184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67">
        <f t="shared" si="4"/>
        <v>0</v>
      </c>
    </row>
    <row r="84" spans="1:24" s="168" customFormat="1" hidden="1" x14ac:dyDescent="0.2">
      <c r="A84" s="549"/>
      <c r="B84" s="180"/>
      <c r="C84" s="522"/>
      <c r="D84" s="522"/>
      <c r="E84" s="551"/>
      <c r="F84" s="518"/>
      <c r="G84" s="291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2">
        <f t="shared" si="4"/>
        <v>0</v>
      </c>
    </row>
    <row r="85" spans="1:24" s="168" customFormat="1" ht="12.75" hidden="1" customHeight="1" x14ac:dyDescent="0.2">
      <c r="A85" s="544">
        <v>40</v>
      </c>
      <c r="B85" s="336"/>
      <c r="C85" s="501"/>
      <c r="D85" s="501"/>
      <c r="E85" s="546"/>
      <c r="F85" s="519"/>
      <c r="G85" s="183"/>
      <c r="H85" s="166"/>
      <c r="I85" s="166"/>
      <c r="J85" s="166"/>
      <c r="K85" s="166"/>
      <c r="L85" s="166"/>
      <c r="M85" s="166"/>
      <c r="N85" s="166"/>
      <c r="O85" s="186"/>
      <c r="P85" s="186"/>
      <c r="Q85" s="177"/>
      <c r="R85" s="177"/>
      <c r="S85" s="177"/>
      <c r="T85" s="177"/>
      <c r="U85" s="177"/>
      <c r="V85" s="166"/>
      <c r="W85" s="166"/>
      <c r="X85" s="167">
        <f t="shared" si="4"/>
        <v>0</v>
      </c>
    </row>
    <row r="86" spans="1:24" s="168" customFormat="1" hidden="1" x14ac:dyDescent="0.2">
      <c r="A86" s="545"/>
      <c r="B86" s="337"/>
      <c r="C86" s="502"/>
      <c r="D86" s="502"/>
      <c r="E86" s="547"/>
      <c r="F86" s="520"/>
      <c r="G86" s="291"/>
      <c r="H86" s="171"/>
      <c r="I86" s="171"/>
      <c r="J86" s="171"/>
      <c r="K86" s="171"/>
      <c r="L86" s="171"/>
      <c r="M86" s="171"/>
      <c r="N86" s="171"/>
      <c r="O86" s="187"/>
      <c r="P86" s="187"/>
      <c r="Q86" s="178"/>
      <c r="R86" s="178"/>
      <c r="S86" s="178"/>
      <c r="T86" s="178"/>
      <c r="U86" s="178"/>
      <c r="V86" s="170"/>
      <c r="W86" s="170"/>
      <c r="X86" s="172">
        <f t="shared" si="4"/>
        <v>0</v>
      </c>
    </row>
    <row r="87" spans="1:24" s="190" customFormat="1" hidden="1" x14ac:dyDescent="0.2">
      <c r="A87" s="537">
        <v>86</v>
      </c>
      <c r="B87" s="208"/>
      <c r="C87" s="539"/>
      <c r="D87" s="539"/>
      <c r="E87" s="541"/>
      <c r="F87" s="496"/>
      <c r="G87" s="212"/>
      <c r="H87" s="209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3">
        <f t="shared" ref="X87:X92" si="5">SUM(H87:V87)</f>
        <v>0</v>
      </c>
    </row>
    <row r="88" spans="1:24" s="190" customFormat="1" hidden="1" x14ac:dyDescent="0.2">
      <c r="A88" s="538"/>
      <c r="B88" s="214"/>
      <c r="C88" s="540"/>
      <c r="D88" s="540"/>
      <c r="E88" s="542"/>
      <c r="F88" s="497"/>
      <c r="G88" s="207"/>
      <c r="H88" s="210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5">
        <f t="shared" si="5"/>
        <v>0</v>
      </c>
    </row>
    <row r="89" spans="1:24" s="190" customFormat="1" hidden="1" x14ac:dyDescent="0.2">
      <c r="A89" s="537">
        <v>87</v>
      </c>
      <c r="B89" s="208"/>
      <c r="C89" s="539"/>
      <c r="D89" s="539"/>
      <c r="E89" s="541"/>
      <c r="F89" s="496"/>
      <c r="G89" s="212"/>
      <c r="H89" s="209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3">
        <f t="shared" si="5"/>
        <v>0</v>
      </c>
    </row>
    <row r="90" spans="1:24" s="190" customFormat="1" hidden="1" x14ac:dyDescent="0.2">
      <c r="A90" s="538"/>
      <c r="B90" s="214"/>
      <c r="C90" s="540"/>
      <c r="D90" s="540"/>
      <c r="E90" s="542"/>
      <c r="F90" s="497"/>
      <c r="G90" s="207"/>
      <c r="H90" s="210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5">
        <f t="shared" si="5"/>
        <v>0</v>
      </c>
    </row>
    <row r="91" spans="1:24" s="190" customFormat="1" hidden="1" x14ac:dyDescent="0.2">
      <c r="A91" s="537">
        <v>88</v>
      </c>
      <c r="B91" s="208"/>
      <c r="C91" s="539"/>
      <c r="D91" s="539"/>
      <c r="E91" s="541"/>
      <c r="F91" s="496"/>
      <c r="G91" s="212"/>
      <c r="H91" s="209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3">
        <f t="shared" si="5"/>
        <v>0</v>
      </c>
    </row>
    <row r="92" spans="1:24" s="190" customFormat="1" hidden="1" x14ac:dyDescent="0.2">
      <c r="A92" s="538"/>
      <c r="B92" s="214"/>
      <c r="C92" s="540"/>
      <c r="D92" s="540"/>
      <c r="E92" s="542"/>
      <c r="F92" s="497"/>
      <c r="G92" s="207"/>
      <c r="H92" s="210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5">
        <f t="shared" si="5"/>
        <v>0</v>
      </c>
    </row>
    <row r="93" spans="1:24" x14ac:dyDescent="0.2">
      <c r="A93" s="218"/>
      <c r="B93" s="543" t="s">
        <v>539</v>
      </c>
      <c r="C93" s="510"/>
      <c r="D93" s="510"/>
      <c r="E93" s="510"/>
      <c r="F93" s="510"/>
      <c r="G93" s="219"/>
      <c r="H93" s="220">
        <f>SUM(H7+H9+H11+H13+H15+H17+H19+H21+H23+H25+H27+H29+H31+H33+H35+H37+H39+H41+H43+H45+H47+H49+H51+H53+H55+H57+H59+H61+H63+H65+H67+H69+H71+H73+H75+H77+H79+H81+H83+H85+H87+H89+H91)</f>
        <v>5162310</v>
      </c>
      <c r="I93" s="220">
        <f t="shared" ref="I93:W93" si="6">SUM(I7+I9+I11+I13+I15+I17+I19+I21+I23+I25+I27+I29+I31+I33+I35+I37+I39+I41+I43+I45+I47+I49+I51+I53+I55+I57+I59+I61+I63+I65+I67+I69+I71+I73+I75+I77+I79+I81+I83+I85+I87+I89+I91)</f>
        <v>5585722</v>
      </c>
      <c r="J93" s="220">
        <f t="shared" si="6"/>
        <v>5419526</v>
      </c>
      <c r="K93" s="220">
        <f t="shared" si="6"/>
        <v>4745861.88</v>
      </c>
      <c r="L93" s="220">
        <f t="shared" si="6"/>
        <v>4430092.3899999997</v>
      </c>
      <c r="M93" s="220">
        <f t="shared" si="6"/>
        <v>4363556</v>
      </c>
      <c r="N93" s="220">
        <f t="shared" si="6"/>
        <v>4387760</v>
      </c>
      <c r="O93" s="220">
        <f t="shared" si="6"/>
        <v>4326460</v>
      </c>
      <c r="P93" s="220">
        <f t="shared" si="6"/>
        <v>3065574</v>
      </c>
      <c r="Q93" s="220">
        <f t="shared" si="6"/>
        <v>2654093</v>
      </c>
      <c r="R93" s="220">
        <f t="shared" si="6"/>
        <v>2338740</v>
      </c>
      <c r="S93" s="220">
        <f t="shared" si="6"/>
        <v>2312810</v>
      </c>
      <c r="T93" s="220">
        <f t="shared" si="6"/>
        <v>2319296</v>
      </c>
      <c r="U93" s="220">
        <f t="shared" si="6"/>
        <v>2319296</v>
      </c>
      <c r="V93" s="220">
        <f t="shared" si="6"/>
        <v>2297244</v>
      </c>
      <c r="W93" s="220">
        <f t="shared" si="6"/>
        <v>17273215.960000001</v>
      </c>
      <c r="X93" s="221">
        <f>SUM(X7+X9+X11+X13+X15+X17+X19+X21+X23+X25+X27+X29+X31+X33+X35+X37+X39+X41+X43+X45+X47+X49+X51+X53+X55+X57+X59+X61+X63+X65+X67+X69+X71+X73+X75+X77+X79+X81+X83+X85+X87+X89+X91)</f>
        <v>73001557.229999989</v>
      </c>
    </row>
    <row r="94" spans="1:24" ht="13.5" thickBot="1" x14ac:dyDescent="0.25">
      <c r="A94" s="222"/>
      <c r="B94" s="535" t="s">
        <v>540</v>
      </c>
      <c r="C94" s="505"/>
      <c r="D94" s="505"/>
      <c r="E94" s="505"/>
      <c r="F94" s="505"/>
      <c r="G94" s="223"/>
      <c r="H94" s="224">
        <f>SUM(H8+H10+H12+H14+H16+H18+H20+H22+H24+H26+H28+H30+H32+H34+H36+H38+H40+H42+H44+H46+H48+H50+H52+H54+H56+H58+H60+H62+H64+H66+H68+H70+H72+H74+H76+H78+H80+H82+H84+H86+H88+H90+H92)+30689</f>
        <v>206594</v>
      </c>
      <c r="I94" s="224">
        <f t="shared" ref="I94:W94" si="7">SUM(I8+I10+I12+I14+I16+I18+I20+I22+I24+I26+I28+I30+I32+I34+I36+I38+I40+I42+I44+I46+I48+I50+I52+I54+I56+I58+I60+I62+I64+I66+I68+I70+I72+I74+I76+I78+I80+I82+I84+I86+I88+I90+I92)</f>
        <v>202810</v>
      </c>
      <c r="J94" s="224">
        <f t="shared" si="7"/>
        <v>186760</v>
      </c>
      <c r="K94" s="224">
        <f t="shared" si="7"/>
        <v>170670</v>
      </c>
      <c r="L94" s="224">
        <f t="shared" si="7"/>
        <v>156290</v>
      </c>
      <c r="M94" s="224">
        <f t="shared" si="7"/>
        <v>143225</v>
      </c>
      <c r="N94" s="224">
        <f t="shared" si="7"/>
        <v>129530</v>
      </c>
      <c r="O94" s="224">
        <f t="shared" si="7"/>
        <v>116245</v>
      </c>
      <c r="P94" s="224">
        <f t="shared" si="7"/>
        <v>103880</v>
      </c>
      <c r="Q94" s="224">
        <f t="shared" si="7"/>
        <v>94845</v>
      </c>
      <c r="R94" s="224">
        <f t="shared" si="7"/>
        <v>86700</v>
      </c>
      <c r="S94" s="224">
        <f t="shared" si="7"/>
        <v>79570</v>
      </c>
      <c r="T94" s="224">
        <f t="shared" si="7"/>
        <v>72535</v>
      </c>
      <c r="U94" s="224">
        <f t="shared" si="7"/>
        <v>65675</v>
      </c>
      <c r="V94" s="224">
        <f t="shared" si="7"/>
        <v>58470</v>
      </c>
      <c r="W94" s="224">
        <f t="shared" si="7"/>
        <v>358265</v>
      </c>
      <c r="X94" s="225">
        <f>SUM(X8+X10+X12+X14+X16+X18+X20+X22+X24+X26+X28+X30+X32+X34+X36+X38+X40+X42+X44+X46+X48+X50+X52+X54+X56+X58+X60+X62+X64+X66+X68+X70+X72+X74+X76+X78+X80+X82+X84+X86+X88+X90+X92)</f>
        <v>2201375</v>
      </c>
    </row>
    <row r="95" spans="1:24" ht="13.5" thickTop="1" x14ac:dyDescent="0.2">
      <c r="A95" s="226"/>
      <c r="B95" s="506" t="s">
        <v>541</v>
      </c>
      <c r="C95" s="507"/>
      <c r="D95" s="507"/>
      <c r="E95" s="507"/>
      <c r="F95" s="507"/>
      <c r="G95" s="227"/>
      <c r="H95" s="228">
        <f t="shared" ref="H95:V95" si="8">SUM(H93:H94)</f>
        <v>5368904</v>
      </c>
      <c r="I95" s="228">
        <f t="shared" si="8"/>
        <v>5788532</v>
      </c>
      <c r="J95" s="228">
        <f t="shared" si="8"/>
        <v>5606286</v>
      </c>
      <c r="K95" s="228">
        <f t="shared" si="8"/>
        <v>4916531.88</v>
      </c>
      <c r="L95" s="228">
        <f t="shared" si="8"/>
        <v>4586382.3899999997</v>
      </c>
      <c r="M95" s="228">
        <f t="shared" si="8"/>
        <v>4506781</v>
      </c>
      <c r="N95" s="228">
        <f t="shared" si="8"/>
        <v>4517290</v>
      </c>
      <c r="O95" s="228">
        <f t="shared" si="8"/>
        <v>4442705</v>
      </c>
      <c r="P95" s="228">
        <f t="shared" si="8"/>
        <v>3169454</v>
      </c>
      <c r="Q95" s="228">
        <f t="shared" si="8"/>
        <v>2748938</v>
      </c>
      <c r="R95" s="228">
        <f t="shared" si="8"/>
        <v>2425440</v>
      </c>
      <c r="S95" s="228">
        <f t="shared" si="8"/>
        <v>2392380</v>
      </c>
      <c r="T95" s="228">
        <f t="shared" si="8"/>
        <v>2391831</v>
      </c>
      <c r="U95" s="228">
        <f t="shared" si="8"/>
        <v>2384971</v>
      </c>
      <c r="V95" s="228">
        <f t="shared" si="8"/>
        <v>2355714</v>
      </c>
      <c r="W95" s="228">
        <f>SUM(W93:W94)</f>
        <v>17631480.960000001</v>
      </c>
      <c r="X95" s="229">
        <f>SUM(X93:X94)</f>
        <v>75202932.229999989</v>
      </c>
    </row>
    <row r="96" spans="1:24" x14ac:dyDescent="0.2">
      <c r="A96" s="230"/>
      <c r="B96" s="508" t="s">
        <v>542</v>
      </c>
      <c r="C96" s="509"/>
      <c r="D96" s="500" t="s">
        <v>543</v>
      </c>
      <c r="E96" s="500"/>
      <c r="F96" s="298">
        <f>61203103</f>
        <v>61203103</v>
      </c>
      <c r="G96" s="231" t="s">
        <v>544</v>
      </c>
      <c r="H96" s="232">
        <f>SUM(H95/$F$96)</f>
        <v>8.7722741770135407E-2</v>
      </c>
      <c r="I96" s="232">
        <f t="shared" ref="I96:V96" si="9">SUM(I95/$F$96)</f>
        <v>9.4579060803502077E-2</v>
      </c>
      <c r="J96" s="232">
        <f t="shared" si="9"/>
        <v>9.1601335964942826E-2</v>
      </c>
      <c r="K96" s="232">
        <f t="shared" si="9"/>
        <v>8.0331415222525557E-2</v>
      </c>
      <c r="L96" s="232">
        <f t="shared" si="9"/>
        <v>7.4937089219152819E-2</v>
      </c>
      <c r="M96" s="232">
        <f t="shared" si="9"/>
        <v>7.3636478856308973E-2</v>
      </c>
      <c r="N96" s="232">
        <f t="shared" si="9"/>
        <v>7.380818583659067E-2</v>
      </c>
      <c r="O96" s="232">
        <f t="shared" si="9"/>
        <v>7.2589538474871124E-2</v>
      </c>
      <c r="P96" s="232">
        <f t="shared" si="9"/>
        <v>5.1785838374894165E-2</v>
      </c>
      <c r="Q96" s="232">
        <f t="shared" si="9"/>
        <v>4.4915010273253626E-2</v>
      </c>
      <c r="R96" s="232">
        <f t="shared" si="9"/>
        <v>3.9629363236697329E-2</v>
      </c>
      <c r="S96" s="233">
        <f t="shared" si="9"/>
        <v>3.908919454623077E-2</v>
      </c>
      <c r="T96" s="233">
        <f t="shared" si="9"/>
        <v>3.908022441280469E-2</v>
      </c>
      <c r="U96" s="233">
        <f t="shared" si="9"/>
        <v>3.8968138592580838E-2</v>
      </c>
      <c r="V96" s="233">
        <f t="shared" si="9"/>
        <v>3.8490107274462865E-2</v>
      </c>
      <c r="W96" s="233">
        <f>SUM(W95/$F$96)</f>
        <v>0.28808148763306984</v>
      </c>
      <c r="X96" s="234"/>
    </row>
    <row r="97" spans="1:24" x14ac:dyDescent="0.2">
      <c r="C97" s="462"/>
      <c r="D97" s="388"/>
      <c r="F97" s="235"/>
      <c r="G97" s="236"/>
      <c r="H97" s="237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</row>
    <row r="98" spans="1:24" s="238" customFormat="1" ht="15" hidden="1" customHeight="1" x14ac:dyDescent="0.2">
      <c r="B98" s="239"/>
      <c r="C98" s="239"/>
      <c r="D98" s="239"/>
      <c r="E98" s="536" t="s">
        <v>545</v>
      </c>
      <c r="F98" s="536"/>
      <c r="G98" s="536"/>
      <c r="I98" s="240">
        <f>I93-H93</f>
        <v>423412</v>
      </c>
      <c r="J98" s="240">
        <f>J93-I93</f>
        <v>-166196</v>
      </c>
      <c r="K98" s="240">
        <f t="shared" ref="K98:V98" si="10">K93-J93</f>
        <v>-673664.12000000011</v>
      </c>
      <c r="L98" s="240">
        <f t="shared" si="10"/>
        <v>-315769.49000000022</v>
      </c>
      <c r="M98" s="240">
        <f t="shared" si="10"/>
        <v>-66536.389999999665</v>
      </c>
      <c r="N98" s="240">
        <f t="shared" si="10"/>
        <v>24204</v>
      </c>
      <c r="O98" s="240">
        <f t="shared" si="10"/>
        <v>-61300</v>
      </c>
      <c r="P98" s="240">
        <f t="shared" si="10"/>
        <v>-1260886</v>
      </c>
      <c r="Q98" s="240">
        <f t="shared" si="10"/>
        <v>-411481</v>
      </c>
      <c r="R98" s="240">
        <f t="shared" si="10"/>
        <v>-315353</v>
      </c>
      <c r="S98" s="240">
        <f t="shared" si="10"/>
        <v>-25930</v>
      </c>
      <c r="T98" s="240">
        <f t="shared" si="10"/>
        <v>6486</v>
      </c>
      <c r="U98" s="240">
        <f t="shared" si="10"/>
        <v>0</v>
      </c>
      <c r="V98" s="240">
        <f t="shared" si="10"/>
        <v>-22052</v>
      </c>
      <c r="W98" s="240"/>
      <c r="X98" s="241"/>
    </row>
    <row r="99" spans="1:24" s="156" customFormat="1" ht="15" customHeight="1" x14ac:dyDescent="0.2">
      <c r="B99" s="242"/>
      <c r="C99" s="243"/>
      <c r="D99" s="243"/>
      <c r="E99" s="243"/>
      <c r="F99" s="243"/>
      <c r="G99" s="243"/>
      <c r="P99" s="244"/>
      <c r="Q99" s="244"/>
      <c r="R99" s="244"/>
      <c r="S99" s="244"/>
      <c r="T99" s="244"/>
      <c r="U99" s="244"/>
      <c r="X99" s="245"/>
    </row>
    <row r="100" spans="1:24" s="156" customFormat="1" ht="15.75" customHeight="1" x14ac:dyDescent="0.2">
      <c r="B100" s="242"/>
      <c r="C100" s="238"/>
      <c r="D100" s="238"/>
      <c r="E100" s="536"/>
      <c r="F100" s="536"/>
      <c r="G100" s="53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5"/>
    </row>
    <row r="101" spans="1:24" s="251" customFormat="1" x14ac:dyDescent="0.2">
      <c r="A101" s="247"/>
      <c r="B101" s="248" t="s">
        <v>546</v>
      </c>
      <c r="C101" s="247"/>
      <c r="D101" s="247"/>
      <c r="E101" s="161"/>
      <c r="F101" s="249"/>
      <c r="G101" s="249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</row>
    <row r="102" spans="1:24" s="251" customFormat="1" ht="12.75" customHeight="1" x14ac:dyDescent="0.2">
      <c r="A102" s="533">
        <v>1</v>
      </c>
      <c r="B102" s="189" t="s">
        <v>501</v>
      </c>
      <c r="C102" s="525" t="s">
        <v>547</v>
      </c>
      <c r="D102" s="252"/>
      <c r="E102" s="527">
        <v>5122338.5199999996</v>
      </c>
      <c r="F102" s="529" t="s">
        <v>548</v>
      </c>
      <c r="G102" s="197" t="s">
        <v>500</v>
      </c>
      <c r="H102" s="166">
        <v>216000</v>
      </c>
      <c r="I102" s="166">
        <v>216000</v>
      </c>
      <c r="J102" s="166">
        <v>216000</v>
      </c>
      <c r="K102" s="166">
        <v>216000</v>
      </c>
      <c r="L102" s="166">
        <v>216000</v>
      </c>
      <c r="M102" s="166">
        <v>216000</v>
      </c>
      <c r="N102" s="166">
        <v>216000</v>
      </c>
      <c r="O102" s="166">
        <v>216000</v>
      </c>
      <c r="P102" s="166">
        <v>216000</v>
      </c>
      <c r="Q102" s="166">
        <v>216000</v>
      </c>
      <c r="R102" s="166">
        <v>216000</v>
      </c>
      <c r="S102" s="166">
        <v>216000</v>
      </c>
      <c r="T102" s="166">
        <v>0</v>
      </c>
      <c r="U102" s="166"/>
      <c r="V102" s="253"/>
      <c r="W102" s="254"/>
      <c r="X102" s="167">
        <f t="shared" ref="X102:X111" si="11">SUM(H102:V102)</f>
        <v>2592000</v>
      </c>
    </row>
    <row r="103" spans="1:24" s="251" customFormat="1" x14ac:dyDescent="0.2">
      <c r="A103" s="534"/>
      <c r="B103" s="191" t="s">
        <v>549</v>
      </c>
      <c r="C103" s="526"/>
      <c r="D103" s="255"/>
      <c r="E103" s="528"/>
      <c r="F103" s="530"/>
      <c r="G103" s="198">
        <v>7.0000000000000001E-3</v>
      </c>
      <c r="H103" s="170">
        <v>12975</v>
      </c>
      <c r="I103" s="170">
        <v>11910</v>
      </c>
      <c r="J103" s="170">
        <v>10785</v>
      </c>
      <c r="K103" s="170">
        <v>9690</v>
      </c>
      <c r="L103" s="170">
        <v>8595</v>
      </c>
      <c r="M103" s="170">
        <v>7520</v>
      </c>
      <c r="N103" s="170">
        <v>6405</v>
      </c>
      <c r="O103" s="170">
        <v>5310</v>
      </c>
      <c r="P103" s="170">
        <v>4215</v>
      </c>
      <c r="Q103" s="170">
        <v>3130</v>
      </c>
      <c r="R103" s="170">
        <v>2025</v>
      </c>
      <c r="S103" s="170">
        <v>930</v>
      </c>
      <c r="T103" s="170">
        <v>65</v>
      </c>
      <c r="U103" s="170"/>
      <c r="V103" s="256"/>
      <c r="W103" s="257"/>
      <c r="X103" s="172">
        <f t="shared" si="11"/>
        <v>83555</v>
      </c>
    </row>
    <row r="104" spans="1:24" s="251" customFormat="1" ht="12.75" customHeight="1" x14ac:dyDescent="0.2">
      <c r="A104" s="533">
        <v>2</v>
      </c>
      <c r="B104" s="189" t="s">
        <v>550</v>
      </c>
      <c r="C104" s="525" t="s">
        <v>551</v>
      </c>
      <c r="D104" s="252"/>
      <c r="E104" s="527">
        <v>435398.77</v>
      </c>
      <c r="F104" s="529" t="s">
        <v>552</v>
      </c>
      <c r="G104" s="197" t="s">
        <v>500</v>
      </c>
      <c r="H104" s="166">
        <v>52908.9</v>
      </c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254"/>
      <c r="W104" s="254"/>
      <c r="X104" s="167">
        <f t="shared" si="11"/>
        <v>52908.9</v>
      </c>
    </row>
    <row r="105" spans="1:24" s="251" customFormat="1" ht="13.5" customHeight="1" x14ac:dyDescent="0.2">
      <c r="A105" s="534"/>
      <c r="B105" s="258" t="s">
        <v>553</v>
      </c>
      <c r="C105" s="526"/>
      <c r="D105" s="255"/>
      <c r="E105" s="528"/>
      <c r="F105" s="530"/>
      <c r="G105" s="198">
        <v>1.9970000000000002E-2</v>
      </c>
      <c r="H105" s="170">
        <v>445</v>
      </c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257"/>
      <c r="W105" s="257"/>
      <c r="X105" s="172">
        <f t="shared" si="11"/>
        <v>445</v>
      </c>
    </row>
    <row r="106" spans="1:24" s="251" customFormat="1" ht="12.75" customHeight="1" x14ac:dyDescent="0.2">
      <c r="A106" s="533">
        <v>3</v>
      </c>
      <c r="B106" s="189" t="s">
        <v>501</v>
      </c>
      <c r="C106" s="525" t="s">
        <v>554</v>
      </c>
      <c r="D106" s="252"/>
      <c r="E106" s="527">
        <v>522193.95</v>
      </c>
      <c r="F106" s="529" t="s">
        <v>555</v>
      </c>
      <c r="G106" s="197" t="s">
        <v>500</v>
      </c>
      <c r="H106" s="166">
        <v>21600</v>
      </c>
      <c r="I106" s="166"/>
      <c r="J106" s="166"/>
      <c r="K106" s="166"/>
      <c r="L106" s="166">
        <f>32139.84-21440.27</f>
        <v>10699.57</v>
      </c>
      <c r="M106" s="166">
        <v>32139.84</v>
      </c>
      <c r="N106" s="166">
        <v>32139.84</v>
      </c>
      <c r="O106" s="166">
        <v>32139.84</v>
      </c>
      <c r="P106" s="166">
        <v>32139.84</v>
      </c>
      <c r="Q106" s="166">
        <v>32139.84</v>
      </c>
      <c r="R106" s="166">
        <v>32139.84</v>
      </c>
      <c r="S106" s="166">
        <v>32061.39</v>
      </c>
      <c r="T106" s="166">
        <v>0</v>
      </c>
      <c r="U106" s="166"/>
      <c r="V106" s="254"/>
      <c r="W106" s="254"/>
      <c r="X106" s="167">
        <f>SUM(H106:V106)</f>
        <v>257200</v>
      </c>
    </row>
    <row r="107" spans="1:24" s="251" customFormat="1" x14ac:dyDescent="0.2">
      <c r="A107" s="534"/>
      <c r="B107" s="191" t="s">
        <v>556</v>
      </c>
      <c r="C107" s="526"/>
      <c r="D107" s="255"/>
      <c r="E107" s="528"/>
      <c r="F107" s="530"/>
      <c r="G107" s="198">
        <v>7.0000000000000001E-3</v>
      </c>
      <c r="H107" s="170">
        <v>1360</v>
      </c>
      <c r="I107" s="170">
        <v>1365</v>
      </c>
      <c r="J107" s="170">
        <v>1360</v>
      </c>
      <c r="K107" s="170">
        <v>1360</v>
      </c>
      <c r="L107" s="170">
        <v>1275</v>
      </c>
      <c r="M107" s="170">
        <v>1120</v>
      </c>
      <c r="N107" s="170">
        <v>955</v>
      </c>
      <c r="O107" s="170">
        <v>790</v>
      </c>
      <c r="P107" s="170">
        <v>630</v>
      </c>
      <c r="Q107" s="170">
        <v>465</v>
      </c>
      <c r="R107" s="170">
        <v>305</v>
      </c>
      <c r="S107" s="170">
        <v>140</v>
      </c>
      <c r="T107" s="170">
        <v>10</v>
      </c>
      <c r="U107" s="170"/>
      <c r="V107" s="257"/>
      <c r="W107" s="257"/>
      <c r="X107" s="172">
        <f t="shared" si="11"/>
        <v>11135</v>
      </c>
    </row>
    <row r="108" spans="1:24" s="251" customFormat="1" ht="12.75" hidden="1" customHeight="1" x14ac:dyDescent="0.2">
      <c r="A108" s="523"/>
      <c r="B108" s="189"/>
      <c r="C108" s="525"/>
      <c r="D108" s="252"/>
      <c r="E108" s="527"/>
      <c r="F108" s="529"/>
      <c r="G108" s="197"/>
      <c r="H108" s="253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253"/>
      <c r="W108" s="254"/>
      <c r="X108" s="167">
        <f t="shared" si="11"/>
        <v>0</v>
      </c>
    </row>
    <row r="109" spans="1:24" s="251" customFormat="1" hidden="1" x14ac:dyDescent="0.2">
      <c r="A109" s="524"/>
      <c r="B109" s="191"/>
      <c r="C109" s="526"/>
      <c r="D109" s="255"/>
      <c r="E109" s="528"/>
      <c r="F109" s="530"/>
      <c r="G109" s="198"/>
      <c r="H109" s="256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256"/>
      <c r="W109" s="257"/>
      <c r="X109" s="172">
        <f t="shared" si="11"/>
        <v>0</v>
      </c>
    </row>
    <row r="110" spans="1:24" s="251" customFormat="1" hidden="1" x14ac:dyDescent="0.2">
      <c r="A110" s="523"/>
      <c r="B110" s="189"/>
      <c r="C110" s="525"/>
      <c r="D110" s="252"/>
      <c r="E110" s="527"/>
      <c r="F110" s="531"/>
      <c r="G110" s="259"/>
      <c r="H110" s="253"/>
      <c r="I110" s="253"/>
      <c r="J110" s="253"/>
      <c r="K110" s="253"/>
      <c r="L110" s="253"/>
      <c r="M110" s="253"/>
      <c r="N110" s="253"/>
      <c r="O110" s="253"/>
      <c r="P110" s="253"/>
      <c r="Q110" s="253"/>
      <c r="R110" s="253"/>
      <c r="S110" s="253"/>
      <c r="T110" s="253"/>
      <c r="U110" s="253"/>
      <c r="V110" s="253"/>
      <c r="W110" s="254"/>
      <c r="X110" s="260">
        <f t="shared" si="11"/>
        <v>0</v>
      </c>
    </row>
    <row r="111" spans="1:24" s="251" customFormat="1" hidden="1" x14ac:dyDescent="0.2">
      <c r="A111" s="524"/>
      <c r="B111" s="191"/>
      <c r="C111" s="526"/>
      <c r="D111" s="255"/>
      <c r="E111" s="528"/>
      <c r="F111" s="532"/>
      <c r="G111" s="261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7"/>
      <c r="X111" s="262">
        <f t="shared" si="11"/>
        <v>0</v>
      </c>
    </row>
    <row r="112" spans="1:24" s="251" customFormat="1" x14ac:dyDescent="0.2">
      <c r="A112" s="263"/>
      <c r="B112" s="510" t="s">
        <v>539</v>
      </c>
      <c r="C112" s="511"/>
      <c r="D112" s="511"/>
      <c r="E112" s="511"/>
      <c r="F112" s="512"/>
      <c r="G112" s="219"/>
      <c r="H112" s="220">
        <f t="shared" ref="H112:V113" si="12">+H102+H104+H106+H108+H110</f>
        <v>290508.90000000002</v>
      </c>
      <c r="I112" s="220">
        <f t="shared" si="12"/>
        <v>216000</v>
      </c>
      <c r="J112" s="220">
        <f t="shared" si="12"/>
        <v>216000</v>
      </c>
      <c r="K112" s="220">
        <f t="shared" si="12"/>
        <v>216000</v>
      </c>
      <c r="L112" s="220">
        <f t="shared" si="12"/>
        <v>226699.57</v>
      </c>
      <c r="M112" s="220">
        <f t="shared" si="12"/>
        <v>248139.84</v>
      </c>
      <c r="N112" s="220">
        <f t="shared" si="12"/>
        <v>248139.84</v>
      </c>
      <c r="O112" s="220">
        <f t="shared" si="12"/>
        <v>248139.84</v>
      </c>
      <c r="P112" s="220">
        <f t="shared" si="12"/>
        <v>248139.84</v>
      </c>
      <c r="Q112" s="220">
        <f t="shared" si="12"/>
        <v>248139.84</v>
      </c>
      <c r="R112" s="220">
        <f t="shared" si="12"/>
        <v>248139.84</v>
      </c>
      <c r="S112" s="220">
        <f t="shared" si="12"/>
        <v>248061.39</v>
      </c>
      <c r="T112" s="220">
        <f t="shared" si="12"/>
        <v>0</v>
      </c>
      <c r="U112" s="220">
        <f t="shared" si="12"/>
        <v>0</v>
      </c>
      <c r="V112" s="220">
        <f t="shared" si="12"/>
        <v>0</v>
      </c>
      <c r="W112" s="220">
        <f>+W102+W104+W106+W108+W110</f>
        <v>0</v>
      </c>
      <c r="X112" s="221">
        <f>+X102+X104+X106+X108+X110</f>
        <v>2902108.9</v>
      </c>
    </row>
    <row r="113" spans="1:24" s="251" customFormat="1" ht="13.5" thickBot="1" x14ac:dyDescent="0.25">
      <c r="A113" s="264"/>
      <c r="B113" s="505" t="s">
        <v>540</v>
      </c>
      <c r="C113" s="505"/>
      <c r="D113" s="505"/>
      <c r="E113" s="505"/>
      <c r="F113" s="505"/>
      <c r="G113" s="265"/>
      <c r="H113" s="224">
        <f t="shared" si="12"/>
        <v>14780</v>
      </c>
      <c r="I113" s="224">
        <f t="shared" si="12"/>
        <v>13275</v>
      </c>
      <c r="J113" s="224">
        <f t="shared" si="12"/>
        <v>12145</v>
      </c>
      <c r="K113" s="224">
        <f t="shared" si="12"/>
        <v>11050</v>
      </c>
      <c r="L113" s="224">
        <f t="shared" si="12"/>
        <v>9870</v>
      </c>
      <c r="M113" s="224">
        <f t="shared" si="12"/>
        <v>8640</v>
      </c>
      <c r="N113" s="224">
        <f t="shared" si="12"/>
        <v>7360</v>
      </c>
      <c r="O113" s="224">
        <f t="shared" si="12"/>
        <v>6100</v>
      </c>
      <c r="P113" s="224">
        <f t="shared" si="12"/>
        <v>4845</v>
      </c>
      <c r="Q113" s="224">
        <f t="shared" si="12"/>
        <v>3595</v>
      </c>
      <c r="R113" s="224">
        <f t="shared" si="12"/>
        <v>2330</v>
      </c>
      <c r="S113" s="224">
        <f t="shared" si="12"/>
        <v>1070</v>
      </c>
      <c r="T113" s="224">
        <f t="shared" si="12"/>
        <v>75</v>
      </c>
      <c r="U113" s="224">
        <f t="shared" si="12"/>
        <v>0</v>
      </c>
      <c r="V113" s="224">
        <f t="shared" si="12"/>
        <v>0</v>
      </c>
      <c r="W113" s="224">
        <f>+W103+W105+W107+W109+W111</f>
        <v>0</v>
      </c>
      <c r="X113" s="225">
        <f>+X103+X105+X107+X109+X111</f>
        <v>95135</v>
      </c>
    </row>
    <row r="114" spans="1:24" s="251" customFormat="1" ht="13.5" thickTop="1" x14ac:dyDescent="0.2">
      <c r="A114" s="266"/>
      <c r="B114" s="513" t="s">
        <v>557</v>
      </c>
      <c r="C114" s="514"/>
      <c r="D114" s="514"/>
      <c r="E114" s="514"/>
      <c r="F114" s="514"/>
      <c r="G114" s="267"/>
      <c r="H114" s="268">
        <f t="shared" ref="H114:V114" si="13">SUM(H112:H113)</f>
        <v>305288.90000000002</v>
      </c>
      <c r="I114" s="268">
        <f t="shared" si="13"/>
        <v>229275</v>
      </c>
      <c r="J114" s="268">
        <f t="shared" si="13"/>
        <v>228145</v>
      </c>
      <c r="K114" s="268">
        <f t="shared" si="13"/>
        <v>227050</v>
      </c>
      <c r="L114" s="268">
        <f t="shared" si="13"/>
        <v>236569.57</v>
      </c>
      <c r="M114" s="268">
        <f t="shared" si="13"/>
        <v>256779.84</v>
      </c>
      <c r="N114" s="268">
        <f t="shared" si="13"/>
        <v>255499.84</v>
      </c>
      <c r="O114" s="268">
        <f t="shared" si="13"/>
        <v>254239.84</v>
      </c>
      <c r="P114" s="268">
        <f t="shared" si="13"/>
        <v>252984.84</v>
      </c>
      <c r="Q114" s="268">
        <f t="shared" si="13"/>
        <v>251734.84</v>
      </c>
      <c r="R114" s="268">
        <f t="shared" si="13"/>
        <v>250469.84</v>
      </c>
      <c r="S114" s="268">
        <f t="shared" si="13"/>
        <v>249131.39</v>
      </c>
      <c r="T114" s="268">
        <f t="shared" si="13"/>
        <v>75</v>
      </c>
      <c r="U114" s="268">
        <f t="shared" si="13"/>
        <v>0</v>
      </c>
      <c r="V114" s="268">
        <f t="shared" si="13"/>
        <v>0</v>
      </c>
      <c r="W114" s="268">
        <f>SUM(W112:W113)</f>
        <v>0</v>
      </c>
      <c r="X114" s="269">
        <f>SUM(X112:X113)</f>
        <v>2997243.9</v>
      </c>
    </row>
    <row r="115" spans="1:24" x14ac:dyDescent="0.2">
      <c r="F115" s="515"/>
      <c r="G115" s="515"/>
      <c r="Q115" s="270"/>
      <c r="R115" s="270"/>
      <c r="S115" s="270"/>
      <c r="T115" s="270"/>
      <c r="U115" s="270"/>
      <c r="V115" s="270"/>
      <c r="W115" s="270"/>
    </row>
    <row r="116" spans="1:24" s="251" customFormat="1" ht="12" customHeight="1" x14ac:dyDescent="0.2">
      <c r="A116" s="148"/>
      <c r="B116" s="516" t="s">
        <v>558</v>
      </c>
      <c r="C116" s="516"/>
      <c r="D116" s="271"/>
      <c r="E116" s="161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</row>
    <row r="117" spans="1:24" s="251" customFormat="1" x14ac:dyDescent="0.2">
      <c r="A117" s="263"/>
      <c r="B117" s="510" t="s">
        <v>559</v>
      </c>
      <c r="C117" s="511"/>
      <c r="D117" s="511"/>
      <c r="E117" s="511"/>
      <c r="F117" s="512"/>
      <c r="G117" s="219"/>
      <c r="H117" s="272">
        <f t="shared" ref="H117:W118" si="14">H93+H112</f>
        <v>5452818.9000000004</v>
      </c>
      <c r="I117" s="272">
        <f t="shared" si="14"/>
        <v>5801722</v>
      </c>
      <c r="J117" s="272">
        <f t="shared" si="14"/>
        <v>5635526</v>
      </c>
      <c r="K117" s="272">
        <f t="shared" si="14"/>
        <v>4961861.88</v>
      </c>
      <c r="L117" s="272">
        <f t="shared" si="14"/>
        <v>4656791.96</v>
      </c>
      <c r="M117" s="272">
        <f t="shared" si="14"/>
        <v>4611695.84</v>
      </c>
      <c r="N117" s="272">
        <f t="shared" si="14"/>
        <v>4635899.84</v>
      </c>
      <c r="O117" s="272">
        <f t="shared" si="14"/>
        <v>4574599.84</v>
      </c>
      <c r="P117" s="272">
        <f t="shared" si="14"/>
        <v>3313713.84</v>
      </c>
      <c r="Q117" s="272">
        <f t="shared" si="14"/>
        <v>2902232.84</v>
      </c>
      <c r="R117" s="272">
        <f t="shared" si="14"/>
        <v>2586879.84</v>
      </c>
      <c r="S117" s="272">
        <f t="shared" si="14"/>
        <v>2560871.39</v>
      </c>
      <c r="T117" s="272">
        <f t="shared" si="14"/>
        <v>2319296</v>
      </c>
      <c r="U117" s="272">
        <f t="shared" si="14"/>
        <v>2319296</v>
      </c>
      <c r="V117" s="272">
        <f t="shared" si="14"/>
        <v>2297244</v>
      </c>
      <c r="W117" s="272">
        <f t="shared" si="14"/>
        <v>17273215.960000001</v>
      </c>
      <c r="X117" s="273">
        <f>SUM(H117:W117)</f>
        <v>75903666.130000025</v>
      </c>
    </row>
    <row r="118" spans="1:24" s="251" customFormat="1" ht="13.5" thickBot="1" x14ac:dyDescent="0.25">
      <c r="A118" s="264"/>
      <c r="B118" s="505" t="s">
        <v>540</v>
      </c>
      <c r="C118" s="505"/>
      <c r="D118" s="505"/>
      <c r="E118" s="505"/>
      <c r="F118" s="505"/>
      <c r="G118" s="265"/>
      <c r="H118" s="274">
        <f t="shared" si="14"/>
        <v>221374</v>
      </c>
      <c r="I118" s="274">
        <f t="shared" si="14"/>
        <v>216085</v>
      </c>
      <c r="J118" s="274">
        <f t="shared" si="14"/>
        <v>198905</v>
      </c>
      <c r="K118" s="274">
        <f t="shared" si="14"/>
        <v>181720</v>
      </c>
      <c r="L118" s="274">
        <f t="shared" si="14"/>
        <v>166160</v>
      </c>
      <c r="M118" s="274">
        <f t="shared" si="14"/>
        <v>151865</v>
      </c>
      <c r="N118" s="274">
        <f t="shared" si="14"/>
        <v>136890</v>
      </c>
      <c r="O118" s="274">
        <f t="shared" si="14"/>
        <v>122345</v>
      </c>
      <c r="P118" s="274">
        <f t="shared" si="14"/>
        <v>108725</v>
      </c>
      <c r="Q118" s="274">
        <f t="shared" si="14"/>
        <v>98440</v>
      </c>
      <c r="R118" s="274">
        <f t="shared" si="14"/>
        <v>89030</v>
      </c>
      <c r="S118" s="274">
        <f t="shared" si="14"/>
        <v>80640</v>
      </c>
      <c r="T118" s="274">
        <f t="shared" si="14"/>
        <v>72610</v>
      </c>
      <c r="U118" s="274">
        <f t="shared" si="14"/>
        <v>65675</v>
      </c>
      <c r="V118" s="274">
        <f t="shared" si="14"/>
        <v>58470</v>
      </c>
      <c r="W118" s="274">
        <f t="shared" si="14"/>
        <v>358265</v>
      </c>
      <c r="X118" s="275">
        <f>SUM(H118:W118)</f>
        <v>2327199</v>
      </c>
    </row>
    <row r="119" spans="1:24" s="251" customFormat="1" ht="13.5" thickTop="1" x14ac:dyDescent="0.2">
      <c r="A119" s="226"/>
      <c r="B119" s="506" t="s">
        <v>499</v>
      </c>
      <c r="C119" s="507"/>
      <c r="D119" s="507"/>
      <c r="E119" s="507"/>
      <c r="F119" s="507"/>
      <c r="G119" s="227"/>
      <c r="H119" s="228">
        <f t="shared" ref="H119:U119" si="15">SUM(H117:H118)</f>
        <v>5674192.9000000004</v>
      </c>
      <c r="I119" s="228">
        <f t="shared" si="15"/>
        <v>6017807</v>
      </c>
      <c r="J119" s="228">
        <f t="shared" si="15"/>
        <v>5834431</v>
      </c>
      <c r="K119" s="228">
        <f t="shared" si="15"/>
        <v>5143581.88</v>
      </c>
      <c r="L119" s="228">
        <f t="shared" si="15"/>
        <v>4822951.96</v>
      </c>
      <c r="M119" s="228">
        <f t="shared" si="15"/>
        <v>4763560.84</v>
      </c>
      <c r="N119" s="228">
        <f t="shared" si="15"/>
        <v>4772789.84</v>
      </c>
      <c r="O119" s="228">
        <f t="shared" si="15"/>
        <v>4696944.84</v>
      </c>
      <c r="P119" s="228">
        <f t="shared" si="15"/>
        <v>3422438.84</v>
      </c>
      <c r="Q119" s="228">
        <f t="shared" si="15"/>
        <v>3000672.84</v>
      </c>
      <c r="R119" s="228">
        <f t="shared" si="15"/>
        <v>2675909.84</v>
      </c>
      <c r="S119" s="228">
        <f t="shared" si="15"/>
        <v>2641511.39</v>
      </c>
      <c r="T119" s="228">
        <f t="shared" si="15"/>
        <v>2391906</v>
      </c>
      <c r="U119" s="228">
        <f t="shared" si="15"/>
        <v>2384971</v>
      </c>
      <c r="V119" s="228">
        <f>SUM(V117:V118)</f>
        <v>2355714</v>
      </c>
      <c r="W119" s="228">
        <f>SUM(W117:W118)</f>
        <v>17631480.960000001</v>
      </c>
      <c r="X119" s="276">
        <f>SUM(X117:X118)</f>
        <v>78230865.130000025</v>
      </c>
    </row>
    <row r="120" spans="1:24" s="251" customFormat="1" x14ac:dyDescent="0.2">
      <c r="A120" s="230"/>
      <c r="B120" s="508" t="s">
        <v>542</v>
      </c>
      <c r="C120" s="509"/>
      <c r="D120" s="500" t="s">
        <v>543</v>
      </c>
      <c r="E120" s="500"/>
      <c r="F120" s="298">
        <f>F96</f>
        <v>61203103</v>
      </c>
      <c r="G120" s="231" t="s">
        <v>544</v>
      </c>
      <c r="H120" s="232">
        <f t="shared" ref="H120:V120" si="16">SUM(H119/$F$120)</f>
        <v>9.2710869577968952E-2</v>
      </c>
      <c r="I120" s="232">
        <f t="shared" si="16"/>
        <v>9.832519439414697E-2</v>
      </c>
      <c r="J120" s="232">
        <f t="shared" si="16"/>
        <v>9.5329006439428404E-2</v>
      </c>
      <c r="K120" s="232">
        <f t="shared" si="16"/>
        <v>8.4041194447281531E-2</v>
      </c>
      <c r="L120" s="232">
        <f t="shared" si="16"/>
        <v>7.8802409087003311E-2</v>
      </c>
      <c r="M120" s="232">
        <f t="shared" si="16"/>
        <v>7.7832015151257927E-2</v>
      </c>
      <c r="N120" s="232">
        <f t="shared" si="16"/>
        <v>7.7982808159252973E-2</v>
      </c>
      <c r="O120" s="232">
        <f t="shared" si="16"/>
        <v>7.6743573606063722E-2</v>
      </c>
      <c r="P120" s="232">
        <f t="shared" si="16"/>
        <v>5.5919368009821328E-2</v>
      </c>
      <c r="Q120" s="232">
        <f t="shared" si="16"/>
        <v>4.9028116107119601E-2</v>
      </c>
      <c r="R120" s="232">
        <f t="shared" si="16"/>
        <v>4.3721800183889367E-2</v>
      </c>
      <c r="S120" s="233">
        <f t="shared" si="16"/>
        <v>4.3159762504198521E-2</v>
      </c>
      <c r="T120" s="233">
        <f t="shared" si="16"/>
        <v>3.9081449840868365E-2</v>
      </c>
      <c r="U120" s="233">
        <f t="shared" si="16"/>
        <v>3.8968138592580838E-2</v>
      </c>
      <c r="V120" s="233">
        <f t="shared" si="16"/>
        <v>3.8490107274462865E-2</v>
      </c>
      <c r="W120" s="233">
        <f>SUM(W119/$F$120)</f>
        <v>0.28808148763306984</v>
      </c>
      <c r="X120" s="277"/>
    </row>
    <row r="121" spans="1:24" s="251" customFormat="1" x14ac:dyDescent="0.2">
      <c r="A121" s="148"/>
      <c r="B121" s="190"/>
      <c r="C121" s="161"/>
      <c r="D121" s="161"/>
      <c r="E121" s="161"/>
      <c r="F121" s="235"/>
      <c r="G121" s="236"/>
      <c r="H121" s="237"/>
      <c r="I121" s="237"/>
      <c r="J121" s="237"/>
      <c r="K121" s="278"/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  <c r="V121" s="237"/>
      <c r="W121" s="237"/>
      <c r="X121" s="148"/>
    </row>
    <row r="122" spans="1:24" s="251" customFormat="1" x14ac:dyDescent="0.2">
      <c r="A122" s="148"/>
      <c r="B122" s="190"/>
      <c r="C122" s="161"/>
      <c r="D122" s="161"/>
      <c r="E122" s="161"/>
      <c r="F122" s="148"/>
      <c r="G122" s="148"/>
      <c r="H122" s="148"/>
      <c r="I122" s="148"/>
      <c r="J122" s="148"/>
      <c r="K122" s="161"/>
      <c r="L122" s="148"/>
      <c r="M122" s="279"/>
      <c r="N122" s="279"/>
      <c r="O122" s="279"/>
      <c r="P122" s="279"/>
      <c r="Q122" s="279"/>
      <c r="R122" s="279"/>
      <c r="S122" s="279"/>
      <c r="T122" s="279"/>
      <c r="U122" s="279"/>
      <c r="V122" s="148"/>
      <c r="W122" s="148"/>
      <c r="X122" s="148"/>
    </row>
    <row r="123" spans="1:24" s="251" customFormat="1" ht="18.75" x14ac:dyDescent="0.3">
      <c r="A123" s="148"/>
      <c r="B123" s="190"/>
      <c r="C123" s="161"/>
      <c r="D123" s="161"/>
      <c r="E123" s="161"/>
      <c r="F123" s="148"/>
      <c r="G123" s="148"/>
      <c r="H123" s="148"/>
      <c r="I123" s="148"/>
      <c r="J123" s="148"/>
      <c r="K123" s="280"/>
      <c r="L123" s="148"/>
      <c r="M123" s="281" t="s">
        <v>25</v>
      </c>
      <c r="N123" s="282"/>
      <c r="O123" s="283"/>
      <c r="P123" s="279"/>
      <c r="Q123" s="279"/>
      <c r="R123" s="279"/>
      <c r="S123" s="279"/>
      <c r="T123" s="279"/>
      <c r="U123" s="284" t="s">
        <v>81</v>
      </c>
      <c r="V123" s="285"/>
      <c r="W123" s="285"/>
      <c r="X123" s="148"/>
    </row>
    <row r="124" spans="1:24" s="251" customFormat="1" ht="15.75" x14ac:dyDescent="0.25">
      <c r="A124" s="148"/>
      <c r="B124" s="190"/>
      <c r="C124" s="161"/>
      <c r="D124" s="161"/>
      <c r="E124" s="161"/>
      <c r="F124" s="148"/>
      <c r="G124" s="148"/>
      <c r="H124" s="148"/>
      <c r="I124" s="148"/>
      <c r="J124" s="148"/>
      <c r="K124" s="286"/>
      <c r="L124" s="287"/>
      <c r="M124" s="280"/>
      <c r="N124" s="288"/>
      <c r="O124" s="288"/>
      <c r="P124" s="288"/>
      <c r="Q124" s="288"/>
      <c r="R124" s="288"/>
      <c r="S124" s="288"/>
      <c r="T124" s="288"/>
      <c r="U124" s="288"/>
      <c r="V124" s="289"/>
      <c r="W124" s="289"/>
      <c r="X124" s="148"/>
    </row>
    <row r="125" spans="1:24" s="251" customFormat="1" ht="15" x14ac:dyDescent="0.25">
      <c r="A125" s="148"/>
      <c r="B125" s="190"/>
      <c r="C125" s="286"/>
      <c r="D125" s="286"/>
      <c r="E125" s="151"/>
      <c r="F125" s="151"/>
      <c r="G125" s="289"/>
      <c r="H125" s="289"/>
      <c r="I125" s="289"/>
      <c r="J125" s="289"/>
      <c r="K125" s="148"/>
      <c r="L125" s="148"/>
      <c r="M125" s="151"/>
      <c r="N125" s="289"/>
      <c r="O125" s="289"/>
      <c r="P125" s="289"/>
      <c r="Q125" s="289"/>
      <c r="R125" s="289"/>
      <c r="S125" s="289"/>
      <c r="T125" s="289"/>
      <c r="U125" s="289"/>
      <c r="V125" s="148"/>
      <c r="W125" s="148"/>
      <c r="X125" s="148"/>
    </row>
    <row r="126" spans="1:24" s="251" customFormat="1" ht="15" x14ac:dyDescent="0.25">
      <c r="A126" s="148"/>
      <c r="B126" s="286"/>
      <c r="C126" s="286"/>
      <c r="D126" s="286"/>
      <c r="E126" s="151"/>
      <c r="F126" s="151"/>
      <c r="G126" s="289"/>
      <c r="H126" s="289"/>
      <c r="I126" s="289"/>
      <c r="J126" s="289"/>
      <c r="K126" s="148"/>
      <c r="L126" s="290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</row>
    <row r="127" spans="1:24" ht="15" x14ac:dyDescent="0.25">
      <c r="B127" s="286"/>
      <c r="C127" s="286"/>
      <c r="D127" s="286"/>
      <c r="E127" s="151"/>
      <c r="F127" s="151"/>
      <c r="G127" s="289"/>
      <c r="H127" s="289"/>
      <c r="I127" s="289"/>
      <c r="J127" s="289"/>
    </row>
    <row r="128" spans="1:24" ht="15" x14ac:dyDescent="0.25">
      <c r="B128" s="286"/>
      <c r="C128" s="286"/>
      <c r="D128" s="286"/>
      <c r="E128" s="151"/>
      <c r="F128" s="151"/>
      <c r="G128" s="289"/>
      <c r="H128" s="289"/>
      <c r="I128" s="289"/>
      <c r="J128" s="289"/>
    </row>
    <row r="129" spans="3:10" ht="15" x14ac:dyDescent="0.25">
      <c r="C129" s="286"/>
      <c r="D129" s="286"/>
      <c r="E129" s="151"/>
      <c r="F129" s="151"/>
      <c r="G129" s="289"/>
      <c r="H129" s="289"/>
      <c r="I129" s="289"/>
      <c r="J129" s="289"/>
    </row>
    <row r="130" spans="3:10" ht="15" x14ac:dyDescent="0.25">
      <c r="C130" s="286"/>
      <c r="D130" s="286"/>
      <c r="E130" s="151"/>
      <c r="F130" s="151"/>
      <c r="G130" s="289"/>
      <c r="H130" s="289"/>
      <c r="I130" s="289"/>
      <c r="J130" s="289"/>
    </row>
  </sheetData>
  <mergeCells count="255">
    <mergeCell ref="A9:A10"/>
    <mergeCell ref="C9:C10"/>
    <mergeCell ref="D9:D10"/>
    <mergeCell ref="E9:E10"/>
    <mergeCell ref="A11:A12"/>
    <mergeCell ref="C11:C12"/>
    <mergeCell ref="D11:D12"/>
    <mergeCell ref="E11:E12"/>
    <mergeCell ref="A4:I4"/>
    <mergeCell ref="A5:A6"/>
    <mergeCell ref="B5:B6"/>
    <mergeCell ref="C5:C6"/>
    <mergeCell ref="A7:A8"/>
    <mergeCell ref="C7:C8"/>
    <mergeCell ref="D7:D8"/>
    <mergeCell ref="E7:E8"/>
    <mergeCell ref="F7:F8"/>
    <mergeCell ref="F9:F10"/>
    <mergeCell ref="F11:F12"/>
    <mergeCell ref="A17:A18"/>
    <mergeCell ref="C17:C18"/>
    <mergeCell ref="D17:D18"/>
    <mergeCell ref="E17:E18"/>
    <mergeCell ref="A19:A20"/>
    <mergeCell ref="C19:C20"/>
    <mergeCell ref="D19:D20"/>
    <mergeCell ref="E19:E20"/>
    <mergeCell ref="A13:A14"/>
    <mergeCell ref="C13:C14"/>
    <mergeCell ref="D13:D14"/>
    <mergeCell ref="E13:E14"/>
    <mergeCell ref="A15:A16"/>
    <mergeCell ref="C15:C16"/>
    <mergeCell ref="D15:D16"/>
    <mergeCell ref="E15:E16"/>
    <mergeCell ref="A25:A26"/>
    <mergeCell ref="C25:C26"/>
    <mergeCell ref="D25:D26"/>
    <mergeCell ref="E25:E26"/>
    <mergeCell ref="A27:A28"/>
    <mergeCell ref="C27:C28"/>
    <mergeCell ref="D27:D28"/>
    <mergeCell ref="E27:E28"/>
    <mergeCell ref="A21:A22"/>
    <mergeCell ref="C21:C22"/>
    <mergeCell ref="D21:D22"/>
    <mergeCell ref="E21:E22"/>
    <mergeCell ref="A23:A24"/>
    <mergeCell ref="C23:C24"/>
    <mergeCell ref="D23:D24"/>
    <mergeCell ref="E23:E24"/>
    <mergeCell ref="A33:A34"/>
    <mergeCell ref="C33:C34"/>
    <mergeCell ref="D33:D34"/>
    <mergeCell ref="E33:E34"/>
    <mergeCell ref="A35:A36"/>
    <mergeCell ref="C35:C36"/>
    <mergeCell ref="D35:D36"/>
    <mergeCell ref="E35:E36"/>
    <mergeCell ref="A29:A30"/>
    <mergeCell ref="C29:C30"/>
    <mergeCell ref="D29:D30"/>
    <mergeCell ref="E29:E30"/>
    <mergeCell ref="A31:A32"/>
    <mergeCell ref="C31:C32"/>
    <mergeCell ref="D31:D32"/>
    <mergeCell ref="E31:E32"/>
    <mergeCell ref="A41:A42"/>
    <mergeCell ref="C41:C42"/>
    <mergeCell ref="D41:D42"/>
    <mergeCell ref="E41:E42"/>
    <mergeCell ref="A43:A44"/>
    <mergeCell ref="C43:C44"/>
    <mergeCell ref="D43:D44"/>
    <mergeCell ref="E43:E44"/>
    <mergeCell ref="A37:A38"/>
    <mergeCell ref="C37:C38"/>
    <mergeCell ref="D37:D38"/>
    <mergeCell ref="E37:E38"/>
    <mergeCell ref="A39:A40"/>
    <mergeCell ref="C39:C40"/>
    <mergeCell ref="D39:D40"/>
    <mergeCell ref="E39:E40"/>
    <mergeCell ref="A49:A50"/>
    <mergeCell ref="C49:C50"/>
    <mergeCell ref="D49:D50"/>
    <mergeCell ref="E49:E50"/>
    <mergeCell ref="A51:A52"/>
    <mergeCell ref="C51:C52"/>
    <mergeCell ref="D51:D52"/>
    <mergeCell ref="E51:E52"/>
    <mergeCell ref="A45:A46"/>
    <mergeCell ref="C45:C46"/>
    <mergeCell ref="D45:D46"/>
    <mergeCell ref="E45:E46"/>
    <mergeCell ref="A47:A48"/>
    <mergeCell ref="C47:C48"/>
    <mergeCell ref="D47:D48"/>
    <mergeCell ref="E47:E48"/>
    <mergeCell ref="A57:A58"/>
    <mergeCell ref="C57:C58"/>
    <mergeCell ref="D57:D58"/>
    <mergeCell ref="E57:E58"/>
    <mergeCell ref="A59:A60"/>
    <mergeCell ref="C59:C60"/>
    <mergeCell ref="D59:D60"/>
    <mergeCell ref="E59:E60"/>
    <mergeCell ref="A53:A54"/>
    <mergeCell ref="C53:C54"/>
    <mergeCell ref="D53:D54"/>
    <mergeCell ref="E53:E54"/>
    <mergeCell ref="A55:A56"/>
    <mergeCell ref="C55:C56"/>
    <mergeCell ref="D55:D56"/>
    <mergeCell ref="E55:E56"/>
    <mergeCell ref="A65:A66"/>
    <mergeCell ref="C65:C66"/>
    <mergeCell ref="D65:D66"/>
    <mergeCell ref="E65:E66"/>
    <mergeCell ref="A67:A68"/>
    <mergeCell ref="C67:C68"/>
    <mergeCell ref="D67:D68"/>
    <mergeCell ref="E67:E68"/>
    <mergeCell ref="A61:A62"/>
    <mergeCell ref="C61:C62"/>
    <mergeCell ref="D61:D62"/>
    <mergeCell ref="E61:E62"/>
    <mergeCell ref="A63:A64"/>
    <mergeCell ref="C63:C64"/>
    <mergeCell ref="D63:D64"/>
    <mergeCell ref="E63:E64"/>
    <mergeCell ref="A73:A74"/>
    <mergeCell ref="C73:C74"/>
    <mergeCell ref="D73:D74"/>
    <mergeCell ref="E73:E74"/>
    <mergeCell ref="A75:A76"/>
    <mergeCell ref="C75:C76"/>
    <mergeCell ref="D75:D76"/>
    <mergeCell ref="E75:E76"/>
    <mergeCell ref="A69:A70"/>
    <mergeCell ref="C69:C70"/>
    <mergeCell ref="D69:D70"/>
    <mergeCell ref="E69:E70"/>
    <mergeCell ref="A71:A72"/>
    <mergeCell ref="C71:C72"/>
    <mergeCell ref="D71:D72"/>
    <mergeCell ref="E71:E72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5:A86"/>
    <mergeCell ref="C85:C86"/>
    <mergeCell ref="D85:D86"/>
    <mergeCell ref="E85:E86"/>
    <mergeCell ref="F85:F86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91:A92"/>
    <mergeCell ref="C91:C92"/>
    <mergeCell ref="D91:D92"/>
    <mergeCell ref="E91:E92"/>
    <mergeCell ref="F91:F92"/>
    <mergeCell ref="B93:F93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B94:F94"/>
    <mergeCell ref="B95:F95"/>
    <mergeCell ref="B96:C96"/>
    <mergeCell ref="E98:G98"/>
    <mergeCell ref="E100:G100"/>
    <mergeCell ref="A102:A103"/>
    <mergeCell ref="C102:C103"/>
    <mergeCell ref="E102:E103"/>
    <mergeCell ref="F102:F103"/>
    <mergeCell ref="A108:A109"/>
    <mergeCell ref="C108:C109"/>
    <mergeCell ref="E108:E109"/>
    <mergeCell ref="F108:F109"/>
    <mergeCell ref="A110:A111"/>
    <mergeCell ref="C110:C111"/>
    <mergeCell ref="E110:E111"/>
    <mergeCell ref="F110:F111"/>
    <mergeCell ref="A104:A105"/>
    <mergeCell ref="C104:C105"/>
    <mergeCell ref="E104:E105"/>
    <mergeCell ref="F104:F105"/>
    <mergeCell ref="A106:A107"/>
    <mergeCell ref="C106:C107"/>
    <mergeCell ref="E106:E107"/>
    <mergeCell ref="F106:F107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69:F70"/>
    <mergeCell ref="F71:F72"/>
    <mergeCell ref="F73:F74"/>
    <mergeCell ref="D96:E96"/>
    <mergeCell ref="D120:E120"/>
    <mergeCell ref="F67:F6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B118:F118"/>
    <mergeCell ref="B119:F119"/>
    <mergeCell ref="B120:C120"/>
    <mergeCell ref="B112:F112"/>
    <mergeCell ref="B113:F113"/>
    <mergeCell ref="B114:F114"/>
    <mergeCell ref="F115:G115"/>
    <mergeCell ref="B116:C116"/>
    <mergeCell ref="B117:F117"/>
  </mergeCells>
  <printOptions horizontalCentered="1"/>
  <pageMargins left="0.59055118110236227" right="0.59055118110236227" top="0.78740157480314965" bottom="0.39370078740157483" header="0.19685039370078741" footer="0.19685039370078741"/>
  <pageSetup paperSize="9" scale="90" orientation="landscape" r:id="rId1"/>
  <headerFooter alignWithMargins="0">
    <oddFooter>&amp;R&amp;P</oddFooter>
  </headerFooter>
  <rowBreaks count="2" manualBreakCount="2">
    <brk id="42" max="16383" man="1"/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9"/>
  <sheetViews>
    <sheetView zoomScale="90" zoomScaleNormal="90" workbookViewId="0">
      <selection activeCell="D24" sqref="D24"/>
    </sheetView>
  </sheetViews>
  <sheetFormatPr defaultRowHeight="12.75" x14ac:dyDescent="0.2"/>
  <cols>
    <col min="1" max="1" width="10" style="33" customWidth="1"/>
    <col min="2" max="2" width="65.7109375" style="34" customWidth="1"/>
    <col min="3" max="3" width="12.42578125" style="33" customWidth="1"/>
    <col min="4" max="5" width="12.5703125" style="33" customWidth="1"/>
    <col min="6" max="6" width="14.140625" style="33" customWidth="1"/>
    <col min="7" max="7" width="12.7109375" style="33" customWidth="1"/>
    <col min="8" max="8" width="9.140625" style="33" customWidth="1"/>
    <col min="9" max="16384" width="9.140625" style="33"/>
  </cols>
  <sheetData>
    <row r="1" spans="1:15" x14ac:dyDescent="0.2">
      <c r="A1" s="54" t="s">
        <v>153</v>
      </c>
      <c r="B1" s="55"/>
      <c r="C1" s="54"/>
      <c r="D1" s="54"/>
      <c r="E1" s="54"/>
      <c r="F1" s="54"/>
      <c r="G1" s="27" t="s">
        <v>395</v>
      </c>
    </row>
    <row r="2" spans="1:15" ht="15" x14ac:dyDescent="0.25">
      <c r="A2" s="54"/>
      <c r="B2" s="55"/>
      <c r="C2" s="54"/>
      <c r="D2" s="54"/>
      <c r="E2" s="54"/>
      <c r="F2" s="54"/>
      <c r="G2" s="25" t="s">
        <v>379</v>
      </c>
    </row>
    <row r="3" spans="1:15" ht="15" x14ac:dyDescent="0.25">
      <c r="A3" s="54"/>
      <c r="B3" s="55"/>
      <c r="C3" s="54"/>
      <c r="D3" s="54"/>
      <c r="E3" s="54"/>
      <c r="F3" s="54"/>
      <c r="G3" s="25" t="s">
        <v>589</v>
      </c>
      <c r="L3" s="35"/>
      <c r="M3" s="35"/>
      <c r="N3" s="35"/>
      <c r="O3" s="35"/>
    </row>
    <row r="4" spans="1:15" ht="15" x14ac:dyDescent="0.25">
      <c r="A4" s="54"/>
      <c r="B4" s="55"/>
      <c r="C4" s="54"/>
      <c r="D4" s="54"/>
      <c r="E4" s="54"/>
      <c r="F4" s="54"/>
      <c r="G4" s="25"/>
      <c r="L4" s="35"/>
      <c r="M4" s="35"/>
      <c r="N4" s="35"/>
      <c r="O4" s="35"/>
    </row>
    <row r="5" spans="1:15" ht="18.75" x14ac:dyDescent="0.3">
      <c r="A5" s="574" t="s">
        <v>590</v>
      </c>
      <c r="B5" s="574"/>
      <c r="C5" s="574"/>
      <c r="D5" s="574"/>
      <c r="E5" s="574"/>
      <c r="F5" s="574"/>
      <c r="G5" s="574"/>
    </row>
    <row r="6" spans="1:15" ht="15.75" x14ac:dyDescent="0.25">
      <c r="A6" s="63" t="s">
        <v>380</v>
      </c>
      <c r="B6" s="55"/>
      <c r="C6" s="54"/>
      <c r="D6" s="54"/>
      <c r="E6" s="54"/>
      <c r="F6" s="54"/>
      <c r="G6" s="65" t="s">
        <v>287</v>
      </c>
    </row>
    <row r="7" spans="1:15" s="34" customFormat="1" ht="25.5" x14ac:dyDescent="0.2">
      <c r="A7" s="66" t="s">
        <v>381</v>
      </c>
      <c r="B7" s="575" t="s">
        <v>323</v>
      </c>
      <c r="C7" s="575"/>
      <c r="D7" s="575"/>
      <c r="E7" s="575"/>
      <c r="F7" s="575"/>
      <c r="G7" s="66" t="s">
        <v>591</v>
      </c>
    </row>
    <row r="8" spans="1:15" x14ac:dyDescent="0.2">
      <c r="A8" s="59" t="s">
        <v>290</v>
      </c>
      <c r="B8" s="576" t="s">
        <v>280</v>
      </c>
      <c r="C8" s="576"/>
      <c r="D8" s="576"/>
      <c r="E8" s="576"/>
      <c r="F8" s="576"/>
      <c r="G8" s="60">
        <v>126000</v>
      </c>
    </row>
    <row r="9" spans="1:15" x14ac:dyDescent="0.2">
      <c r="A9" s="59" t="s">
        <v>227</v>
      </c>
      <c r="B9" s="576" t="s">
        <v>247</v>
      </c>
      <c r="C9" s="576"/>
      <c r="D9" s="576"/>
      <c r="E9" s="576"/>
      <c r="F9" s="576"/>
      <c r="G9" s="60">
        <f>1275946+657285+166760</f>
        <v>2099991</v>
      </c>
    </row>
    <row r="10" spans="1:15" x14ac:dyDescent="0.2">
      <c r="A10" s="59" t="s">
        <v>382</v>
      </c>
      <c r="B10" s="576" t="s">
        <v>383</v>
      </c>
      <c r="C10" s="576"/>
      <c r="D10" s="576"/>
      <c r="E10" s="576"/>
      <c r="F10" s="576"/>
      <c r="G10" s="60">
        <v>2000</v>
      </c>
    </row>
    <row r="11" spans="1:15" x14ac:dyDescent="0.2">
      <c r="A11" s="59" t="s">
        <v>166</v>
      </c>
      <c r="B11" s="576" t="s">
        <v>313</v>
      </c>
      <c r="C11" s="576"/>
      <c r="D11" s="576"/>
      <c r="E11" s="576"/>
      <c r="F11" s="576"/>
      <c r="G11" s="60">
        <f>51199+20796+19961</f>
        <v>91956</v>
      </c>
    </row>
    <row r="12" spans="1:15" ht="15.75" x14ac:dyDescent="0.25">
      <c r="A12" s="136"/>
      <c r="B12" s="577" t="s">
        <v>384</v>
      </c>
      <c r="C12" s="577"/>
      <c r="D12" s="577"/>
      <c r="E12" s="577"/>
      <c r="F12" s="577"/>
      <c r="G12" s="137">
        <f>SUM(G8:G11)</f>
        <v>2319947</v>
      </c>
    </row>
    <row r="13" spans="1:15" x14ac:dyDescent="0.2">
      <c r="A13" s="50"/>
      <c r="B13" s="51"/>
      <c r="C13" s="50"/>
      <c r="D13" s="50"/>
      <c r="E13" s="50"/>
      <c r="F13" s="50"/>
      <c r="G13" s="50"/>
    </row>
    <row r="14" spans="1:15" ht="15.75" x14ac:dyDescent="0.25">
      <c r="A14" s="63" t="s">
        <v>385</v>
      </c>
      <c r="B14" s="55"/>
      <c r="C14" s="54"/>
      <c r="D14" s="54"/>
      <c r="E14" s="54"/>
      <c r="F14" s="54"/>
      <c r="G14" s="54"/>
    </row>
    <row r="15" spans="1:15" s="34" customFormat="1" ht="15" customHeight="1" x14ac:dyDescent="0.2">
      <c r="A15" s="575" t="s">
        <v>386</v>
      </c>
      <c r="B15" s="575" t="s">
        <v>387</v>
      </c>
      <c r="C15" s="578" t="s">
        <v>52</v>
      </c>
      <c r="D15" s="578"/>
      <c r="E15" s="578"/>
      <c r="F15" s="578"/>
      <c r="G15" s="575" t="s">
        <v>592</v>
      </c>
    </row>
    <row r="16" spans="1:15" ht="40.5" x14ac:dyDescent="0.2">
      <c r="A16" s="575"/>
      <c r="B16" s="575"/>
      <c r="C16" s="64" t="s">
        <v>388</v>
      </c>
      <c r="D16" s="64" t="s">
        <v>24</v>
      </c>
      <c r="E16" s="427" t="s">
        <v>767</v>
      </c>
      <c r="F16" s="64" t="s">
        <v>677</v>
      </c>
      <c r="G16" s="575"/>
    </row>
    <row r="17" spans="1:7" ht="15.75" x14ac:dyDescent="0.25">
      <c r="A17" s="56" t="s">
        <v>279</v>
      </c>
      <c r="B17" s="62" t="s">
        <v>389</v>
      </c>
      <c r="C17" s="428">
        <f>SUM(C18:C21)</f>
        <v>126000</v>
      </c>
      <c r="D17" s="428" t="s">
        <v>768</v>
      </c>
      <c r="E17" s="428" t="s">
        <v>768</v>
      </c>
      <c r="F17" s="428">
        <f>SUM(F18:F21)</f>
        <v>19961</v>
      </c>
      <c r="G17" s="142">
        <f>SUM(C17:F17)</f>
        <v>145961</v>
      </c>
    </row>
    <row r="18" spans="1:7" ht="26.25" customHeight="1" x14ac:dyDescent="0.2">
      <c r="A18" s="53"/>
      <c r="B18" s="58" t="s">
        <v>485</v>
      </c>
      <c r="C18" s="429">
        <v>4981</v>
      </c>
      <c r="D18" s="429" t="s">
        <v>768</v>
      </c>
      <c r="E18" s="429" t="s">
        <v>768</v>
      </c>
      <c r="F18" s="429">
        <v>0</v>
      </c>
      <c r="G18" s="143">
        <f>SUM(C18:F18)</f>
        <v>4981</v>
      </c>
    </row>
    <row r="19" spans="1:7" ht="27" customHeight="1" x14ac:dyDescent="0.2">
      <c r="A19" s="53"/>
      <c r="B19" s="58" t="s">
        <v>769</v>
      </c>
      <c r="C19" s="429">
        <f>30000+48893-19938</f>
        <v>58955</v>
      </c>
      <c r="D19" s="429" t="s">
        <v>768</v>
      </c>
      <c r="E19" s="429" t="s">
        <v>768</v>
      </c>
      <c r="F19" s="430">
        <v>19938</v>
      </c>
      <c r="G19" s="143">
        <f>SUM(C19:F19)</f>
        <v>78893</v>
      </c>
    </row>
    <row r="20" spans="1:7" ht="38.25" x14ac:dyDescent="0.2">
      <c r="A20" s="53"/>
      <c r="B20" s="58" t="s">
        <v>770</v>
      </c>
      <c r="C20" s="429">
        <f>500-23</f>
        <v>477</v>
      </c>
      <c r="D20" s="429" t="s">
        <v>768</v>
      </c>
      <c r="E20" s="429" t="s">
        <v>768</v>
      </c>
      <c r="F20" s="429">
        <v>23</v>
      </c>
      <c r="G20" s="143">
        <f>SUM(C20:F20)</f>
        <v>500</v>
      </c>
    </row>
    <row r="21" spans="1:7" x14ac:dyDescent="0.2">
      <c r="A21" s="53"/>
      <c r="B21" s="58" t="s">
        <v>771</v>
      </c>
      <c r="C21" s="429">
        <v>61587</v>
      </c>
      <c r="D21" s="429" t="s">
        <v>768</v>
      </c>
      <c r="E21" s="429" t="s">
        <v>768</v>
      </c>
      <c r="F21" s="429">
        <v>0</v>
      </c>
      <c r="G21" s="143">
        <f>SUM(C21:F21)</f>
        <v>61587</v>
      </c>
    </row>
    <row r="22" spans="1:7" ht="15.75" x14ac:dyDescent="0.25">
      <c r="A22" s="56" t="s">
        <v>281</v>
      </c>
      <c r="B22" s="62" t="s">
        <v>398</v>
      </c>
      <c r="C22" s="428" t="s">
        <v>768</v>
      </c>
      <c r="D22" s="428">
        <f>D23+D24</f>
        <v>2099991</v>
      </c>
      <c r="E22" s="428" t="s">
        <v>768</v>
      </c>
      <c r="F22" s="428">
        <f>F23+F24</f>
        <v>20796</v>
      </c>
      <c r="G22" s="142">
        <f>SUM(G23:G24)</f>
        <v>2120787</v>
      </c>
    </row>
    <row r="23" spans="1:7" x14ac:dyDescent="0.2">
      <c r="A23" s="52"/>
      <c r="B23" s="58" t="s">
        <v>390</v>
      </c>
      <c r="C23" s="429" t="s">
        <v>768</v>
      </c>
      <c r="D23" s="429">
        <v>1275946</v>
      </c>
      <c r="E23" s="429" t="s">
        <v>768</v>
      </c>
      <c r="F23" s="429">
        <v>20796</v>
      </c>
      <c r="G23" s="61">
        <f>SUM(C23:F23)</f>
        <v>1296742</v>
      </c>
    </row>
    <row r="24" spans="1:7" x14ac:dyDescent="0.2">
      <c r="A24" s="52"/>
      <c r="B24" s="58" t="s">
        <v>391</v>
      </c>
      <c r="C24" s="429" t="s">
        <v>768</v>
      </c>
      <c r="D24" s="429">
        <f>657285+166760</f>
        <v>824045</v>
      </c>
      <c r="E24" s="429" t="s">
        <v>768</v>
      </c>
      <c r="F24" s="429"/>
      <c r="G24" s="61">
        <f>SUM(C24:F24)</f>
        <v>824045</v>
      </c>
    </row>
    <row r="25" spans="1:7" ht="15.75" x14ac:dyDescent="0.25">
      <c r="A25" s="56" t="s">
        <v>291</v>
      </c>
      <c r="B25" s="57" t="s">
        <v>392</v>
      </c>
      <c r="C25" s="428" t="s">
        <v>768</v>
      </c>
      <c r="D25" s="428" t="s">
        <v>768</v>
      </c>
      <c r="E25" s="428">
        <v>2000</v>
      </c>
      <c r="F25" s="428">
        <v>51199</v>
      </c>
      <c r="G25" s="142">
        <f>SUM(C25:F25)</f>
        <v>53199</v>
      </c>
    </row>
    <row r="26" spans="1:7" x14ac:dyDescent="0.2">
      <c r="A26" s="138"/>
      <c r="B26" s="139" t="s">
        <v>312</v>
      </c>
      <c r="C26" s="429">
        <v>0</v>
      </c>
      <c r="D26" s="429">
        <v>0</v>
      </c>
      <c r="E26" s="429">
        <v>0</v>
      </c>
      <c r="F26" s="429">
        <v>0</v>
      </c>
      <c r="G26" s="140">
        <f>SUM(C26:F26)</f>
        <v>0</v>
      </c>
    </row>
    <row r="27" spans="1:7" ht="15.75" x14ac:dyDescent="0.25">
      <c r="A27" s="136"/>
      <c r="B27" s="141" t="s">
        <v>393</v>
      </c>
      <c r="C27" s="137">
        <f>C17+C26</f>
        <v>126000</v>
      </c>
      <c r="D27" s="137">
        <f>D22+D26</f>
        <v>2099991</v>
      </c>
      <c r="E27" s="137">
        <f>E25</f>
        <v>2000</v>
      </c>
      <c r="F27" s="137">
        <f>F17+F22+F25+F26</f>
        <v>91956</v>
      </c>
      <c r="G27" s="137">
        <f>G17+G22+G25+G26</f>
        <v>2319947</v>
      </c>
    </row>
    <row r="28" spans="1:7" x14ac:dyDescent="0.2">
      <c r="A28" s="50"/>
      <c r="B28" s="51"/>
      <c r="C28" s="50"/>
      <c r="D28" s="50"/>
      <c r="E28" s="50"/>
      <c r="F28" s="50"/>
      <c r="G28" s="50"/>
    </row>
    <row r="29" spans="1:7" ht="15.75" x14ac:dyDescent="0.25">
      <c r="A29" s="573" t="s">
        <v>25</v>
      </c>
      <c r="B29" s="573"/>
      <c r="C29" s="144"/>
      <c r="D29" s="144"/>
      <c r="E29" s="144"/>
      <c r="F29" s="144"/>
      <c r="G29" s="145" t="s">
        <v>81</v>
      </c>
    </row>
  </sheetData>
  <mergeCells count="12">
    <mergeCell ref="A29:B29"/>
    <mergeCell ref="A5:G5"/>
    <mergeCell ref="B7:F7"/>
    <mergeCell ref="B8:F8"/>
    <mergeCell ref="B9:F9"/>
    <mergeCell ref="B10:F10"/>
    <mergeCell ref="B11:F11"/>
    <mergeCell ref="B12:F12"/>
    <mergeCell ref="A15:A16"/>
    <mergeCell ref="B15:B16"/>
    <mergeCell ref="C15:F15"/>
    <mergeCell ref="G15:G16"/>
  </mergeCells>
  <printOptions horizontalCentered="1"/>
  <pageMargins left="0.78740157480314965" right="0.78740157480314965" top="0.78740157480314965" bottom="0.39370078740157483" header="0.19685039370078741" footer="0.19685039370078741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12"/>
  <sheetViews>
    <sheetView showGridLines="0" workbookViewId="0">
      <selection activeCell="K81" sqref="K81"/>
    </sheetView>
  </sheetViews>
  <sheetFormatPr defaultRowHeight="12.75" x14ac:dyDescent="0.2"/>
  <cols>
    <col min="1" max="1" width="1.7109375" style="432" customWidth="1"/>
    <col min="2" max="2" width="3.42578125" style="432" customWidth="1"/>
    <col min="3" max="3" width="33.140625" style="432" customWidth="1"/>
    <col min="4" max="4" width="16.5703125" style="432" customWidth="1"/>
    <col min="5" max="5" width="15.42578125" style="432" customWidth="1"/>
    <col min="6" max="6" width="11" style="432" customWidth="1"/>
    <col min="7" max="7" width="1.7109375" style="432" customWidth="1"/>
    <col min="8" max="8" width="15.7109375" style="432" customWidth="1"/>
    <col min="9" max="16384" width="9.140625" style="432"/>
  </cols>
  <sheetData>
    <row r="1" spans="1:8" ht="11.25" customHeight="1" x14ac:dyDescent="0.2"/>
    <row r="2" spans="1:8" ht="18" customHeight="1" x14ac:dyDescent="0.2">
      <c r="H2" s="433" t="s">
        <v>486</v>
      </c>
    </row>
    <row r="3" spans="1:8" ht="15" customHeight="1" x14ac:dyDescent="0.2">
      <c r="D3" s="478" t="s">
        <v>487</v>
      </c>
      <c r="E3" s="478"/>
      <c r="F3" s="478"/>
      <c r="G3" s="478"/>
      <c r="H3" s="478"/>
    </row>
    <row r="4" spans="1:8" ht="15" customHeight="1" x14ac:dyDescent="0.2">
      <c r="E4" s="478" t="s">
        <v>830</v>
      </c>
      <c r="F4" s="478"/>
      <c r="G4" s="478"/>
      <c r="H4" s="478"/>
    </row>
    <row r="5" spans="1:8" ht="27" customHeight="1" x14ac:dyDescent="0.2"/>
    <row r="6" spans="1:8" ht="71.25" customHeight="1" x14ac:dyDescent="0.2">
      <c r="B6" s="579" t="s">
        <v>832</v>
      </c>
      <c r="C6" s="579"/>
      <c r="D6" s="579"/>
      <c r="E6" s="579"/>
      <c r="F6" s="579"/>
      <c r="G6" s="579"/>
      <c r="H6" s="579"/>
    </row>
    <row r="7" spans="1:8" s="443" customFormat="1" ht="29.25" customHeight="1" x14ac:dyDescent="0.2">
      <c r="A7" s="580" t="s">
        <v>323</v>
      </c>
      <c r="B7" s="581"/>
      <c r="C7" s="581"/>
      <c r="D7" s="581"/>
      <c r="E7" s="581"/>
      <c r="F7" s="582"/>
      <c r="G7" s="580" t="s">
        <v>831</v>
      </c>
      <c r="H7" s="581"/>
    </row>
    <row r="8" spans="1:8" ht="12" customHeight="1" x14ac:dyDescent="0.2"/>
    <row r="9" spans="1:8" ht="19.5" customHeight="1" x14ac:dyDescent="0.2">
      <c r="A9" s="491" t="s">
        <v>482</v>
      </c>
      <c r="B9" s="491"/>
      <c r="C9" s="491"/>
      <c r="D9" s="491"/>
      <c r="E9" s="491"/>
      <c r="F9" s="491"/>
      <c r="G9" s="491"/>
      <c r="H9" s="491"/>
    </row>
    <row r="10" spans="1:8" ht="14.25" customHeight="1" x14ac:dyDescent="0.2">
      <c r="A10" s="435"/>
      <c r="B10" s="435"/>
      <c r="C10" s="487" t="s">
        <v>324</v>
      </c>
      <c r="D10" s="487"/>
      <c r="E10" s="487"/>
      <c r="F10" s="487"/>
      <c r="G10" s="489">
        <v>13503</v>
      </c>
      <c r="H10" s="489"/>
    </row>
    <row r="11" spans="1:8" ht="14.25" customHeight="1" x14ac:dyDescent="0.2">
      <c r="A11" s="435"/>
      <c r="B11" s="435"/>
      <c r="C11" s="487" t="s">
        <v>447</v>
      </c>
      <c r="D11" s="487"/>
      <c r="E11" s="487"/>
      <c r="F11" s="487"/>
      <c r="G11" s="489">
        <v>13503</v>
      </c>
      <c r="H11" s="489"/>
    </row>
    <row r="12" spans="1:8" ht="12.75" customHeight="1" x14ac:dyDescent="0.2">
      <c r="A12" s="435"/>
      <c r="B12" s="435"/>
      <c r="C12" s="436"/>
      <c r="D12" s="436"/>
      <c r="E12" s="436"/>
      <c r="F12" s="436"/>
      <c r="G12" s="437"/>
      <c r="H12" s="437"/>
    </row>
    <row r="13" spans="1:8" ht="15.75" x14ac:dyDescent="0.2">
      <c r="A13" s="486" t="s">
        <v>325</v>
      </c>
      <c r="B13" s="486"/>
      <c r="C13" s="486"/>
      <c r="D13" s="486"/>
      <c r="E13" s="486"/>
      <c r="F13" s="486"/>
      <c r="G13" s="486"/>
      <c r="H13" s="486"/>
    </row>
    <row r="14" spans="1:8" ht="14.25" customHeight="1" x14ac:dyDescent="0.2">
      <c r="C14" s="479" t="s">
        <v>324</v>
      </c>
      <c r="D14" s="479"/>
      <c r="E14" s="479"/>
      <c r="F14" s="479"/>
      <c r="G14" s="481">
        <v>13503</v>
      </c>
      <c r="H14" s="481"/>
    </row>
    <row r="15" spans="1:8" ht="14.25" customHeight="1" x14ac:dyDescent="0.2">
      <c r="C15" s="483" t="s">
        <v>447</v>
      </c>
      <c r="D15" s="483"/>
      <c r="E15" s="483"/>
      <c r="F15" s="483"/>
      <c r="G15" s="485">
        <v>13503</v>
      </c>
      <c r="H15" s="485"/>
    </row>
    <row r="16" spans="1:8" ht="23.25" customHeight="1" x14ac:dyDescent="0.2">
      <c r="C16" s="438"/>
      <c r="D16" s="438"/>
      <c r="E16" s="438"/>
      <c r="F16" s="438"/>
      <c r="G16" s="439"/>
      <c r="H16" s="439"/>
    </row>
    <row r="17" spans="1:8" ht="15.75" x14ac:dyDescent="0.2">
      <c r="A17" s="491" t="s">
        <v>479</v>
      </c>
      <c r="B17" s="491"/>
      <c r="C17" s="491"/>
      <c r="D17" s="491"/>
      <c r="E17" s="491"/>
      <c r="F17" s="491"/>
      <c r="G17" s="491"/>
      <c r="H17" s="491"/>
    </row>
    <row r="18" spans="1:8" ht="14.25" customHeight="1" x14ac:dyDescent="0.2">
      <c r="A18" s="435"/>
      <c r="B18" s="435"/>
      <c r="C18" s="487" t="s">
        <v>324</v>
      </c>
      <c r="D18" s="487"/>
      <c r="E18" s="487"/>
      <c r="F18" s="487"/>
      <c r="G18" s="489">
        <f>741184+166760</f>
        <v>907944</v>
      </c>
      <c r="H18" s="489"/>
    </row>
    <row r="19" spans="1:8" ht="14.25" customHeight="1" x14ac:dyDescent="0.2">
      <c r="A19" s="435"/>
      <c r="B19" s="435"/>
      <c r="C19" s="487" t="s">
        <v>447</v>
      </c>
      <c r="D19" s="487"/>
      <c r="E19" s="487"/>
      <c r="F19" s="487"/>
      <c r="G19" s="489">
        <v>25</v>
      </c>
      <c r="H19" s="489"/>
    </row>
    <row r="20" spans="1:8" ht="14.25" customHeight="1" x14ac:dyDescent="0.2">
      <c r="A20" s="435"/>
      <c r="B20" s="435"/>
      <c r="C20" s="487" t="s">
        <v>446</v>
      </c>
      <c r="D20" s="487"/>
      <c r="E20" s="487"/>
      <c r="F20" s="487"/>
      <c r="G20" s="489">
        <f>741159+166760</f>
        <v>907919</v>
      </c>
      <c r="H20" s="489"/>
    </row>
    <row r="21" spans="1:8" ht="14.25" customHeight="1" x14ac:dyDescent="0.2">
      <c r="A21" s="435"/>
      <c r="B21" s="435"/>
      <c r="C21" s="436"/>
      <c r="D21" s="436"/>
      <c r="E21" s="436"/>
      <c r="F21" s="436"/>
      <c r="G21" s="437"/>
      <c r="H21" s="437"/>
    </row>
    <row r="22" spans="1:8" ht="31.5" customHeight="1" x14ac:dyDescent="0.2">
      <c r="A22" s="486" t="s">
        <v>488</v>
      </c>
      <c r="B22" s="486"/>
      <c r="C22" s="486"/>
      <c r="D22" s="486"/>
      <c r="E22" s="486"/>
      <c r="F22" s="486"/>
      <c r="G22" s="486"/>
      <c r="H22" s="486"/>
    </row>
    <row r="23" spans="1:8" ht="14.25" customHeight="1" x14ac:dyDescent="0.2">
      <c r="C23" s="479" t="s">
        <v>324</v>
      </c>
      <c r="D23" s="479"/>
      <c r="E23" s="479"/>
      <c r="F23" s="479"/>
      <c r="G23" s="481">
        <f>657285+166760</f>
        <v>824045</v>
      </c>
      <c r="H23" s="481"/>
    </row>
    <row r="24" spans="1:8" ht="14.25" customHeight="1" x14ac:dyDescent="0.2">
      <c r="C24" s="483" t="s">
        <v>446</v>
      </c>
      <c r="D24" s="483"/>
      <c r="E24" s="483"/>
      <c r="F24" s="483"/>
      <c r="G24" s="485">
        <f>657285+166760</f>
        <v>824045</v>
      </c>
      <c r="H24" s="485"/>
    </row>
    <row r="25" spans="1:8" ht="14.25" customHeight="1" x14ac:dyDescent="0.2">
      <c r="C25" s="438"/>
      <c r="D25" s="438"/>
      <c r="E25" s="438"/>
      <c r="F25" s="438"/>
      <c r="G25" s="439"/>
      <c r="H25" s="439"/>
    </row>
    <row r="26" spans="1:8" ht="15.75" x14ac:dyDescent="0.2">
      <c r="A26" s="486" t="s">
        <v>833</v>
      </c>
      <c r="B26" s="486"/>
      <c r="C26" s="486"/>
      <c r="D26" s="486"/>
      <c r="E26" s="486"/>
      <c r="F26" s="486"/>
      <c r="G26" s="486"/>
      <c r="H26" s="486"/>
    </row>
    <row r="27" spans="1:8" ht="14.25" customHeight="1" x14ac:dyDescent="0.2">
      <c r="C27" s="479" t="s">
        <v>324</v>
      </c>
      <c r="D27" s="479"/>
      <c r="E27" s="479"/>
      <c r="F27" s="479"/>
      <c r="G27" s="481">
        <v>83899</v>
      </c>
      <c r="H27" s="481"/>
    </row>
    <row r="28" spans="1:8" ht="14.25" customHeight="1" x14ac:dyDescent="0.2">
      <c r="C28" s="483" t="s">
        <v>447</v>
      </c>
      <c r="D28" s="483"/>
      <c r="E28" s="483"/>
      <c r="F28" s="483"/>
      <c r="G28" s="485">
        <v>25</v>
      </c>
      <c r="H28" s="485"/>
    </row>
    <row r="29" spans="1:8" ht="14.25" customHeight="1" x14ac:dyDescent="0.2">
      <c r="C29" s="483" t="s">
        <v>446</v>
      </c>
      <c r="D29" s="483"/>
      <c r="E29" s="483"/>
      <c r="F29" s="483"/>
      <c r="G29" s="485">
        <v>83874</v>
      </c>
      <c r="H29" s="485"/>
    </row>
    <row r="30" spans="1:8" ht="25.5" customHeight="1" x14ac:dyDescent="0.2">
      <c r="C30" s="438"/>
      <c r="D30" s="438"/>
      <c r="E30" s="438"/>
      <c r="F30" s="438"/>
      <c r="G30" s="439"/>
      <c r="H30" s="439"/>
    </row>
    <row r="31" spans="1:8" ht="15.75" x14ac:dyDescent="0.2">
      <c r="A31" s="491" t="s">
        <v>809</v>
      </c>
      <c r="B31" s="491"/>
      <c r="C31" s="491"/>
      <c r="D31" s="491"/>
      <c r="E31" s="491"/>
      <c r="F31" s="491"/>
      <c r="G31" s="491"/>
      <c r="H31" s="491"/>
    </row>
    <row r="32" spans="1:8" ht="14.25" customHeight="1" x14ac:dyDescent="0.2">
      <c r="A32" s="435"/>
      <c r="B32" s="435"/>
      <c r="C32" s="487" t="s">
        <v>324</v>
      </c>
      <c r="D32" s="487"/>
      <c r="E32" s="487"/>
      <c r="F32" s="487"/>
      <c r="G32" s="489">
        <v>1358329</v>
      </c>
      <c r="H32" s="489"/>
    </row>
    <row r="33" spans="1:8" ht="14.25" customHeight="1" x14ac:dyDescent="0.2">
      <c r="A33" s="435"/>
      <c r="B33" s="435"/>
      <c r="C33" s="487" t="s">
        <v>448</v>
      </c>
      <c r="D33" s="487"/>
      <c r="E33" s="487"/>
      <c r="F33" s="487"/>
      <c r="G33" s="489">
        <v>63069</v>
      </c>
      <c r="H33" s="489"/>
    </row>
    <row r="34" spans="1:8" ht="14.25" customHeight="1" x14ac:dyDescent="0.2">
      <c r="A34" s="435"/>
      <c r="B34" s="435"/>
      <c r="C34" s="487" t="s">
        <v>447</v>
      </c>
      <c r="D34" s="487"/>
      <c r="E34" s="487"/>
      <c r="F34" s="487"/>
      <c r="G34" s="489">
        <v>946039</v>
      </c>
      <c r="H34" s="489"/>
    </row>
    <row r="35" spans="1:8" ht="14.25" customHeight="1" x14ac:dyDescent="0.2">
      <c r="A35" s="435"/>
      <c r="B35" s="435"/>
      <c r="C35" s="487" t="s">
        <v>445</v>
      </c>
      <c r="D35" s="487"/>
      <c r="E35" s="487"/>
      <c r="F35" s="487"/>
      <c r="G35" s="489">
        <v>349221</v>
      </c>
      <c r="H35" s="489"/>
    </row>
    <row r="36" spans="1:8" ht="14.25" customHeight="1" x14ac:dyDescent="0.2">
      <c r="C36" s="438"/>
      <c r="D36" s="438"/>
      <c r="E36" s="438"/>
      <c r="F36" s="438"/>
      <c r="G36" s="439"/>
      <c r="H36" s="439"/>
    </row>
    <row r="37" spans="1:8" ht="15.75" x14ac:dyDescent="0.2">
      <c r="A37" s="486" t="s">
        <v>331</v>
      </c>
      <c r="B37" s="486"/>
      <c r="C37" s="486"/>
      <c r="D37" s="486"/>
      <c r="E37" s="486"/>
      <c r="F37" s="486"/>
      <c r="G37" s="486"/>
      <c r="H37" s="486"/>
    </row>
    <row r="38" spans="1:8" ht="14.25" customHeight="1" x14ac:dyDescent="0.2">
      <c r="C38" s="479" t="s">
        <v>324</v>
      </c>
      <c r="D38" s="479"/>
      <c r="E38" s="479"/>
      <c r="F38" s="479"/>
      <c r="G38" s="481">
        <v>1296742</v>
      </c>
      <c r="H38" s="481"/>
    </row>
    <row r="39" spans="1:8" ht="14.25" customHeight="1" x14ac:dyDescent="0.2">
      <c r="C39" s="483" t="s">
        <v>448</v>
      </c>
      <c r="D39" s="483"/>
      <c r="E39" s="483"/>
      <c r="F39" s="483"/>
      <c r="G39" s="485">
        <v>63069</v>
      </c>
      <c r="H39" s="485"/>
    </row>
    <row r="40" spans="1:8" ht="14.25" customHeight="1" x14ac:dyDescent="0.2">
      <c r="C40" s="483" t="s">
        <v>447</v>
      </c>
      <c r="D40" s="483"/>
      <c r="E40" s="483"/>
      <c r="F40" s="483"/>
      <c r="G40" s="485">
        <v>945039</v>
      </c>
      <c r="H40" s="485"/>
    </row>
    <row r="41" spans="1:8" ht="14.25" customHeight="1" x14ac:dyDescent="0.2">
      <c r="C41" s="483" t="s">
        <v>445</v>
      </c>
      <c r="D41" s="483"/>
      <c r="E41" s="483"/>
      <c r="F41" s="483"/>
      <c r="G41" s="485">
        <v>288634</v>
      </c>
      <c r="H41" s="485"/>
    </row>
    <row r="42" spans="1:8" ht="14.25" customHeight="1" x14ac:dyDescent="0.2">
      <c r="C42" s="438"/>
      <c r="D42" s="438"/>
      <c r="E42" s="438"/>
      <c r="F42" s="438"/>
      <c r="G42" s="439"/>
      <c r="H42" s="439"/>
    </row>
    <row r="43" spans="1:8" ht="15.75" x14ac:dyDescent="0.2">
      <c r="A43" s="486" t="s">
        <v>335</v>
      </c>
      <c r="B43" s="486"/>
      <c r="C43" s="486"/>
      <c r="D43" s="486"/>
      <c r="E43" s="486"/>
      <c r="F43" s="486"/>
      <c r="G43" s="486"/>
      <c r="H43" s="486"/>
    </row>
    <row r="44" spans="1:8" ht="14.25" customHeight="1" x14ac:dyDescent="0.2">
      <c r="C44" s="479" t="s">
        <v>324</v>
      </c>
      <c r="D44" s="479"/>
      <c r="E44" s="479"/>
      <c r="F44" s="479"/>
      <c r="G44" s="481">
        <v>61587</v>
      </c>
      <c r="H44" s="481"/>
    </row>
    <row r="45" spans="1:8" ht="14.25" customHeight="1" x14ac:dyDescent="0.2">
      <c r="C45" s="483" t="s">
        <v>447</v>
      </c>
      <c r="D45" s="483"/>
      <c r="E45" s="483"/>
      <c r="F45" s="483"/>
      <c r="G45" s="485">
        <v>1000</v>
      </c>
      <c r="H45" s="485"/>
    </row>
    <row r="46" spans="1:8" ht="14.25" customHeight="1" x14ac:dyDescent="0.2">
      <c r="C46" s="483" t="s">
        <v>445</v>
      </c>
      <c r="D46" s="483"/>
      <c r="E46" s="483"/>
      <c r="F46" s="483"/>
      <c r="G46" s="485">
        <v>60587</v>
      </c>
      <c r="H46" s="485"/>
    </row>
    <row r="47" spans="1:8" ht="19.5" customHeight="1" x14ac:dyDescent="0.2">
      <c r="C47" s="438"/>
      <c r="D47" s="438"/>
      <c r="E47" s="438"/>
      <c r="F47" s="438"/>
      <c r="G47" s="439"/>
      <c r="H47" s="439"/>
    </row>
    <row r="48" spans="1:8" ht="15.75" x14ac:dyDescent="0.2">
      <c r="A48" s="491" t="s">
        <v>813</v>
      </c>
      <c r="B48" s="491"/>
      <c r="C48" s="491"/>
      <c r="D48" s="491"/>
      <c r="E48" s="491"/>
      <c r="F48" s="491"/>
      <c r="G48" s="491"/>
      <c r="H48" s="491"/>
    </row>
    <row r="49" spans="1:8" ht="14.25" customHeight="1" x14ac:dyDescent="0.2">
      <c r="A49" s="435"/>
      <c r="B49" s="435"/>
      <c r="C49" s="487" t="s">
        <v>324</v>
      </c>
      <c r="D49" s="487"/>
      <c r="E49" s="487"/>
      <c r="F49" s="487"/>
      <c r="G49" s="489">
        <v>267</v>
      </c>
      <c r="H49" s="489"/>
    </row>
    <row r="50" spans="1:8" ht="14.25" customHeight="1" x14ac:dyDescent="0.2">
      <c r="A50" s="435"/>
      <c r="B50" s="435"/>
      <c r="C50" s="487" t="s">
        <v>446</v>
      </c>
      <c r="D50" s="487"/>
      <c r="E50" s="487"/>
      <c r="F50" s="487"/>
      <c r="G50" s="489">
        <v>267</v>
      </c>
      <c r="H50" s="489"/>
    </row>
    <row r="51" spans="1:8" ht="14.25" customHeight="1" x14ac:dyDescent="0.2">
      <c r="C51" s="438"/>
      <c r="D51" s="438"/>
      <c r="E51" s="438"/>
      <c r="F51" s="438"/>
      <c r="G51" s="439"/>
      <c r="H51" s="439"/>
    </row>
    <row r="52" spans="1:8" ht="15.75" x14ac:dyDescent="0.2">
      <c r="A52" s="486" t="s">
        <v>470</v>
      </c>
      <c r="B52" s="486"/>
      <c r="C52" s="486"/>
      <c r="D52" s="486"/>
      <c r="E52" s="486"/>
      <c r="F52" s="486"/>
      <c r="G52" s="486"/>
      <c r="H52" s="486"/>
    </row>
    <row r="53" spans="1:8" ht="14.25" customHeight="1" x14ac:dyDescent="0.2">
      <c r="C53" s="479" t="s">
        <v>324</v>
      </c>
      <c r="D53" s="479"/>
      <c r="E53" s="479"/>
      <c r="F53" s="479"/>
      <c r="G53" s="481">
        <v>267</v>
      </c>
      <c r="H53" s="481"/>
    </row>
    <row r="54" spans="1:8" ht="14.25" customHeight="1" x14ac:dyDescent="0.2">
      <c r="C54" s="483" t="s">
        <v>446</v>
      </c>
      <c r="D54" s="483"/>
      <c r="E54" s="483"/>
      <c r="F54" s="483"/>
      <c r="G54" s="485">
        <v>267</v>
      </c>
      <c r="H54" s="485"/>
    </row>
    <row r="55" spans="1:8" ht="25.5" customHeight="1" x14ac:dyDescent="0.2">
      <c r="C55" s="438"/>
      <c r="D55" s="438"/>
      <c r="E55" s="438"/>
      <c r="F55" s="438"/>
      <c r="G55" s="439"/>
      <c r="H55" s="439"/>
    </row>
    <row r="56" spans="1:8" ht="33" customHeight="1" x14ac:dyDescent="0.2">
      <c r="A56" s="491" t="s">
        <v>816</v>
      </c>
      <c r="B56" s="491"/>
      <c r="C56" s="491"/>
      <c r="D56" s="491"/>
      <c r="E56" s="491"/>
      <c r="F56" s="491"/>
      <c r="G56" s="491"/>
      <c r="H56" s="491"/>
    </row>
    <row r="57" spans="1:8" ht="14.25" customHeight="1" x14ac:dyDescent="0.2">
      <c r="A57" s="435"/>
      <c r="B57" s="435"/>
      <c r="C57" s="487" t="s">
        <v>324</v>
      </c>
      <c r="D57" s="487"/>
      <c r="E57" s="487"/>
      <c r="F57" s="487"/>
      <c r="G57" s="489">
        <v>1589</v>
      </c>
      <c r="H57" s="489"/>
    </row>
    <row r="58" spans="1:8" ht="14.25" customHeight="1" x14ac:dyDescent="0.2">
      <c r="A58" s="435"/>
      <c r="B58" s="435"/>
      <c r="C58" s="487" t="s">
        <v>447</v>
      </c>
      <c r="D58" s="487"/>
      <c r="E58" s="487"/>
      <c r="F58" s="487"/>
      <c r="G58" s="489">
        <v>1589</v>
      </c>
      <c r="H58" s="489"/>
    </row>
    <row r="59" spans="1:8" ht="14.25" customHeight="1" x14ac:dyDescent="0.2">
      <c r="C59" s="438"/>
      <c r="D59" s="438"/>
      <c r="E59" s="438"/>
      <c r="F59" s="438"/>
      <c r="G59" s="439"/>
      <c r="H59" s="439"/>
    </row>
    <row r="60" spans="1:8" ht="15.75" x14ac:dyDescent="0.2">
      <c r="A60" s="486" t="s">
        <v>468</v>
      </c>
      <c r="B60" s="486"/>
      <c r="C60" s="486"/>
      <c r="D60" s="486"/>
      <c r="E60" s="486"/>
      <c r="F60" s="486"/>
      <c r="G60" s="486"/>
      <c r="H60" s="486"/>
    </row>
    <row r="61" spans="1:8" ht="14.25" customHeight="1" x14ac:dyDescent="0.2">
      <c r="C61" s="479" t="s">
        <v>324</v>
      </c>
      <c r="D61" s="479"/>
      <c r="E61" s="479"/>
      <c r="F61" s="479"/>
      <c r="G61" s="481">
        <v>1589</v>
      </c>
      <c r="H61" s="481"/>
    </row>
    <row r="62" spans="1:8" ht="14.25" customHeight="1" x14ac:dyDescent="0.2">
      <c r="C62" s="483" t="s">
        <v>447</v>
      </c>
      <c r="D62" s="483"/>
      <c r="E62" s="483"/>
      <c r="F62" s="483"/>
      <c r="G62" s="485">
        <v>1589</v>
      </c>
      <c r="H62" s="485"/>
    </row>
    <row r="63" spans="1:8" ht="22.5" customHeight="1" x14ac:dyDescent="0.2">
      <c r="C63" s="438"/>
      <c r="D63" s="438"/>
      <c r="E63" s="438"/>
      <c r="F63" s="438"/>
      <c r="G63" s="439"/>
      <c r="H63" s="439"/>
    </row>
    <row r="64" spans="1:8" ht="19.5" customHeight="1" x14ac:dyDescent="0.2">
      <c r="A64" s="491" t="s">
        <v>817</v>
      </c>
      <c r="B64" s="491"/>
      <c r="C64" s="491"/>
      <c r="D64" s="491"/>
      <c r="E64" s="491"/>
      <c r="F64" s="491"/>
      <c r="G64" s="491"/>
      <c r="H64" s="491"/>
    </row>
    <row r="65" spans="1:8" ht="14.25" customHeight="1" x14ac:dyDescent="0.2">
      <c r="A65" s="435"/>
      <c r="B65" s="435"/>
      <c r="C65" s="487" t="s">
        <v>324</v>
      </c>
      <c r="D65" s="487"/>
      <c r="E65" s="487"/>
      <c r="F65" s="487"/>
      <c r="G65" s="489">
        <v>20668</v>
      </c>
      <c r="H65" s="489"/>
    </row>
    <row r="66" spans="1:8" ht="14.25" customHeight="1" x14ac:dyDescent="0.2">
      <c r="A66" s="435"/>
      <c r="B66" s="435"/>
      <c r="C66" s="487" t="s">
        <v>448</v>
      </c>
      <c r="D66" s="487"/>
      <c r="E66" s="487"/>
      <c r="F66" s="487"/>
      <c r="G66" s="489">
        <v>1030</v>
      </c>
      <c r="H66" s="489"/>
    </row>
    <row r="67" spans="1:8" ht="14.25" customHeight="1" x14ac:dyDescent="0.2">
      <c r="A67" s="435"/>
      <c r="B67" s="435"/>
      <c r="C67" s="487" t="s">
        <v>447</v>
      </c>
      <c r="D67" s="487"/>
      <c r="E67" s="487"/>
      <c r="F67" s="487"/>
      <c r="G67" s="489">
        <v>19638</v>
      </c>
      <c r="H67" s="489"/>
    </row>
    <row r="68" spans="1:8" ht="14.25" customHeight="1" x14ac:dyDescent="0.2">
      <c r="C68" s="438"/>
      <c r="D68" s="438"/>
      <c r="E68" s="438"/>
      <c r="F68" s="438"/>
      <c r="G68" s="439"/>
      <c r="H68" s="439"/>
    </row>
    <row r="69" spans="1:8" ht="15.75" x14ac:dyDescent="0.2">
      <c r="A69" s="486" t="s">
        <v>467</v>
      </c>
      <c r="B69" s="486"/>
      <c r="C69" s="486"/>
      <c r="D69" s="486"/>
      <c r="E69" s="486"/>
      <c r="F69" s="486"/>
      <c r="G69" s="486"/>
      <c r="H69" s="486"/>
    </row>
    <row r="70" spans="1:8" ht="14.25" customHeight="1" x14ac:dyDescent="0.2">
      <c r="C70" s="479" t="s">
        <v>324</v>
      </c>
      <c r="D70" s="479"/>
      <c r="E70" s="479"/>
      <c r="F70" s="479"/>
      <c r="G70" s="481">
        <v>20668</v>
      </c>
      <c r="H70" s="481"/>
    </row>
    <row r="71" spans="1:8" ht="14.25" customHeight="1" x14ac:dyDescent="0.2">
      <c r="C71" s="483" t="s">
        <v>448</v>
      </c>
      <c r="D71" s="483"/>
      <c r="E71" s="483"/>
      <c r="F71" s="483"/>
      <c r="G71" s="485">
        <v>1030</v>
      </c>
      <c r="H71" s="485"/>
    </row>
    <row r="72" spans="1:8" ht="14.25" customHeight="1" x14ac:dyDescent="0.2">
      <c r="C72" s="483" t="s">
        <v>447</v>
      </c>
      <c r="D72" s="483"/>
      <c r="E72" s="483"/>
      <c r="F72" s="483"/>
      <c r="G72" s="485">
        <v>19638</v>
      </c>
      <c r="H72" s="485"/>
    </row>
    <row r="73" spans="1:8" ht="24.75" customHeight="1" x14ac:dyDescent="0.2">
      <c r="C73" s="438"/>
      <c r="D73" s="438"/>
      <c r="E73" s="438"/>
      <c r="F73" s="438"/>
      <c r="G73" s="439"/>
      <c r="H73" s="439"/>
    </row>
    <row r="74" spans="1:8" ht="19.5" customHeight="1" x14ac:dyDescent="0.2">
      <c r="A74" s="491" t="s">
        <v>820</v>
      </c>
      <c r="B74" s="491"/>
      <c r="C74" s="491"/>
      <c r="D74" s="491"/>
      <c r="E74" s="491"/>
      <c r="F74" s="491"/>
      <c r="G74" s="491"/>
      <c r="H74" s="491"/>
    </row>
    <row r="75" spans="1:8" ht="14.25" customHeight="1" x14ac:dyDescent="0.2">
      <c r="A75" s="435"/>
      <c r="B75" s="435"/>
      <c r="C75" s="487" t="s">
        <v>324</v>
      </c>
      <c r="D75" s="487"/>
      <c r="E75" s="487"/>
      <c r="F75" s="487"/>
      <c r="G75" s="489">
        <v>11083</v>
      </c>
      <c r="H75" s="489"/>
    </row>
    <row r="76" spans="1:8" ht="14.25" customHeight="1" x14ac:dyDescent="0.2">
      <c r="A76" s="435"/>
      <c r="B76" s="435"/>
      <c r="C76" s="487" t="s">
        <v>447</v>
      </c>
      <c r="D76" s="487"/>
      <c r="E76" s="487"/>
      <c r="F76" s="487"/>
      <c r="G76" s="489">
        <v>6583</v>
      </c>
      <c r="H76" s="489"/>
    </row>
    <row r="77" spans="1:8" ht="14.25" customHeight="1" x14ac:dyDescent="0.2">
      <c r="A77" s="435"/>
      <c r="B77" s="435"/>
      <c r="C77" s="487" t="s">
        <v>445</v>
      </c>
      <c r="D77" s="487"/>
      <c r="E77" s="487"/>
      <c r="F77" s="487"/>
      <c r="G77" s="489">
        <v>500</v>
      </c>
      <c r="H77" s="489"/>
    </row>
    <row r="78" spans="1:8" ht="14.25" customHeight="1" x14ac:dyDescent="0.2">
      <c r="A78" s="435"/>
      <c r="B78" s="435"/>
      <c r="C78" s="487" t="s">
        <v>444</v>
      </c>
      <c r="D78" s="487"/>
      <c r="E78" s="487"/>
      <c r="F78" s="487"/>
      <c r="G78" s="489">
        <v>4000</v>
      </c>
      <c r="H78" s="489"/>
    </row>
    <row r="79" spans="1:8" ht="14.25" customHeight="1" x14ac:dyDescent="0.2">
      <c r="C79" s="438"/>
      <c r="D79" s="438"/>
      <c r="E79" s="438"/>
      <c r="F79" s="438"/>
      <c r="G79" s="439"/>
      <c r="H79" s="439"/>
    </row>
    <row r="80" spans="1:8" ht="15.75" x14ac:dyDescent="0.2">
      <c r="A80" s="486" t="s">
        <v>354</v>
      </c>
      <c r="B80" s="486"/>
      <c r="C80" s="486"/>
      <c r="D80" s="486"/>
      <c r="E80" s="486"/>
      <c r="F80" s="486"/>
      <c r="G80" s="486"/>
      <c r="H80" s="486"/>
    </row>
    <row r="81" spans="1:8" ht="14.25" customHeight="1" x14ac:dyDescent="0.2">
      <c r="C81" s="479" t="s">
        <v>324</v>
      </c>
      <c r="D81" s="479"/>
      <c r="E81" s="479"/>
      <c r="F81" s="479"/>
      <c r="G81" s="481">
        <v>4732</v>
      </c>
      <c r="H81" s="481"/>
    </row>
    <row r="82" spans="1:8" ht="14.25" customHeight="1" x14ac:dyDescent="0.2">
      <c r="C82" s="483" t="s">
        <v>447</v>
      </c>
      <c r="D82" s="483"/>
      <c r="E82" s="483"/>
      <c r="F82" s="483"/>
      <c r="G82" s="485">
        <v>4232</v>
      </c>
      <c r="H82" s="485"/>
    </row>
    <row r="83" spans="1:8" ht="14.25" customHeight="1" x14ac:dyDescent="0.2">
      <c r="C83" s="483" t="s">
        <v>445</v>
      </c>
      <c r="D83" s="483"/>
      <c r="E83" s="483"/>
      <c r="F83" s="483"/>
      <c r="G83" s="485">
        <v>500</v>
      </c>
      <c r="H83" s="485"/>
    </row>
    <row r="84" spans="1:8" ht="14.25" customHeight="1" x14ac:dyDescent="0.2">
      <c r="C84" s="438"/>
      <c r="D84" s="438"/>
      <c r="E84" s="438"/>
      <c r="F84" s="438"/>
      <c r="G84" s="439"/>
      <c r="H84" s="439"/>
    </row>
    <row r="85" spans="1:8" ht="15.75" x14ac:dyDescent="0.2">
      <c r="A85" s="486" t="s">
        <v>464</v>
      </c>
      <c r="B85" s="486"/>
      <c r="C85" s="486"/>
      <c r="D85" s="486"/>
      <c r="E85" s="486"/>
      <c r="F85" s="486"/>
      <c r="G85" s="486"/>
      <c r="H85" s="486"/>
    </row>
    <row r="86" spans="1:8" ht="14.25" customHeight="1" x14ac:dyDescent="0.2">
      <c r="C86" s="479" t="s">
        <v>324</v>
      </c>
      <c r="D86" s="479"/>
      <c r="E86" s="479"/>
      <c r="F86" s="479"/>
      <c r="G86" s="481">
        <v>2240</v>
      </c>
      <c r="H86" s="481"/>
    </row>
    <row r="87" spans="1:8" ht="14.25" customHeight="1" x14ac:dyDescent="0.2">
      <c r="C87" s="483" t="s">
        <v>447</v>
      </c>
      <c r="D87" s="483"/>
      <c r="E87" s="483"/>
      <c r="F87" s="483"/>
      <c r="G87" s="485">
        <v>2240</v>
      </c>
      <c r="H87" s="485"/>
    </row>
    <row r="88" spans="1:8" ht="14.25" customHeight="1" x14ac:dyDescent="0.2">
      <c r="C88" s="438"/>
      <c r="D88" s="438"/>
      <c r="E88" s="438"/>
      <c r="F88" s="438"/>
      <c r="G88" s="439"/>
      <c r="H88" s="439"/>
    </row>
    <row r="89" spans="1:8" ht="15.75" x14ac:dyDescent="0.2">
      <c r="A89" s="486" t="s">
        <v>461</v>
      </c>
      <c r="B89" s="486"/>
      <c r="C89" s="486"/>
      <c r="D89" s="486"/>
      <c r="E89" s="486"/>
      <c r="F89" s="486"/>
      <c r="G89" s="486"/>
      <c r="H89" s="486"/>
    </row>
    <row r="90" spans="1:8" ht="14.25" customHeight="1" x14ac:dyDescent="0.2">
      <c r="C90" s="479" t="s">
        <v>324</v>
      </c>
      <c r="D90" s="479"/>
      <c r="E90" s="479"/>
      <c r="F90" s="479"/>
      <c r="G90" s="481">
        <v>4111</v>
      </c>
      <c r="H90" s="481"/>
    </row>
    <row r="91" spans="1:8" ht="14.25" customHeight="1" x14ac:dyDescent="0.2">
      <c r="C91" s="483" t="s">
        <v>447</v>
      </c>
      <c r="D91" s="483"/>
      <c r="E91" s="483"/>
      <c r="F91" s="483"/>
      <c r="G91" s="485">
        <v>111</v>
      </c>
      <c r="H91" s="485"/>
    </row>
    <row r="92" spans="1:8" ht="14.25" customHeight="1" x14ac:dyDescent="0.2">
      <c r="C92" s="483" t="s">
        <v>444</v>
      </c>
      <c r="D92" s="483"/>
      <c r="E92" s="483"/>
      <c r="F92" s="483"/>
      <c r="G92" s="485">
        <v>4000</v>
      </c>
      <c r="H92" s="485"/>
    </row>
    <row r="93" spans="1:8" ht="26.25" customHeight="1" x14ac:dyDescent="0.2">
      <c r="C93" s="438"/>
      <c r="D93" s="438"/>
      <c r="E93" s="438"/>
      <c r="F93" s="438"/>
      <c r="G93" s="439"/>
      <c r="H93" s="439"/>
    </row>
    <row r="94" spans="1:8" ht="31.5" customHeight="1" x14ac:dyDescent="0.2">
      <c r="A94" s="491" t="s">
        <v>823</v>
      </c>
      <c r="B94" s="491"/>
      <c r="C94" s="491"/>
      <c r="D94" s="491"/>
      <c r="E94" s="491"/>
      <c r="F94" s="491"/>
      <c r="G94" s="491"/>
      <c r="H94" s="491"/>
    </row>
    <row r="95" spans="1:8" ht="14.25" customHeight="1" x14ac:dyDescent="0.2">
      <c r="A95" s="435"/>
      <c r="B95" s="435"/>
      <c r="C95" s="487" t="s">
        <v>324</v>
      </c>
      <c r="D95" s="487"/>
      <c r="E95" s="487"/>
      <c r="F95" s="487"/>
      <c r="G95" s="489">
        <v>6564</v>
      </c>
      <c r="H95" s="489"/>
    </row>
    <row r="96" spans="1:8" ht="14.25" customHeight="1" x14ac:dyDescent="0.2">
      <c r="A96" s="435"/>
      <c r="B96" s="435"/>
      <c r="C96" s="487" t="s">
        <v>447</v>
      </c>
      <c r="D96" s="487"/>
      <c r="E96" s="487"/>
      <c r="F96" s="487"/>
      <c r="G96" s="489">
        <v>6564</v>
      </c>
      <c r="H96" s="489"/>
    </row>
    <row r="97" spans="1:8" ht="14.25" customHeight="1" x14ac:dyDescent="0.2">
      <c r="C97" s="438"/>
      <c r="D97" s="438"/>
      <c r="E97" s="438"/>
      <c r="F97" s="438"/>
      <c r="G97" s="439"/>
      <c r="H97" s="439"/>
    </row>
    <row r="98" spans="1:8" ht="15.75" x14ac:dyDescent="0.2">
      <c r="A98" s="486" t="s">
        <v>826</v>
      </c>
      <c r="B98" s="486"/>
      <c r="C98" s="486"/>
      <c r="D98" s="486"/>
      <c r="E98" s="486"/>
      <c r="F98" s="486"/>
      <c r="G98" s="486"/>
      <c r="H98" s="486"/>
    </row>
    <row r="99" spans="1:8" ht="14.25" customHeight="1" x14ac:dyDescent="0.2">
      <c r="C99" s="479" t="s">
        <v>324</v>
      </c>
      <c r="D99" s="479"/>
      <c r="E99" s="479"/>
      <c r="F99" s="479"/>
      <c r="G99" s="481">
        <v>6564</v>
      </c>
      <c r="H99" s="481"/>
    </row>
    <row r="100" spans="1:8" ht="14.25" customHeight="1" x14ac:dyDescent="0.2">
      <c r="C100" s="483" t="s">
        <v>447</v>
      </c>
      <c r="D100" s="483"/>
      <c r="E100" s="483"/>
      <c r="F100" s="483"/>
      <c r="G100" s="485">
        <v>6564</v>
      </c>
      <c r="H100" s="485"/>
    </row>
    <row r="101" spans="1:8" ht="23.25" customHeight="1" x14ac:dyDescent="0.2">
      <c r="C101" s="438"/>
      <c r="D101" s="438"/>
      <c r="E101" s="438"/>
      <c r="F101" s="438"/>
      <c r="G101" s="439"/>
      <c r="H101" s="439"/>
    </row>
    <row r="102" spans="1:8" ht="15.75" x14ac:dyDescent="0.2">
      <c r="A102" s="486" t="s">
        <v>322</v>
      </c>
      <c r="B102" s="486"/>
      <c r="C102" s="486"/>
      <c r="D102" s="486"/>
      <c r="E102" s="486"/>
      <c r="F102" s="486"/>
      <c r="G102" s="486"/>
      <c r="H102" s="486"/>
    </row>
    <row r="103" spans="1:8" ht="14.25" customHeight="1" x14ac:dyDescent="0.2">
      <c r="C103" s="479" t="s">
        <v>324</v>
      </c>
      <c r="D103" s="479"/>
      <c r="E103" s="479"/>
      <c r="F103" s="479"/>
      <c r="G103" s="481">
        <f>2153187+166760</f>
        <v>2319947</v>
      </c>
      <c r="H103" s="481"/>
    </row>
    <row r="104" spans="1:8" ht="14.25" customHeight="1" x14ac:dyDescent="0.2">
      <c r="C104" s="479" t="s">
        <v>448</v>
      </c>
      <c r="D104" s="479"/>
      <c r="E104" s="479"/>
      <c r="F104" s="479"/>
      <c r="G104" s="481">
        <v>64099</v>
      </c>
      <c r="H104" s="481"/>
    </row>
    <row r="105" spans="1:8" ht="14.25" customHeight="1" x14ac:dyDescent="0.2">
      <c r="C105" s="479" t="s">
        <v>447</v>
      </c>
      <c r="D105" s="479"/>
      <c r="E105" s="479"/>
      <c r="F105" s="479"/>
      <c r="G105" s="481">
        <v>993941</v>
      </c>
      <c r="H105" s="481"/>
    </row>
    <row r="106" spans="1:8" ht="14.25" customHeight="1" x14ac:dyDescent="0.2">
      <c r="C106" s="479" t="s">
        <v>446</v>
      </c>
      <c r="D106" s="479"/>
      <c r="E106" s="479"/>
      <c r="F106" s="479"/>
      <c r="G106" s="481">
        <f>741426+166760</f>
        <v>908186</v>
      </c>
      <c r="H106" s="481"/>
    </row>
    <row r="107" spans="1:8" ht="14.25" customHeight="1" x14ac:dyDescent="0.2">
      <c r="C107" s="479" t="s">
        <v>445</v>
      </c>
      <c r="D107" s="479"/>
      <c r="E107" s="479"/>
      <c r="F107" s="479"/>
      <c r="G107" s="481">
        <v>349721</v>
      </c>
      <c r="H107" s="481"/>
    </row>
    <row r="108" spans="1:8" ht="14.25" customHeight="1" x14ac:dyDescent="0.2">
      <c r="C108" s="479" t="s">
        <v>444</v>
      </c>
      <c r="D108" s="479"/>
      <c r="E108" s="479"/>
      <c r="F108" s="479"/>
      <c r="G108" s="481">
        <v>4000</v>
      </c>
      <c r="H108" s="481"/>
    </row>
    <row r="109" spans="1:8" ht="14.25" customHeight="1" x14ac:dyDescent="0.2">
      <c r="F109" s="476"/>
      <c r="G109" s="476"/>
      <c r="H109" s="476"/>
    </row>
    <row r="111" spans="1:8" ht="18.75" x14ac:dyDescent="0.3">
      <c r="B111" s="2" t="s">
        <v>25</v>
      </c>
      <c r="C111" s="2"/>
      <c r="D111" s="444"/>
      <c r="E111" s="444"/>
      <c r="F111" s="445" t="s">
        <v>26</v>
      </c>
      <c r="G111" s="147"/>
      <c r="H111" s="146"/>
    </row>
    <row r="112" spans="1:8" ht="18" x14ac:dyDescent="0.25">
      <c r="B112" s="446"/>
      <c r="C112" s="446"/>
      <c r="D112" s="446"/>
      <c r="E112" s="446"/>
      <c r="F112" s="446"/>
      <c r="G112" s="146"/>
      <c r="H112" s="146"/>
    </row>
  </sheetData>
  <mergeCells count="145">
    <mergeCell ref="C10:F10"/>
    <mergeCell ref="G10:H10"/>
    <mergeCell ref="C11:F11"/>
    <mergeCell ref="G11:H11"/>
    <mergeCell ref="A13:H13"/>
    <mergeCell ref="C14:F14"/>
    <mergeCell ref="G14:H14"/>
    <mergeCell ref="D3:H3"/>
    <mergeCell ref="E4:H4"/>
    <mergeCell ref="B6:H6"/>
    <mergeCell ref="A7:F7"/>
    <mergeCell ref="G7:H7"/>
    <mergeCell ref="A9:H9"/>
    <mergeCell ref="C20:F20"/>
    <mergeCell ref="G20:H20"/>
    <mergeCell ref="A22:H22"/>
    <mergeCell ref="C23:F23"/>
    <mergeCell ref="G23:H23"/>
    <mergeCell ref="C15:F15"/>
    <mergeCell ref="G15:H15"/>
    <mergeCell ref="A17:H17"/>
    <mergeCell ref="C18:F18"/>
    <mergeCell ref="G18:H18"/>
    <mergeCell ref="C19:F19"/>
    <mergeCell ref="G19:H19"/>
    <mergeCell ref="C33:F33"/>
    <mergeCell ref="C34:F34"/>
    <mergeCell ref="C35:F35"/>
    <mergeCell ref="C29:F29"/>
    <mergeCell ref="G29:H29"/>
    <mergeCell ref="A31:H31"/>
    <mergeCell ref="C32:F32"/>
    <mergeCell ref="G32:H32"/>
    <mergeCell ref="C24:F24"/>
    <mergeCell ref="G24:H24"/>
    <mergeCell ref="A26:H26"/>
    <mergeCell ref="C27:F27"/>
    <mergeCell ref="G27:H27"/>
    <mergeCell ref="C28:F28"/>
    <mergeCell ref="G28:H28"/>
    <mergeCell ref="G33:H33"/>
    <mergeCell ref="C41:F41"/>
    <mergeCell ref="G41:H41"/>
    <mergeCell ref="A43:H43"/>
    <mergeCell ref="C44:F44"/>
    <mergeCell ref="G44:H44"/>
    <mergeCell ref="C45:F45"/>
    <mergeCell ref="G45:H45"/>
    <mergeCell ref="A37:H37"/>
    <mergeCell ref="C38:F38"/>
    <mergeCell ref="G38:H38"/>
    <mergeCell ref="C39:F39"/>
    <mergeCell ref="G39:H39"/>
    <mergeCell ref="C40:F40"/>
    <mergeCell ref="G40:H40"/>
    <mergeCell ref="A52:H52"/>
    <mergeCell ref="C53:F53"/>
    <mergeCell ref="G53:H53"/>
    <mergeCell ref="C54:F54"/>
    <mergeCell ref="G54:H54"/>
    <mergeCell ref="A56:H56"/>
    <mergeCell ref="C46:F46"/>
    <mergeCell ref="G46:H46"/>
    <mergeCell ref="A48:H48"/>
    <mergeCell ref="C49:F49"/>
    <mergeCell ref="G49:H49"/>
    <mergeCell ref="C50:F50"/>
    <mergeCell ref="G50:H50"/>
    <mergeCell ref="C62:F62"/>
    <mergeCell ref="G62:H62"/>
    <mergeCell ref="A64:H64"/>
    <mergeCell ref="C65:F65"/>
    <mergeCell ref="G65:H65"/>
    <mergeCell ref="C66:F66"/>
    <mergeCell ref="G66:H66"/>
    <mergeCell ref="C57:F57"/>
    <mergeCell ref="G57:H57"/>
    <mergeCell ref="C58:F58"/>
    <mergeCell ref="G58:H58"/>
    <mergeCell ref="A60:H60"/>
    <mergeCell ref="C61:F61"/>
    <mergeCell ref="G61:H61"/>
    <mergeCell ref="C72:F72"/>
    <mergeCell ref="G72:H72"/>
    <mergeCell ref="A74:H74"/>
    <mergeCell ref="C75:F75"/>
    <mergeCell ref="G75:H75"/>
    <mergeCell ref="C76:F76"/>
    <mergeCell ref="G76:H76"/>
    <mergeCell ref="C67:F67"/>
    <mergeCell ref="G67:H67"/>
    <mergeCell ref="A69:H69"/>
    <mergeCell ref="C70:F70"/>
    <mergeCell ref="G70:H70"/>
    <mergeCell ref="C71:F71"/>
    <mergeCell ref="G71:H71"/>
    <mergeCell ref="C82:F82"/>
    <mergeCell ref="G82:H82"/>
    <mergeCell ref="C83:F83"/>
    <mergeCell ref="G83:H83"/>
    <mergeCell ref="A85:H85"/>
    <mergeCell ref="C86:F86"/>
    <mergeCell ref="G86:H86"/>
    <mergeCell ref="C77:F77"/>
    <mergeCell ref="G77:H77"/>
    <mergeCell ref="C78:F78"/>
    <mergeCell ref="G78:H78"/>
    <mergeCell ref="A80:H80"/>
    <mergeCell ref="C81:F81"/>
    <mergeCell ref="G81:H81"/>
    <mergeCell ref="C95:F95"/>
    <mergeCell ref="G95:H95"/>
    <mergeCell ref="C96:F96"/>
    <mergeCell ref="G96:H96"/>
    <mergeCell ref="C87:F87"/>
    <mergeCell ref="G87:H87"/>
    <mergeCell ref="A89:H89"/>
    <mergeCell ref="C90:F90"/>
    <mergeCell ref="G90:H90"/>
    <mergeCell ref="C91:F91"/>
    <mergeCell ref="G91:H91"/>
    <mergeCell ref="G106:H106"/>
    <mergeCell ref="G105:H105"/>
    <mergeCell ref="G104:H104"/>
    <mergeCell ref="G103:H103"/>
    <mergeCell ref="G35:H35"/>
    <mergeCell ref="G34:H34"/>
    <mergeCell ref="F109:H109"/>
    <mergeCell ref="G108:H108"/>
    <mergeCell ref="G107:H107"/>
    <mergeCell ref="C106:F106"/>
    <mergeCell ref="C107:F107"/>
    <mergeCell ref="C108:F108"/>
    <mergeCell ref="C103:F103"/>
    <mergeCell ref="C104:F104"/>
    <mergeCell ref="C105:F105"/>
    <mergeCell ref="A98:H98"/>
    <mergeCell ref="C99:F99"/>
    <mergeCell ref="G99:H99"/>
    <mergeCell ref="C100:F100"/>
    <mergeCell ref="G100:H100"/>
    <mergeCell ref="A102:H102"/>
    <mergeCell ref="C92:F92"/>
    <mergeCell ref="G92:H92"/>
    <mergeCell ref="A94:H94"/>
  </mergeCells>
  <pageMargins left="0.78740157480314965" right="0.78740157480314965" top="0.39370078740157483" bottom="0.39370078740157483" header="0.19685039370078741" footer="0.19685039370078741"/>
  <pageSetup scale="90" pageOrder="overThenDown" orientation="portrait" verticalDpi="0" r:id="rId1"/>
  <headerFooter>
    <oddFooter>&amp;R&amp;P</oddFooter>
  </headerFooter>
  <rowBreaks count="1" manualBreakCount="1"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21"/>
  <sheetViews>
    <sheetView zoomScale="90" zoomScaleNormal="90" workbookViewId="0">
      <selection activeCell="I13" sqref="I13"/>
    </sheetView>
  </sheetViews>
  <sheetFormatPr defaultRowHeight="12.75" x14ac:dyDescent="0.2"/>
  <cols>
    <col min="1" max="1" width="7.28515625" style="300" customWidth="1"/>
    <col min="2" max="2" width="35.28515625" style="300" customWidth="1"/>
    <col min="3" max="3" width="13.42578125" style="300" customWidth="1"/>
    <col min="4" max="4" width="14" style="300" customWidth="1"/>
    <col min="5" max="5" width="14.42578125" style="300" customWidth="1"/>
    <col min="6" max="16384" width="9.140625" style="300"/>
  </cols>
  <sheetData>
    <row r="1" spans="1:6" ht="15.75" x14ac:dyDescent="0.25">
      <c r="A1" s="299" t="s">
        <v>153</v>
      </c>
      <c r="B1" s="299"/>
      <c r="E1" s="301" t="s">
        <v>564</v>
      </c>
    </row>
    <row r="2" spans="1:6" ht="15.75" x14ac:dyDescent="0.25">
      <c r="A2" s="299"/>
      <c r="B2" s="299"/>
      <c r="E2" s="302" t="s">
        <v>378</v>
      </c>
    </row>
    <row r="3" spans="1:6" ht="15.75" x14ac:dyDescent="0.25">
      <c r="A3" s="299"/>
      <c r="B3" s="299"/>
      <c r="D3" s="432"/>
      <c r="E3" s="302" t="s">
        <v>579</v>
      </c>
    </row>
    <row r="5" spans="1:6" ht="34.5" customHeight="1" x14ac:dyDescent="0.2">
      <c r="A5" s="583" t="s">
        <v>565</v>
      </c>
      <c r="B5" s="583"/>
      <c r="C5" s="583"/>
      <c r="D5" s="583"/>
      <c r="E5" s="583"/>
      <c r="F5" s="303"/>
    </row>
    <row r="6" spans="1:6" ht="15" x14ac:dyDescent="0.25">
      <c r="A6" s="304"/>
      <c r="B6" s="304"/>
      <c r="C6" s="304"/>
      <c r="D6" s="304"/>
      <c r="E6" s="305" t="s">
        <v>287</v>
      </c>
      <c r="F6" s="304"/>
    </row>
    <row r="7" spans="1:6" ht="15" x14ac:dyDescent="0.25">
      <c r="A7" s="306" t="s">
        <v>566</v>
      </c>
      <c r="B7" s="307"/>
      <c r="C7" s="386" t="s">
        <v>567</v>
      </c>
      <c r="D7" s="386" t="s">
        <v>576</v>
      </c>
      <c r="E7" s="386" t="s">
        <v>678</v>
      </c>
      <c r="F7" s="304"/>
    </row>
    <row r="8" spans="1:6" ht="15.75" x14ac:dyDescent="0.25">
      <c r="A8" s="308" t="s">
        <v>279</v>
      </c>
      <c r="B8" s="309" t="s">
        <v>52</v>
      </c>
      <c r="C8" s="316">
        <f>SUM(C9)</f>
        <v>1275946</v>
      </c>
      <c r="D8" s="316">
        <f>SUM(D9)</f>
        <v>1414000</v>
      </c>
      <c r="E8" s="316">
        <f>SUM(E9)</f>
        <v>1864000</v>
      </c>
      <c r="F8" s="310"/>
    </row>
    <row r="9" spans="1:6" ht="30" x14ac:dyDescent="0.25">
      <c r="A9" s="311"/>
      <c r="B9" s="312" t="s">
        <v>247</v>
      </c>
      <c r="C9" s="313">
        <v>1275946</v>
      </c>
      <c r="D9" s="333">
        <v>1414000</v>
      </c>
      <c r="E9" s="333">
        <v>1864000</v>
      </c>
      <c r="F9" s="304"/>
    </row>
    <row r="10" spans="1:6" ht="14.25" x14ac:dyDescent="0.2">
      <c r="A10" s="314" t="s">
        <v>281</v>
      </c>
      <c r="B10" s="309" t="s">
        <v>568</v>
      </c>
      <c r="C10" s="315">
        <f>SUM(C11:C15)</f>
        <v>1296742</v>
      </c>
      <c r="D10" s="315">
        <f>SUM(D11:D15)</f>
        <v>1414000</v>
      </c>
      <c r="E10" s="315">
        <f>SUM(E11:E15)</f>
        <v>1864000</v>
      </c>
      <c r="F10" s="310"/>
    </row>
    <row r="11" spans="1:6" ht="15" x14ac:dyDescent="0.25">
      <c r="A11" s="387">
        <v>1</v>
      </c>
      <c r="B11" s="312" t="s">
        <v>569</v>
      </c>
      <c r="C11" s="334">
        <v>137518</v>
      </c>
      <c r="D11" s="335">
        <v>100000</v>
      </c>
      <c r="E11" s="335">
        <v>200000</v>
      </c>
      <c r="F11" s="304"/>
    </row>
    <row r="12" spans="1:6" ht="15" x14ac:dyDescent="0.25">
      <c r="A12" s="387">
        <v>2</v>
      </c>
      <c r="B12" s="312" t="s">
        <v>570</v>
      </c>
      <c r="C12" s="334">
        <v>31116</v>
      </c>
      <c r="D12" s="335">
        <v>50000</v>
      </c>
      <c r="E12" s="335">
        <v>100000</v>
      </c>
      <c r="F12" s="304"/>
    </row>
    <row r="13" spans="1:6" ht="30" x14ac:dyDescent="0.25">
      <c r="A13" s="387">
        <v>2</v>
      </c>
      <c r="B13" s="312" t="s">
        <v>571</v>
      </c>
      <c r="C13" s="334">
        <v>120000</v>
      </c>
      <c r="D13" s="333">
        <v>200000</v>
      </c>
      <c r="E13" s="333">
        <v>300000</v>
      </c>
      <c r="F13" s="304"/>
    </row>
    <row r="14" spans="1:6" ht="15" x14ac:dyDescent="0.25">
      <c r="A14" s="387">
        <v>3</v>
      </c>
      <c r="B14" s="312" t="s">
        <v>572</v>
      </c>
      <c r="C14" s="334">
        <v>945000</v>
      </c>
      <c r="D14" s="335">
        <v>1000000</v>
      </c>
      <c r="E14" s="335">
        <v>1200000</v>
      </c>
      <c r="F14" s="304"/>
    </row>
    <row r="15" spans="1:6" ht="15" x14ac:dyDescent="0.25">
      <c r="A15" s="387">
        <v>4</v>
      </c>
      <c r="B15" s="312" t="s">
        <v>573</v>
      </c>
      <c r="C15" s="334">
        <v>63108</v>
      </c>
      <c r="D15" s="335">
        <v>64000</v>
      </c>
      <c r="E15" s="335">
        <v>64000</v>
      </c>
      <c r="F15" s="304"/>
    </row>
    <row r="16" spans="1:6" ht="14.25" x14ac:dyDescent="0.2">
      <c r="A16" s="314" t="s">
        <v>291</v>
      </c>
      <c r="B16" s="309" t="s">
        <v>574</v>
      </c>
      <c r="C16" s="316">
        <f>SUM(C17)</f>
        <v>20796</v>
      </c>
      <c r="D16" s="316">
        <f>SUM(D17)</f>
        <v>0</v>
      </c>
      <c r="E16" s="316">
        <f>SUM(E17)</f>
        <v>0</v>
      </c>
      <c r="F16" s="310"/>
    </row>
    <row r="17" spans="1:6" ht="15" x14ac:dyDescent="0.25">
      <c r="A17" s="311"/>
      <c r="B17" s="317" t="s">
        <v>575</v>
      </c>
      <c r="C17" s="318">
        <v>20796</v>
      </c>
      <c r="D17" s="318">
        <v>0</v>
      </c>
      <c r="E17" s="318">
        <v>0</v>
      </c>
      <c r="F17" s="304"/>
    </row>
    <row r="20" spans="1:6" ht="15.75" x14ac:dyDescent="0.25">
      <c r="A20" s="319" t="s">
        <v>25</v>
      </c>
      <c r="B20" s="319"/>
      <c r="C20" s="319"/>
      <c r="D20" s="319"/>
      <c r="E20" s="320" t="s">
        <v>26</v>
      </c>
    </row>
    <row r="21" spans="1:6" x14ac:dyDescent="0.2">
      <c r="C21" s="321"/>
    </row>
  </sheetData>
  <mergeCells count="1">
    <mergeCell ref="A5:E5"/>
  </mergeCells>
  <pageMargins left="0.98425196850393704" right="0.78740157480314965" top="0.59055118110236227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8.pielikums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Company>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Vera.Brauna</dc:creator>
  <cp:lastModifiedBy>Kristīne Pēce</cp:lastModifiedBy>
  <cp:lastPrinted>2019-02-13T08:21:39Z</cp:lastPrinted>
  <dcterms:created xsi:type="dcterms:W3CDTF">2007-01-09T12:30:29Z</dcterms:created>
  <dcterms:modified xsi:type="dcterms:W3CDTF">2019-02-20T08:26:52Z</dcterms:modified>
</cp:coreProperties>
</file>