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tabRatio="602" activeTab="6"/>
  </bookViews>
  <sheets>
    <sheet name="1.pielikums" sheetId="1" r:id="rId1"/>
    <sheet name="2.pielikums" sheetId="2" r:id="rId2"/>
    <sheet name="3.pielikums" sheetId="3" r:id="rId3"/>
    <sheet name="4.pielikums" sheetId="18" r:id="rId4"/>
    <sheet name="5.pielikums" sheetId="15" r:id="rId5"/>
    <sheet name="6.pielikums" sheetId="17" r:id="rId6"/>
    <sheet name="7.pielikums" sheetId="19" r:id="rId7"/>
  </sheets>
  <definedNames>
    <definedName name="_xlnm.Print_Area" localSheetId="4">'5.pielikums'!$A$1:$X$126</definedName>
    <definedName name="_xlnm.Print_Titles" localSheetId="0">'1.pielikums'!$8:$8</definedName>
    <definedName name="_xlnm.Print_Titles" localSheetId="2">'3.pielikums'!$8:$10</definedName>
    <definedName name="_xlnm.Print_Titles" localSheetId="3">'4.pielikums'!$6:$6</definedName>
    <definedName name="_xlnm.Print_Titles" localSheetId="4">'5.pielikums'!$A:$A,'5.pielikums'!$5:$6</definedName>
    <definedName name="_xlnm.Print_Titles" localSheetId="5">'6.pielikums'!$15:$16</definedName>
    <definedName name="_xlnm.Print_Titles" localSheetId="6">'7.pielikums'!$6:$6</definedName>
  </definedNames>
  <calcPr calcId="145621"/>
</workbook>
</file>

<file path=xl/calcChain.xml><?xml version="1.0" encoding="utf-8"?>
<calcChain xmlns="http://schemas.openxmlformats.org/spreadsheetml/2006/main">
  <c r="E783" i="18" l="1"/>
  <c r="E779" i="18"/>
  <c r="D783" i="18"/>
  <c r="D779" i="18"/>
  <c r="E139" i="18"/>
  <c r="E136" i="18"/>
  <c r="D139" i="18"/>
  <c r="D136" i="18"/>
  <c r="E10" i="18"/>
  <c r="D10" i="18"/>
  <c r="D11" i="18"/>
  <c r="E13" i="18"/>
  <c r="D13" i="18"/>
  <c r="E784" i="18" l="1"/>
  <c r="E780" i="18"/>
  <c r="D784" i="18"/>
  <c r="D780" i="18"/>
  <c r="E584" i="18"/>
  <c r="D584" i="18"/>
  <c r="E578" i="18"/>
  <c r="E579" i="18"/>
  <c r="D579" i="18"/>
  <c r="D578" i="18"/>
  <c r="E539" i="18"/>
  <c r="E538" i="18"/>
  <c r="E536" i="18"/>
  <c r="D536" i="18"/>
  <c r="D539" i="18"/>
  <c r="D538" i="18"/>
  <c r="E788" i="18" l="1"/>
  <c r="E393" i="18" l="1"/>
  <c r="E390" i="18"/>
  <c r="D393" i="18"/>
  <c r="D390" i="18"/>
  <c r="E380" i="18"/>
  <c r="E377" i="18"/>
  <c r="D380" i="18"/>
  <c r="D377" i="18"/>
  <c r="E778" i="18"/>
  <c r="D778" i="18"/>
  <c r="D788" i="18"/>
  <c r="E781" i="18"/>
  <c r="D781" i="18"/>
  <c r="E206" i="3"/>
  <c r="E98" i="3"/>
  <c r="E155" i="3" l="1"/>
  <c r="H19" i="17" l="1"/>
  <c r="E26" i="17"/>
  <c r="E28" i="17" s="1"/>
  <c r="D24" i="17"/>
  <c r="D23" i="17" s="1"/>
  <c r="D28" i="17" s="1"/>
  <c r="G9" i="17"/>
  <c r="G10" i="17"/>
  <c r="I10" i="17" s="1"/>
  <c r="I27" i="17"/>
  <c r="G27" i="17"/>
  <c r="G26" i="17"/>
  <c r="I26" i="17" s="1"/>
  <c r="I25" i="17"/>
  <c r="G25" i="17"/>
  <c r="G24" i="17"/>
  <c r="I24" i="17" s="1"/>
  <c r="H23" i="17"/>
  <c r="F23" i="17"/>
  <c r="G22" i="17"/>
  <c r="I22" i="17" s="1"/>
  <c r="G21" i="17"/>
  <c r="I21" i="17" s="1"/>
  <c r="I20" i="17"/>
  <c r="G20" i="17"/>
  <c r="G19" i="17"/>
  <c r="C18" i="17"/>
  <c r="G18" i="17" s="1"/>
  <c r="I18" i="17" s="1"/>
  <c r="H17" i="17"/>
  <c r="F17" i="17"/>
  <c r="F28" i="17" s="1"/>
  <c r="C17" i="17"/>
  <c r="C28" i="17" s="1"/>
  <c r="H12" i="17"/>
  <c r="G12" i="17"/>
  <c r="I11" i="17"/>
  <c r="I9" i="17"/>
  <c r="I8" i="17"/>
  <c r="H28" i="17" l="1"/>
  <c r="I19" i="17"/>
  <c r="I12" i="17"/>
  <c r="G17" i="17"/>
  <c r="G23" i="17"/>
  <c r="I23" i="17" s="1"/>
  <c r="I17" i="17" l="1"/>
  <c r="I28" i="17" s="1"/>
  <c r="G28" i="17"/>
  <c r="L166" i="3" l="1"/>
  <c r="K166" i="3"/>
  <c r="J166" i="3"/>
  <c r="I166" i="3"/>
  <c r="H166" i="3"/>
  <c r="G166" i="3"/>
  <c r="F166" i="3"/>
  <c r="E166" i="3"/>
  <c r="D166" i="3"/>
  <c r="C174" i="3"/>
  <c r="F128" i="3"/>
  <c r="H128" i="3"/>
  <c r="J128" i="3"/>
  <c r="K128" i="3"/>
  <c r="L128" i="3"/>
  <c r="D128" i="3"/>
  <c r="C164" i="3"/>
  <c r="L163" i="3"/>
  <c r="K163" i="3"/>
  <c r="J163" i="3"/>
  <c r="I163" i="3"/>
  <c r="H163" i="3"/>
  <c r="G163" i="3"/>
  <c r="F163" i="3"/>
  <c r="E163" i="3"/>
  <c r="D163" i="3"/>
  <c r="D159" i="3"/>
  <c r="K68" i="3"/>
  <c r="I68" i="3"/>
  <c r="G68" i="3"/>
  <c r="E68" i="3"/>
  <c r="L68" i="3"/>
  <c r="J68" i="3"/>
  <c r="H68" i="3"/>
  <c r="F68" i="3"/>
  <c r="D68" i="3"/>
  <c r="C69" i="3"/>
  <c r="C163" i="3" l="1"/>
  <c r="C68" i="3"/>
  <c r="E37" i="15" l="1"/>
  <c r="H88" i="15" l="1"/>
  <c r="E15" i="15"/>
  <c r="E21" i="15"/>
  <c r="E33" i="15"/>
  <c r="E67" i="15"/>
  <c r="E81" i="15"/>
  <c r="G80" i="15"/>
  <c r="E75" i="15" l="1"/>
  <c r="E71" i="15"/>
  <c r="E57" i="15"/>
  <c r="H47" i="15"/>
  <c r="E41" i="15"/>
  <c r="X41" i="15"/>
  <c r="X42" i="15"/>
  <c r="E39" i="15"/>
  <c r="P40" i="15"/>
  <c r="E35" i="15"/>
  <c r="K36" i="15"/>
  <c r="H87" i="15" l="1"/>
  <c r="H93" i="15"/>
  <c r="H95" i="15" s="1"/>
  <c r="H206" i="3"/>
  <c r="D206" i="3"/>
  <c r="D149" i="3"/>
  <c r="C87" i="1"/>
  <c r="X84" i="15" l="1"/>
  <c r="X83" i="15"/>
  <c r="E45" i="15" l="1"/>
  <c r="D192" i="3" l="1"/>
  <c r="H188" i="3"/>
  <c r="H179" i="3"/>
  <c r="D179" i="3"/>
  <c r="H172" i="3"/>
  <c r="H171" i="3"/>
  <c r="D171" i="3"/>
  <c r="F155" i="3"/>
  <c r="H156" i="3"/>
  <c r="H150" i="3"/>
  <c r="D150" i="3"/>
  <c r="H142" i="3"/>
  <c r="F142" i="3"/>
  <c r="D141" i="3"/>
  <c r="D138" i="3"/>
  <c r="H137" i="3"/>
  <c r="D137" i="3"/>
  <c r="H136" i="3"/>
  <c r="F136" i="3"/>
  <c r="H135" i="3"/>
  <c r="H134" i="3"/>
  <c r="F134" i="3"/>
  <c r="D134" i="3"/>
  <c r="D131" i="3"/>
  <c r="D124" i="3"/>
  <c r="H118" i="3"/>
  <c r="D119" i="3"/>
  <c r="D118" i="3"/>
  <c r="D115" i="3"/>
  <c r="H112" i="3"/>
  <c r="D111" i="3"/>
  <c r="D109" i="3"/>
  <c r="H109" i="3"/>
  <c r="D106" i="3"/>
  <c r="D105" i="3"/>
  <c r="H98" i="3"/>
  <c r="D97" i="3"/>
  <c r="H93" i="3"/>
  <c r="D83" i="3"/>
  <c r="D82" i="3"/>
  <c r="F81" i="3"/>
  <c r="D81" i="3"/>
  <c r="H72" i="3"/>
  <c r="D65" i="3"/>
  <c r="D64" i="3"/>
  <c r="D56" i="3"/>
  <c r="H56" i="3"/>
  <c r="D55" i="3"/>
  <c r="H52" i="3"/>
  <c r="J50" i="3"/>
  <c r="H50" i="3"/>
  <c r="H51" i="3"/>
  <c r="F51" i="3"/>
  <c r="D51" i="3"/>
  <c r="D50" i="3"/>
  <c r="D48" i="3"/>
  <c r="D47" i="3"/>
  <c r="H46" i="3"/>
  <c r="D46" i="3"/>
  <c r="D44" i="3"/>
  <c r="D40" i="3"/>
  <c r="H37" i="3"/>
  <c r="D37" i="3"/>
  <c r="D34" i="3"/>
  <c r="H26" i="3"/>
  <c r="H24" i="3"/>
  <c r="H17" i="3"/>
  <c r="D14" i="3"/>
  <c r="C84" i="1"/>
  <c r="C80" i="1"/>
  <c r="C81" i="1"/>
  <c r="C79" i="1"/>
  <c r="C78" i="1"/>
  <c r="C63" i="1"/>
  <c r="C58" i="1"/>
  <c r="C56" i="1"/>
  <c r="C55" i="1"/>
  <c r="C54" i="1"/>
  <c r="C51" i="1"/>
  <c r="C42" i="1"/>
  <c r="C13" i="1"/>
  <c r="F122" i="15" l="1"/>
  <c r="W114" i="15"/>
  <c r="V114" i="15"/>
  <c r="U114" i="15"/>
  <c r="T114" i="15"/>
  <c r="S114" i="15"/>
  <c r="R114" i="15"/>
  <c r="Q114" i="15"/>
  <c r="P114" i="15"/>
  <c r="O114" i="15"/>
  <c r="N114" i="15"/>
  <c r="M114" i="15"/>
  <c r="L114" i="15"/>
  <c r="K114" i="15"/>
  <c r="J114" i="15"/>
  <c r="I114" i="15"/>
  <c r="H114" i="15"/>
  <c r="W113" i="15"/>
  <c r="W115" i="15" s="1"/>
  <c r="V113" i="15"/>
  <c r="V115" i="15" s="1"/>
  <c r="U113" i="15"/>
  <c r="T113" i="15"/>
  <c r="T115" i="15" s="1"/>
  <c r="S113" i="15"/>
  <c r="S115" i="15" s="1"/>
  <c r="R113" i="15"/>
  <c r="R115" i="15" s="1"/>
  <c r="Q113" i="15"/>
  <c r="Q115" i="15" s="1"/>
  <c r="P113" i="15"/>
  <c r="P115" i="15" s="1"/>
  <c r="O113" i="15"/>
  <c r="O115" i="15" s="1"/>
  <c r="N113" i="15"/>
  <c r="N115" i="15" s="1"/>
  <c r="M113" i="15"/>
  <c r="L113" i="15"/>
  <c r="K113" i="15"/>
  <c r="K115" i="15" s="1"/>
  <c r="J113" i="15"/>
  <c r="I113" i="15"/>
  <c r="H113" i="15"/>
  <c r="X112" i="15"/>
  <c r="X111" i="15"/>
  <c r="X110" i="15"/>
  <c r="X109" i="15"/>
  <c r="X108" i="15"/>
  <c r="X107" i="15"/>
  <c r="X106" i="15"/>
  <c r="X105" i="15"/>
  <c r="X104" i="15"/>
  <c r="X103" i="15"/>
  <c r="X113" i="15" s="1"/>
  <c r="W88" i="15"/>
  <c r="W120" i="15" s="1"/>
  <c r="V88" i="15"/>
  <c r="V120" i="15" s="1"/>
  <c r="U88" i="15"/>
  <c r="T88" i="15"/>
  <c r="T120" i="15" s="1"/>
  <c r="S88" i="15"/>
  <c r="S120" i="15" s="1"/>
  <c r="R88" i="15"/>
  <c r="R120" i="15" s="1"/>
  <c r="Q88" i="15"/>
  <c r="I88" i="15"/>
  <c r="U87" i="15"/>
  <c r="U119" i="15" s="1"/>
  <c r="T87" i="15"/>
  <c r="T119" i="15" s="1"/>
  <c r="S87" i="15"/>
  <c r="S119" i="15" s="1"/>
  <c r="R87" i="15"/>
  <c r="R119" i="15" s="1"/>
  <c r="Q87" i="15"/>
  <c r="Q119" i="15" s="1"/>
  <c r="P87" i="15"/>
  <c r="P119" i="15" s="1"/>
  <c r="O87" i="15"/>
  <c r="O119" i="15" s="1"/>
  <c r="N87" i="15"/>
  <c r="N119" i="15" s="1"/>
  <c r="M87" i="15"/>
  <c r="M119" i="15" s="1"/>
  <c r="L87" i="15"/>
  <c r="L119" i="15" s="1"/>
  <c r="K87" i="15"/>
  <c r="K119" i="15" s="1"/>
  <c r="J87" i="15"/>
  <c r="J119" i="15" s="1"/>
  <c r="I87" i="15"/>
  <c r="I119" i="15" s="1"/>
  <c r="X86" i="15"/>
  <c r="X85" i="15"/>
  <c r="X82" i="15"/>
  <c r="X81" i="15"/>
  <c r="X80" i="15"/>
  <c r="X79" i="15"/>
  <c r="X78" i="15"/>
  <c r="X77" i="15"/>
  <c r="X76" i="15"/>
  <c r="X75" i="15"/>
  <c r="X74" i="15"/>
  <c r="X73" i="15"/>
  <c r="X72" i="15"/>
  <c r="X71" i="15"/>
  <c r="X70" i="15"/>
  <c r="X69" i="15"/>
  <c r="X68" i="15"/>
  <c r="X67" i="15"/>
  <c r="X66" i="15"/>
  <c r="X65" i="15"/>
  <c r="X64" i="15"/>
  <c r="X63" i="15"/>
  <c r="X62" i="15"/>
  <c r="X61" i="15"/>
  <c r="X60" i="15"/>
  <c r="X59" i="15"/>
  <c r="X58" i="15"/>
  <c r="X57" i="15"/>
  <c r="X56" i="15"/>
  <c r="X55" i="15"/>
  <c r="X54" i="15"/>
  <c r="X53" i="15"/>
  <c r="E53" i="15"/>
  <c r="X52" i="15"/>
  <c r="X51" i="15"/>
  <c r="E51" i="15"/>
  <c r="X50" i="15"/>
  <c r="X49" i="15"/>
  <c r="E49" i="15"/>
  <c r="X48" i="15"/>
  <c r="X47" i="15"/>
  <c r="X46" i="15"/>
  <c r="X45" i="15"/>
  <c r="X44" i="15"/>
  <c r="X43" i="15"/>
  <c r="P88" i="15"/>
  <c r="O88" i="15"/>
  <c r="O120" i="15" s="1"/>
  <c r="N88" i="15"/>
  <c r="M88" i="15"/>
  <c r="L88" i="15"/>
  <c r="J88" i="15"/>
  <c r="X39" i="15"/>
  <c r="X38" i="15"/>
  <c r="W37" i="15"/>
  <c r="V37" i="15"/>
  <c r="K88" i="15"/>
  <c r="K120" i="15" s="1"/>
  <c r="X35" i="15"/>
  <c r="X34" i="15"/>
  <c r="W33" i="15"/>
  <c r="X33" i="15" s="1"/>
  <c r="X32" i="15"/>
  <c r="W31" i="15"/>
  <c r="X31" i="15" s="1"/>
  <c r="X30" i="15"/>
  <c r="V29" i="15"/>
  <c r="X29" i="15" s="1"/>
  <c r="X28" i="15"/>
  <c r="W27" i="15"/>
  <c r="X27" i="15" s="1"/>
  <c r="X26" i="15"/>
  <c r="X25" i="15"/>
  <c r="X24" i="15"/>
  <c r="W23" i="15"/>
  <c r="V23" i="15"/>
  <c r="X23" i="15" s="1"/>
  <c r="X22" i="15"/>
  <c r="W21" i="15"/>
  <c r="X21" i="15" s="1"/>
  <c r="X20" i="15"/>
  <c r="X19" i="15"/>
  <c r="E19" i="15"/>
  <c r="X18" i="15"/>
  <c r="W17" i="15"/>
  <c r="V17" i="15"/>
  <c r="X16" i="15"/>
  <c r="W15" i="15"/>
  <c r="V15" i="15"/>
  <c r="X14" i="15"/>
  <c r="X13" i="15"/>
  <c r="X12" i="15"/>
  <c r="W11" i="15"/>
  <c r="X11" i="15" s="1"/>
  <c r="X10" i="15"/>
  <c r="W9" i="15"/>
  <c r="X8" i="15"/>
  <c r="W7" i="15"/>
  <c r="X7" i="15" s="1"/>
  <c r="I6" i="15"/>
  <c r="J6" i="15" s="1"/>
  <c r="K6" i="15" s="1"/>
  <c r="L6" i="15" s="1"/>
  <c r="M6" i="15" s="1"/>
  <c r="N6" i="15" s="1"/>
  <c r="O6" i="15" s="1"/>
  <c r="P6" i="15" s="1"/>
  <c r="Q6" i="15" s="1"/>
  <c r="R6" i="15" s="1"/>
  <c r="V87" i="15" l="1"/>
  <c r="I115" i="15"/>
  <c r="W87" i="15"/>
  <c r="W97" i="15" s="1"/>
  <c r="E87" i="15"/>
  <c r="U115" i="15"/>
  <c r="X37" i="15"/>
  <c r="X17" i="15"/>
  <c r="M115" i="15"/>
  <c r="Q120" i="15"/>
  <c r="U120" i="15"/>
  <c r="U121" i="15" s="1"/>
  <c r="L115" i="15"/>
  <c r="N120" i="15"/>
  <c r="N121" i="15" s="1"/>
  <c r="J120" i="15"/>
  <c r="J121" i="15" s="1"/>
  <c r="J115" i="15"/>
  <c r="H115" i="15"/>
  <c r="X114" i="15"/>
  <c r="X115" i="15" s="1"/>
  <c r="H119" i="15"/>
  <c r="T121" i="15"/>
  <c r="Q121" i="15"/>
  <c r="I97" i="15"/>
  <c r="U97" i="15"/>
  <c r="R121" i="15"/>
  <c r="T89" i="15"/>
  <c r="M97" i="15"/>
  <c r="S121" i="15"/>
  <c r="U89" i="15"/>
  <c r="Q97" i="15"/>
  <c r="H89" i="15"/>
  <c r="H120" i="15"/>
  <c r="I98" i="15"/>
  <c r="V119" i="15"/>
  <c r="V121" i="15" s="1"/>
  <c r="V97" i="15"/>
  <c r="V89" i="15"/>
  <c r="V91" i="15" s="1"/>
  <c r="L89" i="15"/>
  <c r="L91" i="15" s="1"/>
  <c r="L120" i="15"/>
  <c r="L121" i="15" s="1"/>
  <c r="P89" i="15"/>
  <c r="P91" i="15" s="1"/>
  <c r="P120" i="15"/>
  <c r="P121" i="15" s="1"/>
  <c r="K121" i="15"/>
  <c r="O121" i="15"/>
  <c r="W119" i="15"/>
  <c r="W121" i="15" s="1"/>
  <c r="M120" i="15"/>
  <c r="M121" i="15" s="1"/>
  <c r="M89" i="15"/>
  <c r="M91" i="15" s="1"/>
  <c r="I89" i="15"/>
  <c r="Q89" i="15"/>
  <c r="Q91" i="15" s="1"/>
  <c r="X15" i="15"/>
  <c r="X36" i="15"/>
  <c r="J89" i="15"/>
  <c r="J91" i="15" s="1"/>
  <c r="N89" i="15"/>
  <c r="N91" i="15" s="1"/>
  <c r="R89" i="15"/>
  <c r="R91" i="15" s="1"/>
  <c r="J97" i="15"/>
  <c r="N97" i="15"/>
  <c r="R97" i="15"/>
  <c r="X9" i="15"/>
  <c r="X87" i="15" s="1"/>
  <c r="K89" i="15"/>
  <c r="K91" i="15" s="1"/>
  <c r="O89" i="15"/>
  <c r="O91" i="15" s="1"/>
  <c r="S89" i="15"/>
  <c r="S91" i="15" s="1"/>
  <c r="K97" i="15"/>
  <c r="O97" i="15"/>
  <c r="S97" i="15"/>
  <c r="I120" i="15"/>
  <c r="X40" i="15"/>
  <c r="L97" i="15"/>
  <c r="P97" i="15"/>
  <c r="T97" i="15"/>
  <c r="W89" i="15" l="1"/>
  <c r="W91" i="15" s="1"/>
  <c r="T90" i="15"/>
  <c r="T91" i="15"/>
  <c r="U90" i="15"/>
  <c r="U91" i="15"/>
  <c r="I91" i="15"/>
  <c r="I90" i="15"/>
  <c r="H91" i="15"/>
  <c r="H90" i="15"/>
  <c r="U122" i="15"/>
  <c r="P122" i="15"/>
  <c r="S122" i="15"/>
  <c r="N122" i="15"/>
  <c r="Q122" i="15"/>
  <c r="X88" i="15"/>
  <c r="X89" i="15" s="1"/>
  <c r="W122" i="15"/>
  <c r="T122" i="15"/>
  <c r="M122" i="15"/>
  <c r="O122" i="15"/>
  <c r="V122" i="15"/>
  <c r="J122" i="15"/>
  <c r="L122" i="15"/>
  <c r="K122" i="15"/>
  <c r="R122" i="15"/>
  <c r="H121" i="15"/>
  <c r="X120" i="15"/>
  <c r="I121" i="15"/>
  <c r="U98" i="15"/>
  <c r="L98" i="15"/>
  <c r="L90" i="15"/>
  <c r="J90" i="15"/>
  <c r="J98" i="15"/>
  <c r="V90" i="15"/>
  <c r="V98" i="15"/>
  <c r="Q98" i="15"/>
  <c r="Q90" i="15"/>
  <c r="W90" i="15"/>
  <c r="W98" i="15"/>
  <c r="P98" i="15"/>
  <c r="P90" i="15"/>
  <c r="K90" i="15"/>
  <c r="K98" i="15"/>
  <c r="N90" i="15"/>
  <c r="N98" i="15"/>
  <c r="M98" i="15"/>
  <c r="M90" i="15"/>
  <c r="X119" i="15"/>
  <c r="S90" i="15"/>
  <c r="S98" i="15"/>
  <c r="O90" i="15"/>
  <c r="O98" i="15"/>
  <c r="R90" i="15"/>
  <c r="R98" i="15"/>
  <c r="T98" i="15"/>
  <c r="I122" i="15" l="1"/>
  <c r="H122" i="15"/>
  <c r="X121" i="15"/>
  <c r="E13" i="3"/>
  <c r="L14" i="3" l="1"/>
  <c r="L15" i="3"/>
  <c r="C206" i="3" l="1"/>
  <c r="L88" i="3" l="1"/>
  <c r="C190" i="3"/>
  <c r="E184" i="3"/>
  <c r="F184" i="3"/>
  <c r="G184" i="3"/>
  <c r="H184" i="3"/>
  <c r="I184" i="3"/>
  <c r="J184" i="3"/>
  <c r="K184" i="3"/>
  <c r="L184" i="3"/>
  <c r="D184" i="3"/>
  <c r="E182" i="3"/>
  <c r="F182" i="3"/>
  <c r="G182" i="3"/>
  <c r="H182" i="3"/>
  <c r="I182" i="3"/>
  <c r="J182" i="3"/>
  <c r="K182" i="3"/>
  <c r="L182" i="3"/>
  <c r="D182" i="3"/>
  <c r="D96" i="3"/>
  <c r="E121" i="3"/>
  <c r="F121" i="3"/>
  <c r="G121" i="3"/>
  <c r="H121" i="3"/>
  <c r="I121" i="3"/>
  <c r="J121" i="3"/>
  <c r="K121" i="3"/>
  <c r="L121" i="3"/>
  <c r="D121" i="3"/>
  <c r="C106" i="3"/>
  <c r="C101" i="3"/>
  <c r="C100" i="3"/>
  <c r="L77" i="3"/>
  <c r="E77" i="3"/>
  <c r="F77" i="3"/>
  <c r="G77" i="3"/>
  <c r="H77" i="3"/>
  <c r="I77" i="3"/>
  <c r="J77" i="3"/>
  <c r="K77" i="3"/>
  <c r="D77" i="3"/>
  <c r="C78" i="3"/>
  <c r="L75" i="3"/>
  <c r="K75" i="3"/>
  <c r="J75" i="3"/>
  <c r="I75" i="3"/>
  <c r="H75" i="3"/>
  <c r="G75" i="3"/>
  <c r="F75" i="3"/>
  <c r="E75" i="3"/>
  <c r="D75" i="3"/>
  <c r="C72" i="3"/>
  <c r="L66" i="3"/>
  <c r="K66" i="3"/>
  <c r="J66" i="3"/>
  <c r="I66" i="3"/>
  <c r="H66" i="3"/>
  <c r="G66" i="3"/>
  <c r="F66" i="3"/>
  <c r="E66" i="3"/>
  <c r="D66" i="3"/>
  <c r="C60" i="3"/>
  <c r="C56" i="3"/>
  <c r="C55" i="3"/>
  <c r="C52" i="3"/>
  <c r="C40" i="3"/>
  <c r="L36" i="3"/>
  <c r="K36" i="3"/>
  <c r="J36" i="3"/>
  <c r="I36" i="3"/>
  <c r="H36" i="3"/>
  <c r="G36" i="3"/>
  <c r="F36" i="3"/>
  <c r="E36" i="3"/>
  <c r="D36" i="3"/>
  <c r="L33" i="3"/>
  <c r="K33" i="3"/>
  <c r="J33" i="3"/>
  <c r="I33" i="3"/>
  <c r="H33" i="3"/>
  <c r="G33" i="3"/>
  <c r="F33" i="3"/>
  <c r="E33" i="3"/>
  <c r="D33" i="3"/>
  <c r="L27" i="3"/>
  <c r="K27" i="3"/>
  <c r="J27" i="3"/>
  <c r="I27" i="3"/>
  <c r="H27" i="3"/>
  <c r="G27" i="3"/>
  <c r="F27" i="3"/>
  <c r="E27" i="3"/>
  <c r="D27" i="3"/>
  <c r="E25" i="3"/>
  <c r="F25" i="3"/>
  <c r="G25" i="3"/>
  <c r="H25" i="3"/>
  <c r="I25" i="3"/>
  <c r="J25" i="3"/>
  <c r="K25" i="3"/>
  <c r="L25" i="3"/>
  <c r="D25" i="3"/>
  <c r="C17" i="3"/>
  <c r="F13" i="3"/>
  <c r="G13" i="3"/>
  <c r="H13" i="3"/>
  <c r="I13" i="3"/>
  <c r="J13" i="3"/>
  <c r="K13" i="3"/>
  <c r="L13" i="3"/>
  <c r="D13" i="3"/>
  <c r="E78" i="1"/>
  <c r="E79" i="1"/>
  <c r="E80" i="1"/>
  <c r="E81" i="1"/>
  <c r="D76" i="1"/>
  <c r="C76" i="1"/>
  <c r="C64" i="1" s="1"/>
  <c r="D71" i="1"/>
  <c r="C71" i="1"/>
  <c r="D66" i="1"/>
  <c r="C66" i="1"/>
  <c r="E72" i="1"/>
  <c r="E73" i="1"/>
  <c r="E74" i="1"/>
  <c r="E75" i="1"/>
  <c r="D69" i="1"/>
  <c r="C69" i="1"/>
  <c r="E70" i="1"/>
  <c r="E69" i="1" s="1"/>
  <c r="E67" i="1"/>
  <c r="E66" i="1" s="1"/>
  <c r="E68" i="1"/>
  <c r="D41" i="1"/>
  <c r="D18" i="1"/>
  <c r="C18" i="1"/>
  <c r="C33" i="3" l="1"/>
  <c r="D64" i="1"/>
  <c r="E76" i="1"/>
  <c r="C184" i="3"/>
  <c r="C66" i="3"/>
  <c r="C36" i="3"/>
  <c r="C27" i="3"/>
  <c r="C182" i="3"/>
  <c r="C121" i="3"/>
  <c r="C75" i="3"/>
  <c r="C77" i="3"/>
  <c r="C25" i="3"/>
  <c r="E71" i="1"/>
  <c r="C139" i="3"/>
  <c r="C48" i="3"/>
  <c r="L43" i="3"/>
  <c r="K43" i="3"/>
  <c r="J43" i="3"/>
  <c r="I43" i="3"/>
  <c r="H43" i="3"/>
  <c r="G43" i="3"/>
  <c r="F43" i="3"/>
  <c r="E43" i="3"/>
  <c r="D43" i="3"/>
  <c r="E42" i="1" l="1"/>
  <c r="E43" i="1"/>
  <c r="C199" i="3" l="1"/>
  <c r="L96" i="3" l="1"/>
  <c r="J96" i="3"/>
  <c r="I96" i="3"/>
  <c r="H96" i="3"/>
  <c r="G96" i="3"/>
  <c r="F96" i="3"/>
  <c r="E96" i="3"/>
  <c r="C22" i="2"/>
  <c r="C41" i="1" l="1"/>
  <c r="D25" i="2" l="1"/>
  <c r="D24" i="2"/>
  <c r="C102" i="3"/>
  <c r="C173" i="3" l="1"/>
  <c r="J88" i="3"/>
  <c r="H88" i="3"/>
  <c r="F88" i="3"/>
  <c r="K88" i="3"/>
  <c r="I88" i="3"/>
  <c r="G88" i="3"/>
  <c r="E88" i="3"/>
  <c r="C94" i="3"/>
  <c r="D88" i="3" l="1"/>
  <c r="D200" i="3" l="1"/>
  <c r="D198" i="3" s="1"/>
  <c r="E44" i="1" l="1"/>
  <c r="E41" i="1" s="1"/>
  <c r="L154" i="3" l="1"/>
  <c r="K154" i="3"/>
  <c r="J154" i="3"/>
  <c r="I154" i="3"/>
  <c r="I128" i="3" s="1"/>
  <c r="H154" i="3"/>
  <c r="G154" i="3"/>
  <c r="G128" i="3" s="1"/>
  <c r="F154" i="3"/>
  <c r="E154" i="3"/>
  <c r="E128" i="3" s="1"/>
  <c r="D154" i="3"/>
  <c r="C158" i="3"/>
  <c r="D133" i="3"/>
  <c r="L49" i="3"/>
  <c r="K49" i="3"/>
  <c r="J49" i="3"/>
  <c r="I49" i="3"/>
  <c r="H49" i="3"/>
  <c r="G49" i="3"/>
  <c r="F49" i="3"/>
  <c r="E49" i="3"/>
  <c r="D49" i="3"/>
  <c r="C53" i="3"/>
  <c r="L140" i="3"/>
  <c r="K140" i="3"/>
  <c r="J140" i="3"/>
  <c r="I140" i="3"/>
  <c r="H140" i="3"/>
  <c r="G140" i="3"/>
  <c r="F140" i="3"/>
  <c r="E140" i="3"/>
  <c r="D140" i="3"/>
  <c r="C143" i="3"/>
  <c r="D129" i="3"/>
  <c r="L144" i="3"/>
  <c r="K144" i="3"/>
  <c r="J144" i="3"/>
  <c r="I144" i="3"/>
  <c r="H144" i="3"/>
  <c r="G144" i="3"/>
  <c r="F144" i="3"/>
  <c r="E144" i="3"/>
  <c r="D144" i="3"/>
  <c r="C150" i="3"/>
  <c r="L54" i="3"/>
  <c r="K54" i="3"/>
  <c r="J54" i="3"/>
  <c r="I54" i="3"/>
  <c r="H54" i="3"/>
  <c r="G54" i="3"/>
  <c r="F54" i="3"/>
  <c r="E54" i="3"/>
  <c r="D54" i="3"/>
  <c r="C57" i="3"/>
  <c r="C54" i="3" l="1"/>
  <c r="C196" i="3"/>
  <c r="C195" i="3"/>
  <c r="E117" i="3"/>
  <c r="F117" i="3"/>
  <c r="G117" i="3"/>
  <c r="H117" i="3"/>
  <c r="I117" i="3"/>
  <c r="J117" i="3"/>
  <c r="K117" i="3"/>
  <c r="L117" i="3"/>
  <c r="D117" i="3"/>
  <c r="C120" i="3"/>
  <c r="K96" i="3"/>
  <c r="E80" i="3" l="1"/>
  <c r="E74" i="3" s="1"/>
  <c r="F80" i="3"/>
  <c r="F74" i="3" s="1"/>
  <c r="G80" i="3"/>
  <c r="G74" i="3" s="1"/>
  <c r="H80" i="3"/>
  <c r="H74" i="3" s="1"/>
  <c r="I80" i="3"/>
  <c r="I74" i="3" s="1"/>
  <c r="J80" i="3"/>
  <c r="J74" i="3" s="1"/>
  <c r="K80" i="3"/>
  <c r="K74" i="3" s="1"/>
  <c r="L80" i="3"/>
  <c r="L74" i="3" s="1"/>
  <c r="D80" i="3"/>
  <c r="D74" i="3" s="1"/>
  <c r="D82" i="1"/>
  <c r="C82" i="1"/>
  <c r="E84" i="1"/>
  <c r="E83" i="1"/>
  <c r="E133" i="3"/>
  <c r="F133" i="3"/>
  <c r="G133" i="3"/>
  <c r="H133" i="3"/>
  <c r="I133" i="3"/>
  <c r="J133" i="3"/>
  <c r="K133" i="3"/>
  <c r="L133" i="3"/>
  <c r="E82" i="1" l="1"/>
  <c r="C87" i="3" l="1"/>
  <c r="D28" i="2" l="1"/>
  <c r="E38" i="3" l="1"/>
  <c r="E35" i="3" s="1"/>
  <c r="F38" i="3"/>
  <c r="F35" i="3" s="1"/>
  <c r="G38" i="3"/>
  <c r="G35" i="3" s="1"/>
  <c r="H38" i="3"/>
  <c r="H35" i="3" s="1"/>
  <c r="I38" i="3"/>
  <c r="I35" i="3" s="1"/>
  <c r="J38" i="3"/>
  <c r="J35" i="3" s="1"/>
  <c r="K38" i="3"/>
  <c r="K35" i="3" s="1"/>
  <c r="L38" i="3"/>
  <c r="L35" i="3" s="1"/>
  <c r="D38" i="3"/>
  <c r="D35" i="3" s="1"/>
  <c r="C41" i="3"/>
  <c r="C47" i="3" l="1"/>
  <c r="E40" i="1" l="1"/>
  <c r="E39" i="1" s="1"/>
  <c r="E38" i="1" s="1"/>
  <c r="D39" i="1"/>
  <c r="D38" i="1" s="1"/>
  <c r="C39" i="1"/>
  <c r="C38" i="1" s="1"/>
  <c r="C61" i="1" l="1"/>
  <c r="D61" i="1" l="1"/>
  <c r="E63" i="1"/>
  <c r="L22" i="3" l="1"/>
  <c r="K22" i="3"/>
  <c r="J22" i="3"/>
  <c r="I22" i="3"/>
  <c r="H22" i="3"/>
  <c r="G22" i="3"/>
  <c r="F22" i="3"/>
  <c r="E22" i="3"/>
  <c r="D22" i="3"/>
  <c r="C24" i="3"/>
  <c r="C23" i="3"/>
  <c r="C22" i="3" l="1"/>
  <c r="L104" i="3"/>
  <c r="K104" i="3"/>
  <c r="J104" i="3"/>
  <c r="I104" i="3"/>
  <c r="H104" i="3"/>
  <c r="G104" i="3"/>
  <c r="F104" i="3"/>
  <c r="E104" i="3"/>
  <c r="D104" i="3"/>
  <c r="C107" i="3"/>
  <c r="L129" i="3"/>
  <c r="K129" i="3"/>
  <c r="J129" i="3"/>
  <c r="I129" i="3"/>
  <c r="H129" i="3"/>
  <c r="G129" i="3"/>
  <c r="E129" i="3"/>
  <c r="C131" i="3"/>
  <c r="F16" i="2"/>
  <c r="C93" i="3"/>
  <c r="C51" i="3"/>
  <c r="F129" i="3" l="1"/>
  <c r="E62" i="1" l="1"/>
  <c r="C149" i="3" l="1"/>
  <c r="C86" i="3"/>
  <c r="C80" i="3" l="1"/>
  <c r="C46" i="3" l="1"/>
  <c r="E48" i="1"/>
  <c r="D45" i="1"/>
  <c r="C45" i="1"/>
  <c r="C50" i="1" l="1"/>
  <c r="D50" i="1"/>
  <c r="C172" i="3" l="1"/>
  <c r="C157" i="3"/>
  <c r="E51" i="1" l="1"/>
  <c r="E50" i="1" s="1"/>
  <c r="C73" i="3" l="1"/>
  <c r="G28" i="2" l="1"/>
  <c r="F28" i="2"/>
  <c r="E28" i="2"/>
  <c r="E24" i="2"/>
  <c r="F24" i="2"/>
  <c r="G24" i="2"/>
  <c r="E25" i="2"/>
  <c r="F25" i="2"/>
  <c r="G25" i="2"/>
  <c r="D26" i="2"/>
  <c r="E26" i="2"/>
  <c r="F26" i="2"/>
  <c r="G26" i="2"/>
  <c r="D27" i="2"/>
  <c r="E27" i="2"/>
  <c r="F27" i="2"/>
  <c r="G27" i="2"/>
  <c r="G23" i="2"/>
  <c r="F23" i="2"/>
  <c r="E23" i="2"/>
  <c r="D23" i="2"/>
  <c r="G21" i="2"/>
  <c r="F21" i="2"/>
  <c r="E21" i="2"/>
  <c r="D21" i="2"/>
  <c r="E200" i="3"/>
  <c r="E198" i="3" s="1"/>
  <c r="F200" i="3"/>
  <c r="F198" i="3" s="1"/>
  <c r="G200" i="3"/>
  <c r="G198" i="3" s="1"/>
  <c r="H200" i="3"/>
  <c r="H198" i="3" s="1"/>
  <c r="I200" i="3"/>
  <c r="I198" i="3" s="1"/>
  <c r="J200" i="3"/>
  <c r="J198" i="3" s="1"/>
  <c r="K200" i="3"/>
  <c r="K198" i="3" s="1"/>
  <c r="L200" i="3"/>
  <c r="L198" i="3" s="1"/>
  <c r="C205" i="3"/>
  <c r="C204" i="3"/>
  <c r="C203" i="3"/>
  <c r="C202" i="3"/>
  <c r="C201" i="3"/>
  <c r="C198" i="3" l="1"/>
  <c r="C200" i="3"/>
  <c r="H28" i="2"/>
  <c r="E193" i="3" l="1"/>
  <c r="F193" i="3"/>
  <c r="G193" i="3"/>
  <c r="H193" i="3"/>
  <c r="I193" i="3"/>
  <c r="J193" i="3"/>
  <c r="K193" i="3"/>
  <c r="L193" i="3"/>
  <c r="D193" i="3"/>
  <c r="C197" i="3"/>
  <c r="C194" i="3"/>
  <c r="E186" i="3"/>
  <c r="F186" i="3"/>
  <c r="G186" i="3"/>
  <c r="H186" i="3"/>
  <c r="I186" i="3"/>
  <c r="J186" i="3"/>
  <c r="K186" i="3"/>
  <c r="L186" i="3"/>
  <c r="D186" i="3"/>
  <c r="C188" i="3"/>
  <c r="C189" i="3"/>
  <c r="C191" i="3"/>
  <c r="C192" i="3"/>
  <c r="C187" i="3"/>
  <c r="C185" i="3"/>
  <c r="C183" i="3"/>
  <c r="E178" i="3"/>
  <c r="F178" i="3"/>
  <c r="G178" i="3"/>
  <c r="H178" i="3"/>
  <c r="I178" i="3"/>
  <c r="J178" i="3"/>
  <c r="K178" i="3"/>
  <c r="L178" i="3"/>
  <c r="D178" i="3"/>
  <c r="C180" i="3"/>
  <c r="C181" i="3"/>
  <c r="C179" i="3"/>
  <c r="E175" i="3"/>
  <c r="F175" i="3"/>
  <c r="G175" i="3"/>
  <c r="H175" i="3"/>
  <c r="I175" i="3"/>
  <c r="J175" i="3"/>
  <c r="K175" i="3"/>
  <c r="L175" i="3"/>
  <c r="D175" i="3"/>
  <c r="C177" i="3"/>
  <c r="C176" i="3"/>
  <c r="C168" i="3"/>
  <c r="C169" i="3"/>
  <c r="C170" i="3"/>
  <c r="C171" i="3"/>
  <c r="C167" i="3"/>
  <c r="D165" i="3" l="1"/>
  <c r="J165" i="3"/>
  <c r="K165" i="3"/>
  <c r="G19" i="2" s="1"/>
  <c r="G165" i="3"/>
  <c r="E19" i="2" s="1"/>
  <c r="E165" i="3"/>
  <c r="D19" i="2" s="1"/>
  <c r="I165" i="3"/>
  <c r="F19" i="2" s="1"/>
  <c r="H165" i="3"/>
  <c r="L165" i="3"/>
  <c r="F165" i="3"/>
  <c r="C193" i="3"/>
  <c r="C186" i="3"/>
  <c r="C178" i="3"/>
  <c r="C175" i="3"/>
  <c r="E159" i="3"/>
  <c r="F159" i="3"/>
  <c r="G159" i="3"/>
  <c r="H159" i="3"/>
  <c r="I159" i="3"/>
  <c r="J159" i="3"/>
  <c r="K159" i="3"/>
  <c r="L159" i="3"/>
  <c r="C162" i="3"/>
  <c r="C161" i="3"/>
  <c r="C160" i="3"/>
  <c r="C156" i="3"/>
  <c r="C155" i="3"/>
  <c r="C153" i="3"/>
  <c r="C152" i="3"/>
  <c r="E151" i="3"/>
  <c r="F151" i="3"/>
  <c r="G151" i="3"/>
  <c r="H151" i="3"/>
  <c r="I151" i="3"/>
  <c r="J151" i="3"/>
  <c r="K151" i="3"/>
  <c r="L151" i="3"/>
  <c r="D151" i="3"/>
  <c r="C148" i="3"/>
  <c r="C147" i="3"/>
  <c r="C146" i="3"/>
  <c r="C145" i="3"/>
  <c r="C142" i="3"/>
  <c r="C141" i="3"/>
  <c r="C135" i="3"/>
  <c r="C136" i="3"/>
  <c r="C137" i="3"/>
  <c r="C138" i="3"/>
  <c r="C134" i="3"/>
  <c r="C130" i="3"/>
  <c r="E123" i="3"/>
  <c r="F123" i="3"/>
  <c r="G123" i="3"/>
  <c r="H123" i="3"/>
  <c r="I123" i="3"/>
  <c r="J123" i="3"/>
  <c r="K123" i="3"/>
  <c r="L123" i="3"/>
  <c r="D123" i="3"/>
  <c r="C125" i="3"/>
  <c r="C126" i="3"/>
  <c r="C127" i="3"/>
  <c r="C124" i="3"/>
  <c r="C122" i="3"/>
  <c r="C119" i="3"/>
  <c r="C118" i="3"/>
  <c r="E113" i="3"/>
  <c r="F113" i="3"/>
  <c r="G113" i="3"/>
  <c r="H113" i="3"/>
  <c r="I113" i="3"/>
  <c r="J113" i="3"/>
  <c r="K113" i="3"/>
  <c r="L113" i="3"/>
  <c r="D113" i="3"/>
  <c r="C116" i="3"/>
  <c r="C115" i="3"/>
  <c r="C114" i="3"/>
  <c r="E110" i="3"/>
  <c r="F110" i="3"/>
  <c r="G110" i="3"/>
  <c r="H110" i="3"/>
  <c r="I110" i="3"/>
  <c r="J110" i="3"/>
  <c r="K110" i="3"/>
  <c r="L110" i="3"/>
  <c r="D110" i="3"/>
  <c r="C112" i="3"/>
  <c r="C111" i="3"/>
  <c r="E108" i="3"/>
  <c r="F108" i="3"/>
  <c r="G108" i="3"/>
  <c r="H108" i="3"/>
  <c r="I108" i="3"/>
  <c r="J108" i="3"/>
  <c r="K108" i="3"/>
  <c r="L108" i="3"/>
  <c r="D108" i="3"/>
  <c r="C109" i="3"/>
  <c r="C105" i="3"/>
  <c r="C99" i="3"/>
  <c r="C98" i="3"/>
  <c r="C97" i="3"/>
  <c r="D103" i="3" l="1"/>
  <c r="D95" i="3" s="1"/>
  <c r="F103" i="3"/>
  <c r="F95" i="3" s="1"/>
  <c r="J132" i="3"/>
  <c r="F132" i="3"/>
  <c r="K132" i="3"/>
  <c r="G18" i="2" s="1"/>
  <c r="G132" i="3"/>
  <c r="E18" i="2" s="1"/>
  <c r="L103" i="3"/>
  <c r="L95" i="3" s="1"/>
  <c r="H103" i="3"/>
  <c r="H95" i="3" s="1"/>
  <c r="J103" i="3"/>
  <c r="J95" i="3" s="1"/>
  <c r="C110" i="3"/>
  <c r="C140" i="3"/>
  <c r="K103" i="3"/>
  <c r="G103" i="3"/>
  <c r="L132" i="3"/>
  <c r="H132" i="3"/>
  <c r="D132" i="3"/>
  <c r="I132" i="3"/>
  <c r="F18" i="2" s="1"/>
  <c r="E132" i="3"/>
  <c r="D18" i="2" s="1"/>
  <c r="C117" i="3"/>
  <c r="C108" i="3"/>
  <c r="C151" i="3"/>
  <c r="C159" i="3"/>
  <c r="I103" i="3"/>
  <c r="E103" i="3"/>
  <c r="E95" i="3" s="1"/>
  <c r="C154" i="3"/>
  <c r="C144" i="3"/>
  <c r="C133" i="3"/>
  <c r="C129" i="3"/>
  <c r="C96" i="3"/>
  <c r="C113" i="3"/>
  <c r="C123" i="3"/>
  <c r="C104" i="3"/>
  <c r="C90" i="3"/>
  <c r="C91" i="3"/>
  <c r="C92" i="3"/>
  <c r="C89" i="3"/>
  <c r="D16" i="2"/>
  <c r="E16" i="2"/>
  <c r="G16" i="2"/>
  <c r="E15" i="2"/>
  <c r="F15" i="2"/>
  <c r="G15" i="2"/>
  <c r="C82" i="3"/>
  <c r="C83" i="3"/>
  <c r="C84" i="3"/>
  <c r="C85" i="3"/>
  <c r="C81" i="3"/>
  <c r="C79" i="3"/>
  <c r="C76" i="3"/>
  <c r="K95" i="3" l="1"/>
  <c r="G17" i="2" s="1"/>
  <c r="I95" i="3"/>
  <c r="F17" i="2" s="1"/>
  <c r="G95" i="3"/>
  <c r="E17" i="2" s="1"/>
  <c r="D15" i="2"/>
  <c r="C74" i="3"/>
  <c r="C128" i="3"/>
  <c r="C132" i="3"/>
  <c r="C103" i="3"/>
  <c r="C88" i="3"/>
  <c r="D17" i="2" l="1"/>
  <c r="C95" i="3"/>
  <c r="E63" i="3"/>
  <c r="F63" i="3"/>
  <c r="G63" i="3"/>
  <c r="H63" i="3"/>
  <c r="I63" i="3"/>
  <c r="J63" i="3"/>
  <c r="K63" i="3"/>
  <c r="L63" i="3"/>
  <c r="D63" i="3"/>
  <c r="E71" i="3"/>
  <c r="F71" i="3"/>
  <c r="G71" i="3"/>
  <c r="H71" i="3"/>
  <c r="I71" i="3"/>
  <c r="J71" i="3"/>
  <c r="K71" i="3"/>
  <c r="L71" i="3"/>
  <c r="D71" i="3"/>
  <c r="C70" i="3"/>
  <c r="C67" i="3"/>
  <c r="C65" i="3"/>
  <c r="C64" i="3"/>
  <c r="E58" i="3"/>
  <c r="E42" i="3" s="1"/>
  <c r="F58" i="3"/>
  <c r="F42" i="3" s="1"/>
  <c r="G58" i="3"/>
  <c r="G42" i="3" s="1"/>
  <c r="H58" i="3"/>
  <c r="H42" i="3" s="1"/>
  <c r="I58" i="3"/>
  <c r="I42" i="3" s="1"/>
  <c r="F13" i="2" s="1"/>
  <c r="J58" i="3"/>
  <c r="J42" i="3" s="1"/>
  <c r="K58" i="3"/>
  <c r="K42" i="3" s="1"/>
  <c r="L58" i="3"/>
  <c r="L42" i="3" s="1"/>
  <c r="D58" i="3"/>
  <c r="D42" i="3" s="1"/>
  <c r="C61" i="3"/>
  <c r="C59" i="3"/>
  <c r="C50" i="3"/>
  <c r="C45" i="3"/>
  <c r="C44" i="3"/>
  <c r="C39" i="3"/>
  <c r="E12" i="2"/>
  <c r="F12" i="2"/>
  <c r="G12" i="2"/>
  <c r="C37" i="3"/>
  <c r="C34" i="3"/>
  <c r="E29" i="3"/>
  <c r="F29" i="3"/>
  <c r="G29" i="3"/>
  <c r="H29" i="3"/>
  <c r="I29" i="3"/>
  <c r="J29" i="3"/>
  <c r="K29" i="3"/>
  <c r="L29" i="3"/>
  <c r="D29" i="3"/>
  <c r="C31" i="3"/>
  <c r="C32" i="3"/>
  <c r="C30" i="3"/>
  <c r="C26" i="3"/>
  <c r="C28" i="3"/>
  <c r="E18" i="3"/>
  <c r="F18" i="3"/>
  <c r="G18" i="3"/>
  <c r="H18" i="3"/>
  <c r="I18" i="3"/>
  <c r="J18" i="3"/>
  <c r="J12" i="3" s="1"/>
  <c r="K18" i="3"/>
  <c r="L18" i="3"/>
  <c r="D18" i="3"/>
  <c r="C20" i="3"/>
  <c r="C21" i="3"/>
  <c r="C19" i="3"/>
  <c r="E12" i="3" l="1"/>
  <c r="E62" i="3"/>
  <c r="D62" i="3"/>
  <c r="K62" i="3"/>
  <c r="G14" i="2" s="1"/>
  <c r="L62" i="3"/>
  <c r="J62" i="3"/>
  <c r="I62" i="3"/>
  <c r="F14" i="2" s="1"/>
  <c r="H62" i="3"/>
  <c r="G62" i="3"/>
  <c r="E14" i="2" s="1"/>
  <c r="F62" i="3"/>
  <c r="I12" i="3"/>
  <c r="F11" i="2" s="1"/>
  <c r="F12" i="3"/>
  <c r="L12" i="3"/>
  <c r="K12" i="3"/>
  <c r="G11" i="2" s="1"/>
  <c r="H12" i="3"/>
  <c r="G12" i="3"/>
  <c r="E11" i="2" s="1"/>
  <c r="D12" i="3"/>
  <c r="D12" i="2"/>
  <c r="C18" i="3"/>
  <c r="D14" i="2"/>
  <c r="C43" i="3"/>
  <c r="D13" i="2"/>
  <c r="C71" i="3"/>
  <c r="C49" i="3"/>
  <c r="C63" i="3"/>
  <c r="C58" i="3"/>
  <c r="C35" i="3"/>
  <c r="C38" i="3"/>
  <c r="C29" i="3"/>
  <c r="C15" i="3"/>
  <c r="C16" i="3"/>
  <c r="C14" i="3"/>
  <c r="L11" i="3" l="1"/>
  <c r="L207" i="3" s="1"/>
  <c r="J11" i="3"/>
  <c r="J207" i="3" s="1"/>
  <c r="G13" i="2"/>
  <c r="G10" i="2" s="1"/>
  <c r="K11" i="3"/>
  <c r="K207" i="3" s="1"/>
  <c r="F10" i="2"/>
  <c r="I11" i="3"/>
  <c r="I207" i="3" s="1"/>
  <c r="G11" i="3"/>
  <c r="G207" i="3" s="1"/>
  <c r="E13" i="2"/>
  <c r="E10" i="2" s="1"/>
  <c r="H11" i="3"/>
  <c r="H207" i="3" s="1"/>
  <c r="F11" i="3"/>
  <c r="F207" i="3" s="1"/>
  <c r="C42" i="3"/>
  <c r="C62" i="3"/>
  <c r="C13" i="3"/>
  <c r="D22" i="2"/>
  <c r="D20" i="2" s="1"/>
  <c r="E22" i="2"/>
  <c r="E20" i="2" s="1"/>
  <c r="F22" i="2"/>
  <c r="F20" i="2" s="1"/>
  <c r="G22" i="2"/>
  <c r="G20" i="2" s="1"/>
  <c r="C20" i="2"/>
  <c r="C10" i="2"/>
  <c r="H12" i="2"/>
  <c r="H14" i="2"/>
  <c r="H15" i="2"/>
  <c r="H16" i="2"/>
  <c r="H17" i="2"/>
  <c r="H18" i="2"/>
  <c r="H19" i="2"/>
  <c r="H21" i="2"/>
  <c r="H23" i="2"/>
  <c r="H24" i="2"/>
  <c r="H25" i="2"/>
  <c r="H26" i="2"/>
  <c r="H27" i="2"/>
  <c r="E87" i="1"/>
  <c r="E85" i="1" s="1"/>
  <c r="E86" i="1"/>
  <c r="D85" i="1"/>
  <c r="C85" i="1"/>
  <c r="E77" i="1"/>
  <c r="E65" i="1"/>
  <c r="E64" i="1" s="1"/>
  <c r="E61" i="1"/>
  <c r="D60" i="1"/>
  <c r="D59" i="1" s="1"/>
  <c r="E60" i="1" l="1"/>
  <c r="E59" i="1" s="1"/>
  <c r="E11" i="3"/>
  <c r="E207" i="3" s="1"/>
  <c r="D11" i="2"/>
  <c r="C60" i="1"/>
  <c r="C59" i="1" s="1"/>
  <c r="C29" i="2"/>
  <c r="H13" i="2"/>
  <c r="C12" i="3"/>
  <c r="G29" i="2"/>
  <c r="F29" i="2"/>
  <c r="E29" i="2"/>
  <c r="H22" i="2"/>
  <c r="H20" i="2"/>
  <c r="E55" i="1"/>
  <c r="E56" i="1"/>
  <c r="E54" i="1"/>
  <c r="D53" i="1"/>
  <c r="D52" i="1" s="1"/>
  <c r="C53" i="1"/>
  <c r="C52" i="1" s="1"/>
  <c r="E58" i="1"/>
  <c r="E57" i="1" s="1"/>
  <c r="D57" i="1"/>
  <c r="C57" i="1"/>
  <c r="E47" i="1"/>
  <c r="E46" i="1"/>
  <c r="E37" i="1"/>
  <c r="E36" i="1"/>
  <c r="D35" i="1"/>
  <c r="D34" i="1" s="1"/>
  <c r="C35" i="1"/>
  <c r="C34" i="1" s="1"/>
  <c r="E28" i="1"/>
  <c r="E29" i="1"/>
  <c r="E30" i="1"/>
  <c r="E31" i="1"/>
  <c r="E32" i="1"/>
  <c r="E33" i="1"/>
  <c r="E27" i="1"/>
  <c r="E24" i="1"/>
  <c r="E25" i="1"/>
  <c r="E23" i="1"/>
  <c r="E19" i="1"/>
  <c r="E18" i="1" s="1"/>
  <c r="E17" i="1"/>
  <c r="E16" i="1"/>
  <c r="E15" i="1"/>
  <c r="E13" i="1"/>
  <c r="E12" i="1"/>
  <c r="D22" i="1"/>
  <c r="C22" i="1"/>
  <c r="D26" i="1"/>
  <c r="C26" i="1"/>
  <c r="D14" i="1"/>
  <c r="C14" i="1"/>
  <c r="D11" i="1"/>
  <c r="C11" i="1"/>
  <c r="E14" i="1" l="1"/>
  <c r="E45" i="1"/>
  <c r="H11" i="2"/>
  <c r="D10" i="2"/>
  <c r="C49" i="1"/>
  <c r="D49" i="1"/>
  <c r="D10" i="1"/>
  <c r="D21" i="1"/>
  <c r="D20" i="1" s="1"/>
  <c r="E53" i="1"/>
  <c r="E52" i="1" s="1"/>
  <c r="E49" i="1" s="1"/>
  <c r="C21" i="1"/>
  <c r="C20" i="1" s="1"/>
  <c r="E26" i="1"/>
  <c r="E22" i="1"/>
  <c r="C10" i="1"/>
  <c r="E11" i="1"/>
  <c r="E35" i="1"/>
  <c r="E34" i="1" s="1"/>
  <c r="D29" i="2" l="1"/>
  <c r="H29" i="2" s="1"/>
  <c r="H10" i="2"/>
  <c r="D9" i="1"/>
  <c r="D88" i="1" s="1"/>
  <c r="E21" i="1"/>
  <c r="E20" i="1" s="1"/>
  <c r="C9" i="1"/>
  <c r="C88" i="1" s="1"/>
  <c r="E10" i="1"/>
  <c r="E9" i="1" l="1"/>
  <c r="E88" i="1" s="1"/>
  <c r="C166" i="3" l="1"/>
  <c r="C165" i="3" l="1"/>
  <c r="D11" i="3"/>
  <c r="C11" i="3" l="1"/>
  <c r="C207" i="3" s="1"/>
  <c r="D207" i="3"/>
</calcChain>
</file>

<file path=xl/sharedStrings.xml><?xml version="1.0" encoding="utf-8"?>
<sst xmlns="http://schemas.openxmlformats.org/spreadsheetml/2006/main" count="1667" uniqueCount="885">
  <si>
    <t>1.pielikums</t>
  </si>
  <si>
    <t>Pamatbudžeta ieņēmumi</t>
  </si>
  <si>
    <t>Rādītāju nosaukums</t>
  </si>
  <si>
    <t>Grozījumi</t>
  </si>
  <si>
    <t>Klasifikā-cijas kods</t>
  </si>
  <si>
    <t>01.110.</t>
  </si>
  <si>
    <t>01.111.</t>
  </si>
  <si>
    <t>Saņemts no Valsts kases sadales konta iepriekšējā gada nesadalītais iedzīvotāju ienākuma nodokļa atlikums</t>
  </si>
  <si>
    <t>01.112.</t>
  </si>
  <si>
    <t>Saņemts no Valsts kases sadales konta pārskata gadā ieskaitītais iedzīvotāju ienākuma nodoklis</t>
  </si>
  <si>
    <t>EUR</t>
  </si>
  <si>
    <t>04.100.</t>
  </si>
  <si>
    <t>Nekustamā īpašuma nodoklis</t>
  </si>
  <si>
    <t>04.110.</t>
  </si>
  <si>
    <t>Nekustamā īpašuma nodoklis par zemi</t>
  </si>
  <si>
    <t>04.120.</t>
  </si>
  <si>
    <t>Nekustamā īpašuma nodoklis par ēkām</t>
  </si>
  <si>
    <t>04.130.</t>
  </si>
  <si>
    <t>Nekustamā īpašuma nodoklis par mājokļiem</t>
  </si>
  <si>
    <t>05.410.</t>
  </si>
  <si>
    <t>Azartspēļu nodoklis</t>
  </si>
  <si>
    <t>I. IEŅĒMUMI KOPĀ (1+2+3+4)</t>
  </si>
  <si>
    <t>1. Nodokļu ieņēmumi</t>
  </si>
  <si>
    <t>2. Nenodokļu ieņēmumi</t>
  </si>
  <si>
    <t>08.000.</t>
  </si>
  <si>
    <t>09.000.</t>
  </si>
  <si>
    <t>Valsts (pašvaldību) nodevas un kancelejas nodevas</t>
  </si>
  <si>
    <t>09.400.</t>
  </si>
  <si>
    <t>Valsts nodevas, kuras ieskaita pašvaldību budžetā</t>
  </si>
  <si>
    <t>09.430.</t>
  </si>
  <si>
    <t>Valsts nodeva par uzvārda, vārda un tautības ieraksta maiņu personu apliecinošos dokumentos</t>
  </si>
  <si>
    <t>09.450.</t>
  </si>
  <si>
    <t>Valsts nodevas par laulības reģistrāciju, civilstāvokļa akta reģistra ieraksta aktualizēšanu vai atjaunošanu un atkārtotas civilstāvokļa aktu reģistrācijas apliecības izsniegšanu</t>
  </si>
  <si>
    <t>09.490.</t>
  </si>
  <si>
    <t>Pārējās valsts nodevas, kuras ieskaita pašvaldību budžetā</t>
  </si>
  <si>
    <t>09.500.</t>
  </si>
  <si>
    <t>Pašvaldību nodevas</t>
  </si>
  <si>
    <t>09.511.</t>
  </si>
  <si>
    <t>Pašvaldību nodeva par domes izstrādāto oficiālo dokumentu un apliecinātu to kopiju saņemšanu</t>
  </si>
  <si>
    <t>09.512.</t>
  </si>
  <si>
    <t>09.514.</t>
  </si>
  <si>
    <t>09.515.</t>
  </si>
  <si>
    <t>09.517.</t>
  </si>
  <si>
    <t>09.521.</t>
  </si>
  <si>
    <t>09.529.</t>
  </si>
  <si>
    <t>Pašvaldības nodeva par izklaidējoša rakstura pasākumu sarīkošanu publiskās vietās</t>
  </si>
  <si>
    <t>Pašvaldības nodeva par tirdzniecību publiskās vietās</t>
  </si>
  <si>
    <t>Pašvaldības nodeva par dzīvnieku turēšanu</t>
  </si>
  <si>
    <t>Pašvaldības nodeva par reklāmas, afišu un sludinājumu izvietošanu publiskās vietās</t>
  </si>
  <si>
    <t>Pārējās nodevas, ko uzliek pašvaldības</t>
  </si>
  <si>
    <t>10.000.</t>
  </si>
  <si>
    <t>Naudas sodi un sankcijas</t>
  </si>
  <si>
    <t>10.140.</t>
  </si>
  <si>
    <t>Naudas sodi, ko uzliek pašvaldības</t>
  </si>
  <si>
    <t>10.100.</t>
  </si>
  <si>
    <t>Naudas sodi</t>
  </si>
  <si>
    <t>10.154.</t>
  </si>
  <si>
    <t>Naudas sodi, ko uzliek pašvaldību institūcijas par pārkāpumiem ceļu satiksmē</t>
  </si>
  <si>
    <t>12.000.</t>
  </si>
  <si>
    <t>Pārējie nenodokļu ieņēmumi</t>
  </si>
  <si>
    <t>12.390.</t>
  </si>
  <si>
    <t>13.000.</t>
  </si>
  <si>
    <t>13.100.</t>
  </si>
  <si>
    <t>Ieņēmumi no ēku un būvju īpašuma pārdošanas</t>
  </si>
  <si>
    <t>Ieņēmumi no (valsts) pašvaldību īpašuma iznomāšanas, pārdošanas un no nodokļu pamatparāda kapitalizācijas</t>
  </si>
  <si>
    <t>3. Transferti</t>
  </si>
  <si>
    <t>18.000.</t>
  </si>
  <si>
    <t>Valsts budžeta transferti</t>
  </si>
  <si>
    <t>18.600.</t>
  </si>
  <si>
    <t>18.620.</t>
  </si>
  <si>
    <t>18.630.</t>
  </si>
  <si>
    <t>18.640.</t>
  </si>
  <si>
    <t>Pašvaldību no valsts budžeta iestādēm saņemtie transferti Eiropas Savienības politiku instrumentu un pārējās ārvalstu finanšu palīdzības līdzfinansētajiem projektiem (pasākumiem)</t>
  </si>
  <si>
    <t>Pašvaldību budžetā saņemtā dotācija no pašvaldību finanšu izlīdzināšanas fonda</t>
  </si>
  <si>
    <t>19.000.</t>
  </si>
  <si>
    <t>19.200.</t>
  </si>
  <si>
    <t>Pašvaldību saņemtie transferti no citām pašvaldībām</t>
  </si>
  <si>
    <t>4. Maksas pakalpojumi un citi pašu ieņēmumi</t>
  </si>
  <si>
    <t>21.000.</t>
  </si>
  <si>
    <t>Iestādes ieņēmumi</t>
  </si>
  <si>
    <t>21.100.</t>
  </si>
  <si>
    <t>Iestādes ieņēmumi no ārvalstu finanšu palīdzības</t>
  </si>
  <si>
    <t>21.300.</t>
  </si>
  <si>
    <t>Ieņēmumi no iestāžu sniegtajiem maksas pakalpojumiem un citi pašu ieņēmumi</t>
  </si>
  <si>
    <t>21.340.</t>
  </si>
  <si>
    <t>21.350.</t>
  </si>
  <si>
    <t>21.370.</t>
  </si>
  <si>
    <t>21.380.</t>
  </si>
  <si>
    <t>21.390.</t>
  </si>
  <si>
    <t>Procentu ieņēmumi par maksas pakalpojumu un citu pašu ieņēmumu ieguldījumiem depozītā vai kontu atlikumiem</t>
  </si>
  <si>
    <t>Maksa par izglītības pakalpojumiem</t>
  </si>
  <si>
    <t>Ieņēmumi par nomu un īri</t>
  </si>
  <si>
    <t>Ieņēmumi par dokumentu izsniegšanu un kancelejas pakalpojumiem</t>
  </si>
  <si>
    <t>II. FINANSĒŠANA</t>
  </si>
  <si>
    <t>F21010000</t>
  </si>
  <si>
    <t>F40020000</t>
  </si>
  <si>
    <t>Naudas līdzekļi uz perioda sākumu</t>
  </si>
  <si>
    <t>PAVISAM RESURSI (I+II)</t>
  </si>
  <si>
    <t>Grozījumi         + vai -</t>
  </si>
  <si>
    <t>Valdības funkcija</t>
  </si>
  <si>
    <t>Resursi izdevumu segšanai</t>
  </si>
  <si>
    <t>Dotācija no vispārējiem ieņēmumiem</t>
  </si>
  <si>
    <t>Budžeta iestāžu ieņēmumi</t>
  </si>
  <si>
    <t>Domes priekšsēdētājs</t>
  </si>
  <si>
    <t>A.Rāviņš</t>
  </si>
  <si>
    <t>I. Izdevumi atbilstoši funkcionālajām kategorijām</t>
  </si>
  <si>
    <t>Pamatbudžeta izdevumu grozījumi</t>
  </si>
  <si>
    <t>01.000.</t>
  </si>
  <si>
    <t>03.000.</t>
  </si>
  <si>
    <t>04.000.</t>
  </si>
  <si>
    <t>05.000.</t>
  </si>
  <si>
    <t>06.000.</t>
  </si>
  <si>
    <t>07.000.</t>
  </si>
  <si>
    <t>II. Finansēšana</t>
  </si>
  <si>
    <t>F40320020</t>
  </si>
  <si>
    <t>F50010000</t>
  </si>
  <si>
    <t>Vispārējie valdības dienesti</t>
  </si>
  <si>
    <t>Sabiedriskā kārtība un drošība</t>
  </si>
  <si>
    <t>Ekonomiskā darbība</t>
  </si>
  <si>
    <t>Vides aizsardzība</t>
  </si>
  <si>
    <t>Teritoriju un mājokļu apsaimniekošana</t>
  </si>
  <si>
    <t>Veselība</t>
  </si>
  <si>
    <t>Atpūta, kultūra un reliģija</t>
  </si>
  <si>
    <t>Izglītība</t>
  </si>
  <si>
    <t>Sociālā aizsardzība</t>
  </si>
  <si>
    <t>Saņemto ilgtermiņa aizņēmumu atmaksa</t>
  </si>
  <si>
    <t>Akcijas un cita līdzdalība komersantu pašu kapitālā</t>
  </si>
  <si>
    <t>PAVISAM IZDEVUMI (I+II)</t>
  </si>
  <si>
    <t>Naudas līdzekļu atlikums uz perioda beigām</t>
  </si>
  <si>
    <t>2.pielikums</t>
  </si>
  <si>
    <t>Pamatbudžeta izdevumu atšifrējums pa programmām</t>
  </si>
  <si>
    <t>Grozījumi dotācijai no vispārējiem ieņēmumiem</t>
  </si>
  <si>
    <t>Grozījumi valsts budžeta transfertiem</t>
  </si>
  <si>
    <t>Pašvaldību budžeta transferti</t>
  </si>
  <si>
    <t>3.pielikums</t>
  </si>
  <si>
    <t>Grozījumi pašvaldību budžeta transfertiem</t>
  </si>
  <si>
    <t>Grozījumi budžeta iestāžu ieņēmumiem</t>
  </si>
  <si>
    <t>Izpildvaras un likumdošanas varas institūcijas</t>
  </si>
  <si>
    <t>Izpildvaras institūcija</t>
  </si>
  <si>
    <t>01.113.</t>
  </si>
  <si>
    <t>01.114.</t>
  </si>
  <si>
    <t>01.120.</t>
  </si>
  <si>
    <t>01.122.</t>
  </si>
  <si>
    <t>01.123.</t>
  </si>
  <si>
    <t>01.124.</t>
  </si>
  <si>
    <t>01.330.</t>
  </si>
  <si>
    <t>01.600.</t>
  </si>
  <si>
    <t>01.720.</t>
  </si>
  <si>
    <t>01.830.</t>
  </si>
  <si>
    <t>01.831.</t>
  </si>
  <si>
    <t>01.832.</t>
  </si>
  <si>
    <t>01.833.</t>
  </si>
  <si>
    <t>01.890.</t>
  </si>
  <si>
    <t>Projekts "Komunikācija ar sabiedrību tās iesaistei pašvaldību lēmumu pieņemšanā"</t>
  </si>
  <si>
    <t>Nekustamā īpašuma nodokļa un citu pašvaldības ieņēmumu administrēšana</t>
  </si>
  <si>
    <t>Vēlēšanu organizēšana</t>
  </si>
  <si>
    <t>Parāda procentu nomaksa</t>
  </si>
  <si>
    <t>Vispārēja rakstura transferti no pašvaldību budžeta pašvaldību budžetam</t>
  </si>
  <si>
    <t>Iemaksas pašvaldību finanšu izlīdzināšanas fondā</t>
  </si>
  <si>
    <t>Izdevumi neparedzētiem gadījumiem</t>
  </si>
  <si>
    <t>Centralizēto datoru un datortīkla uzturēšana</t>
  </si>
  <si>
    <t>03.110.</t>
  </si>
  <si>
    <t>03.200.</t>
  </si>
  <si>
    <t>03.202.</t>
  </si>
  <si>
    <t>Ugunsdrošības, ugunsdzēsības, glābšanas un civilās drošības dienesti</t>
  </si>
  <si>
    <t>04.510.</t>
  </si>
  <si>
    <t>04.511.</t>
  </si>
  <si>
    <t>04.515.</t>
  </si>
  <si>
    <t>04.730.</t>
  </si>
  <si>
    <t>04.733.</t>
  </si>
  <si>
    <t>04.900.</t>
  </si>
  <si>
    <t>04.901.</t>
  </si>
  <si>
    <t>04.909.</t>
  </si>
  <si>
    <t>Autotransports</t>
  </si>
  <si>
    <t>Zaudējumu kompensācija pašvaldības SIA "Jelgavas autobusu parks"</t>
  </si>
  <si>
    <t>Tūrisms</t>
  </si>
  <si>
    <t>Pārējā nekur citur neklasificētā ekonomiskā darbība</t>
  </si>
  <si>
    <t>Zemes reformas darbība, zemes īpašuma un lietošanas tiesību pārveidošana</t>
  </si>
  <si>
    <t>Dotācija "Zemgales plānošanas reģions"</t>
  </si>
  <si>
    <t>05.100.</t>
  </si>
  <si>
    <t>05.101.</t>
  </si>
  <si>
    <t>05.102.</t>
  </si>
  <si>
    <t>05.202.</t>
  </si>
  <si>
    <t>05.300.</t>
  </si>
  <si>
    <t>05.600.</t>
  </si>
  <si>
    <t>Atkritumu apsaimniekošana</t>
  </si>
  <si>
    <t>Notekūdeņu apsaimniekošana</t>
  </si>
  <si>
    <t>Pārējā nekur citur neklasificētā vides aizsardzība</t>
  </si>
  <si>
    <t>Pilsētas sanitārā tīrīšana (SIA "Zemgales EKO" funkcija)</t>
  </si>
  <si>
    <t>Ielu, laukumu, publisko dārzu un parku tīrīšana un atkritumu savākšana</t>
  </si>
  <si>
    <t>06.201.</t>
  </si>
  <si>
    <t>06.401.</t>
  </si>
  <si>
    <t>06.600.</t>
  </si>
  <si>
    <t>06.601.</t>
  </si>
  <si>
    <t>06.602.</t>
  </si>
  <si>
    <t>06.603.</t>
  </si>
  <si>
    <t>06.604.</t>
  </si>
  <si>
    <t>06.606.</t>
  </si>
  <si>
    <t>Ielu apgaismošana</t>
  </si>
  <si>
    <t>Pašvaldības dzīvokļu pārvaldīšana, remonts un veco māju nojaukšana</t>
  </si>
  <si>
    <t>Projektu sagatavošana, izstrāde un teritoriju attīstība</t>
  </si>
  <si>
    <t>07.100.</t>
  </si>
  <si>
    <t>07.200.</t>
  </si>
  <si>
    <t>07.300.</t>
  </si>
  <si>
    <t>07.450.</t>
  </si>
  <si>
    <t>Ārstniecības līdzekļi</t>
  </si>
  <si>
    <t>Ambulatoru ārstniecības iestāžu darbība un pakalpojumi</t>
  </si>
  <si>
    <t>Slimnīcu pakalpojumi</t>
  </si>
  <si>
    <t>Veselības veicināšanas pasākumi</t>
  </si>
  <si>
    <t>08.100.</t>
  </si>
  <si>
    <t>08.101.</t>
  </si>
  <si>
    <t>08.103.</t>
  </si>
  <si>
    <t>08.105.</t>
  </si>
  <si>
    <t>08.200.</t>
  </si>
  <si>
    <t>08.210.</t>
  </si>
  <si>
    <t>08.211.</t>
  </si>
  <si>
    <t>08.220.</t>
  </si>
  <si>
    <t>08.221.</t>
  </si>
  <si>
    <t>08.230.</t>
  </si>
  <si>
    <t>08.231.</t>
  </si>
  <si>
    <t>08.232.</t>
  </si>
  <si>
    <t>08.240.</t>
  </si>
  <si>
    <t>08.241.</t>
  </si>
  <si>
    <t>08.242.</t>
  </si>
  <si>
    <t>08.243.</t>
  </si>
  <si>
    <t>08.290.</t>
  </si>
  <si>
    <t>08.291.</t>
  </si>
  <si>
    <t>08.292.</t>
  </si>
  <si>
    <t>08.331.</t>
  </si>
  <si>
    <t>08.400.</t>
  </si>
  <si>
    <t>08.401.</t>
  </si>
  <si>
    <t>08.402.</t>
  </si>
  <si>
    <t>08.403.</t>
  </si>
  <si>
    <t>08.405.</t>
  </si>
  <si>
    <t>Atpūtas un sporta pasākumi</t>
  </si>
  <si>
    <t>Dotācijas sporta pasākumiem</t>
  </si>
  <si>
    <t>Kultūra</t>
  </si>
  <si>
    <t>Bibliotēkas</t>
  </si>
  <si>
    <t>Muzeji un izstādes</t>
  </si>
  <si>
    <t>Kultūras centri, nami un klubi</t>
  </si>
  <si>
    <t>Teātri, izrādes un koncertdarbība</t>
  </si>
  <si>
    <t>Jelgavas kamerorķestra darbības nodrošināšana</t>
  </si>
  <si>
    <t>Jelgavas Ā.Alunāna teātra darbības nodrošināšana</t>
  </si>
  <si>
    <t>Pārējā citur neklasificētā kultūra</t>
  </si>
  <si>
    <t>Tautas mākslas kolektīvu darbības nodrošināšana</t>
  </si>
  <si>
    <t>Pilsētas nozīmes pasākumi</t>
  </si>
  <si>
    <t>Reliģisko organizāciju un citu biedrību un nodibinājumu pakalpojumi</t>
  </si>
  <si>
    <t>Dotācijas projektu realizācijai NVO</t>
  </si>
  <si>
    <t>Kultūras padomes finansētie pasākumi</t>
  </si>
  <si>
    <t>09.100.</t>
  </si>
  <si>
    <t>Pirmsskolas izglītība</t>
  </si>
  <si>
    <t>09.200.</t>
  </si>
  <si>
    <t>09.210.</t>
  </si>
  <si>
    <t>09.219.1.</t>
  </si>
  <si>
    <t>09.219.2.</t>
  </si>
  <si>
    <t>09.219.3.</t>
  </si>
  <si>
    <t>09.222.2.</t>
  </si>
  <si>
    <t>09.222.3.</t>
  </si>
  <si>
    <t>09.510.</t>
  </si>
  <si>
    <t>09.513.</t>
  </si>
  <si>
    <t>09.518.</t>
  </si>
  <si>
    <t>09.530.</t>
  </si>
  <si>
    <t>09.531.</t>
  </si>
  <si>
    <t>09.532.</t>
  </si>
  <si>
    <t>09.520.</t>
  </si>
  <si>
    <t>09.522.</t>
  </si>
  <si>
    <t>09.810.</t>
  </si>
  <si>
    <t>09.811.</t>
  </si>
  <si>
    <t>09.812.</t>
  </si>
  <si>
    <t>09.812.3.</t>
  </si>
  <si>
    <t>09.101.</t>
  </si>
  <si>
    <t>Jelgavas vispārizglītojošo skolu projektu īstenošana</t>
  </si>
  <si>
    <t>Profesionālā vidējā izglītība</t>
  </si>
  <si>
    <t>Interešu un profesionālās ievirzes izglītība</t>
  </si>
  <si>
    <t>Pamatizglītība, vispārējā un profesionālā izglītība</t>
  </si>
  <si>
    <t>09.222.</t>
  </si>
  <si>
    <t>Jelgavas Amatu vidusskolas projektu īstenošana</t>
  </si>
  <si>
    <t>Bērnu un jauniešu izglītības centra "Junda" projektu īstenošana</t>
  </si>
  <si>
    <t>Pārējā izglītības vadība</t>
  </si>
  <si>
    <t>Pirmsskolas izglītības iestāžu darbības nodrošināšana</t>
  </si>
  <si>
    <t>10.120.</t>
  </si>
  <si>
    <t>10.121.</t>
  </si>
  <si>
    <t>10.122.</t>
  </si>
  <si>
    <t>10.123.</t>
  </si>
  <si>
    <t>10.124.</t>
  </si>
  <si>
    <t>10.125.</t>
  </si>
  <si>
    <t>10.200.</t>
  </si>
  <si>
    <t>10.201.</t>
  </si>
  <si>
    <t>10.202.</t>
  </si>
  <si>
    <t>10.400.</t>
  </si>
  <si>
    <t>10.402.</t>
  </si>
  <si>
    <t>10.403.</t>
  </si>
  <si>
    <t>10.504.</t>
  </si>
  <si>
    <t>10.601.</t>
  </si>
  <si>
    <t>10.700.</t>
  </si>
  <si>
    <t>10.701.</t>
  </si>
  <si>
    <t>10.704.</t>
  </si>
  <si>
    <t>10.705.2.</t>
  </si>
  <si>
    <t>10.707.</t>
  </si>
  <si>
    <t>10.900.</t>
  </si>
  <si>
    <t>10.921.</t>
  </si>
  <si>
    <t>10.922.</t>
  </si>
  <si>
    <t>Dienas centrs "Integra"</t>
  </si>
  <si>
    <t>Dienas centrs "Atbalsts"</t>
  </si>
  <si>
    <t>Grupu dzīvokļi</t>
  </si>
  <si>
    <t>Sociālās un medicīniskās aprūpes centrs</t>
  </si>
  <si>
    <t>Palīdzība veciem cilvēkiem</t>
  </si>
  <si>
    <t>Atbalsts ģimenēm ar bērniem</t>
  </si>
  <si>
    <t>Sociālā palīdzība ģimenēm ar bērniem un vardarbībā cietušo bērnu rehabilitācija</t>
  </si>
  <si>
    <t>Atbalsts bezdarba gadījumā</t>
  </si>
  <si>
    <t>Dzīvokļa pabalsts un pabalsts individuālās apkures nodrošināšanai</t>
  </si>
  <si>
    <t>Pārējais citur neklasificētais atbalsts sociāli atstumtām personām</t>
  </si>
  <si>
    <t>Sociālā māja un sociālie dzīvokļi</t>
  </si>
  <si>
    <t>JSLP Naktspatversme</t>
  </si>
  <si>
    <t>Higiēnas centrs</t>
  </si>
  <si>
    <t>Pārējā citur neklasificētā sociālā aizsardzība</t>
  </si>
  <si>
    <t>10.911.</t>
  </si>
  <si>
    <t>Braukšanas maksas atvieglojumi skolēniem sabiedriskajā transportā</t>
  </si>
  <si>
    <t>Sociālā aizsardzība invaliditātes gadījumā</t>
  </si>
  <si>
    <t>PAVISAM IZDEVUMI ( I+II)</t>
  </si>
  <si>
    <t>Pašvaldību budžetu transferti</t>
  </si>
  <si>
    <t>Ieņēmumi par pārējiem sniegtajiem maksas pakalpojumiem</t>
  </si>
  <si>
    <t>Transferti citām pašvaldībām izglītības funkciju nodrošināšanai</t>
  </si>
  <si>
    <t>Transferti citām pašvaldībām sociālās aizsardzības funkciju nodrošināšanai</t>
  </si>
  <si>
    <t>Ceļu un ielu infrastruktūras funkcionēšana, izmantošana, būvniecība un uzturēšana</t>
  </si>
  <si>
    <t>Pašvaldības teritorijas, kapsētu un mežu apsaimniekošana, klaiņojošo dzīvnieku likvidācija</t>
  </si>
  <si>
    <t>Ar pašvaldības teritoriju saistīto normatīvo aktu un standartu sagatavošana un ieviešana</t>
  </si>
  <si>
    <t>Jelgavas bigbenda darbības nodrošināšana</t>
  </si>
  <si>
    <t>Atbalsts gados veciem cilvēkiem</t>
  </si>
  <si>
    <t>Pabalsti ārkārtas gadījumos, citi pabalsti un kompensācijas</t>
  </si>
  <si>
    <t>No valsts budžeta daļēji finansēto atvasināto publisko personu un budžeta nefinansēto iestāžu transferti</t>
  </si>
  <si>
    <t>Pašvaldību saņemtie transferti no valsts budžeta daļēji finansētām atvasinātām publiskām personām un no budžeta nefinansētām iestādēm</t>
  </si>
  <si>
    <t>09.533.</t>
  </si>
  <si>
    <t>10.127.</t>
  </si>
  <si>
    <t>13.400.</t>
  </si>
  <si>
    <t>Ieņēmumi no valsts un pašvaldību kustamā īpašuma un mantas realizācijas</t>
  </si>
  <si>
    <t>SIA "Jelgavas pilsētas slimnīca"</t>
  </si>
  <si>
    <t>SIA "Jelgavas poliklīnika"</t>
  </si>
  <si>
    <t xml:space="preserve"> SIA "Jelgavas ūdens"</t>
  </si>
  <si>
    <t>SIA "Zemgales olimpiskais centrs"</t>
  </si>
  <si>
    <t>SIA "Jelgavas ūdens"</t>
  </si>
  <si>
    <t>06.607.</t>
  </si>
  <si>
    <t>Pašvaldības līdzfinansējums energoefektivitātes paaugstināšanas pasākumu veikšanai daudzdzīvokļu dzīvojamās mājās</t>
  </si>
  <si>
    <t>09.219.5.</t>
  </si>
  <si>
    <t>21.150.</t>
  </si>
  <si>
    <t xml:space="preserve">Eiropas Savienības līdzfinansējums Kohēzijas un Eiropas Savienības struktūrfondu projektu īstenošanai </t>
  </si>
  <si>
    <t>PI "Pašvaldības iestāžu centralizētā grāmatvedība" darbības nodrošināšana</t>
  </si>
  <si>
    <t>PI "Jelgavas pilsētas pašvaldības policija" darbības nodrošināšana</t>
  </si>
  <si>
    <t>PI "Pašvaldības operatīvās informācijas centrs" darbības nodrošināšana</t>
  </si>
  <si>
    <t>PI "Jelgavas reģionālais tūrisma centrs" darbības nodrošināšana</t>
  </si>
  <si>
    <t>PI "Pilsētsaimniecība" darbības nodrošināšana</t>
  </si>
  <si>
    <t>PI "Sporta servisa centrs" darbības nodrošināšana</t>
  </si>
  <si>
    <t>PI "Jelgavas pilsētas bibliotēka" darbības nodrošināšana</t>
  </si>
  <si>
    <t>PI "Ģ.Eliasa Jelgavas Vēstures un mākslas muzejs" darbības nodrošināšana</t>
  </si>
  <si>
    <t>PI "Kultūra" darbības nodrošināšana</t>
  </si>
  <si>
    <t>PI "Kultūra" pasākumi</t>
  </si>
  <si>
    <t>PI "Zemgales INFO" darbības nodrošināšana</t>
  </si>
  <si>
    <t>PI "Zemgales reģionālais kompetenču attīstības centrs" darbības nodrošināšana</t>
  </si>
  <si>
    <t>PI "Zemgales reģionālais kompetenču attīstības centrs" projektu īstenošana</t>
  </si>
  <si>
    <t>PI "Jelgavas izglītības pārvalde" darbības nodrošināšana</t>
  </si>
  <si>
    <t>PI "Jelgavas izglītības pārvalde" projektu īstenošana</t>
  </si>
  <si>
    <t>PI "Jelgavas izglītības pārvalde" iekļaujošas izglītības atbalsta centrs</t>
  </si>
  <si>
    <t>PI "Jelgavas pilsētas bāriņtiesa" darbības nodrošināšana</t>
  </si>
  <si>
    <t>PI "Jelgavas sociālo lietu pārvalde" darbības nodrošināšana</t>
  </si>
  <si>
    <t>SIA "Medicīnas sabiedrība OPTIMA -1"</t>
  </si>
  <si>
    <t>SIA "Medicīnas sabiedrība OPTIMA - 1"</t>
  </si>
  <si>
    <t>GMI pabalsts, mirušo apbedīšanas izdevumi un citi naudas maksājumi maznodrošinātām un neaizsargātām personām</t>
  </si>
  <si>
    <t>Invalīdu rehabilitācijas pasākumi, invalīdu transports u.c. kompensācijas</t>
  </si>
  <si>
    <t>Jelgavas vispārizglītojošo skolu darbības nodrošināšana</t>
  </si>
  <si>
    <t>Jelgavas Amatu vidusskolas darbības nodrošināšana</t>
  </si>
  <si>
    <t>Jelgavas Mākslas skolas darbības nodrošināšana</t>
  </si>
  <si>
    <t>Jelgavas sporta skolu darbības nodrošināšana</t>
  </si>
  <si>
    <t>04.735.</t>
  </si>
  <si>
    <t>07.452.</t>
  </si>
  <si>
    <t>08.213.</t>
  </si>
  <si>
    <t>01.331.</t>
  </si>
  <si>
    <t>Pārējo vispārējas nozīmes dienestu darbība un pakalpojumi</t>
  </si>
  <si>
    <t>01.332.</t>
  </si>
  <si>
    <t>05.603.</t>
  </si>
  <si>
    <t>12.340.</t>
  </si>
  <si>
    <t>12.349.</t>
  </si>
  <si>
    <t>Ieņēmumi no budžeta iestādēm atmaksātiem pārējiem debitoru parādiem</t>
  </si>
  <si>
    <t>Ieņēmumi no budžeta iestāžu saņemto un iepriekšējos gados neizlietoto budžeta līdzekļu atmaksāšanas</t>
  </si>
  <si>
    <t>03.206.</t>
  </si>
  <si>
    <t>06.608.</t>
  </si>
  <si>
    <t>21.400.</t>
  </si>
  <si>
    <t>08.295.</t>
  </si>
  <si>
    <t>04.740.</t>
  </si>
  <si>
    <t>Vairāku mērķu attīstības projekti</t>
  </si>
  <si>
    <t>04.742.</t>
  </si>
  <si>
    <t>ERAF projekts "Kompleksu pasākumu īstenošana Svētes upes caurplūdes atjaunošanai un plūdu apdraudējuma samazināšanai piegulošajās teritorijās"</t>
  </si>
  <si>
    <t>04.743.</t>
  </si>
  <si>
    <t>ERAF projekts "Jelgavas lidlauka poldera dambja pārbūve plūdu draudu novēršanai"</t>
  </si>
  <si>
    <t>05.306.</t>
  </si>
  <si>
    <t>Eiropas Kohēzijas fonda projekts "Videi draudzīgas sabiedriskā transporta infrastruktūras attīstība Jelgavā"</t>
  </si>
  <si>
    <t>Pašvaldības izglītības iestāžu investīciju projekts "Jelgavas pilsētas pašvaldības ēkas Zemgales prospekts 7 pārbūve un jaunais būvapjoms (piebūve)", I un III kārta</t>
  </si>
  <si>
    <t>09.519.02.</t>
  </si>
  <si>
    <t>ERAF projekts "Jelgavas pilsētas pašvaldības ēkas Zemgales prospekts 7 energoefektivitātes paaugstināšana", II kārta</t>
  </si>
  <si>
    <t>09.519.03.</t>
  </si>
  <si>
    <t>09.110.</t>
  </si>
  <si>
    <t>ERAF projekts "Jelgavas pilsētas pašvaldības pirmsskolas izglītības iestādes "Sprīdītis" energoefektivitātes paaugstināšana"</t>
  </si>
  <si>
    <t>09.222.7.</t>
  </si>
  <si>
    <t>Eiropas Kohēzijas fonda projekts "Loka maģistrāles pārbūve posmā no Kalnciema ceļa līdz Jelgavas pilsētas administratīvajai robežai"</t>
  </si>
  <si>
    <t>04.510.526.</t>
  </si>
  <si>
    <t>04.737.</t>
  </si>
  <si>
    <t>ERAF projekts "Nozīmīga kultūrvēsturiskā mantojuma saglabāšana un attīstība kultūras tūrisma piedāvājuma pilnveidošanai Zemgales reģionā"</t>
  </si>
  <si>
    <t>ESF projekts "Kompleksu veselības veicināšanas un slimību profilakses pasākumu īstenošana Jelgavas pilsētā, 1.kārta"</t>
  </si>
  <si>
    <t>ESF projekts "Atver sirdi Zemgalē"</t>
  </si>
  <si>
    <t>ESF projekts "Proti un dari"</t>
  </si>
  <si>
    <t>Interreg V-A Latvijas - Lietuvas programmas projekts "Pilsētas iedzīvotāju kartes pieejamo pakalpojumu pilnveidošana Jelgavā un Šauļos"</t>
  </si>
  <si>
    <t>Interreg V-A Latvijas - Lietuvas programmas projekts "Vides risku pārvaldības resursu pilnveidošana pierobežas reģionā, lai efektīvi veiktu vides aizsardzības pasākumus"</t>
  </si>
  <si>
    <t xml:space="preserve">Interreg V-A Latvijas - Lietuvas programmas projekts "Starptautiskais kultūras tūrisma maršruts "Baltu ceļš"" </t>
  </si>
  <si>
    <t>Interreg V-A Latvijas - Lietuvas programmas projekts "Civilās aizsardzības sistēmas pilnveidošana Jelgavā un Šauļos"</t>
  </si>
  <si>
    <t>ES Horizon 2020 programmas projekts  "THERMOS - termālās enerģijas resursu modelēšanas un optimizācijas sistēma"</t>
  </si>
  <si>
    <t>12.399.</t>
  </si>
  <si>
    <t>Pārējie 21.300.grupā neklasificētie iestāžu ieņēmumi par iestāžu sniegtajiem maksas pakalpojumiem un citu pašu ieņēmumi</t>
  </si>
  <si>
    <t>08.108.</t>
  </si>
  <si>
    <t>Projekts "Atklātā amfiteātra tipa brīvdabas estrādes segtā jumta projektēšana un izbūve"</t>
  </si>
  <si>
    <t>07.623.</t>
  </si>
  <si>
    <t>ERAF projekts "Mācību vides uzlabošana Jelgavas Valsts ģimnāzijā un Jelgavas Tehnoloģiju vidusskolā"</t>
  </si>
  <si>
    <t>10.128.</t>
  </si>
  <si>
    <t>Nosaukums</t>
  </si>
  <si>
    <t>Pārējie dažādi nenodokļu ieņēmumi, kas nav iepriekš klasificēti šajā klasifikācijā</t>
  </si>
  <si>
    <t>Nodibinājums "Jelgavnieku veselības veicināšanas fonds"</t>
  </si>
  <si>
    <t>08.109.</t>
  </si>
  <si>
    <t>Dienas centrs "Harmonija"</t>
  </si>
  <si>
    <t>Piedzītie un labprātīgi atmaksātie līdzekļi</t>
  </si>
  <si>
    <t>12.395.</t>
  </si>
  <si>
    <t>04.510.527.</t>
  </si>
  <si>
    <t>ERAF projekts "Tehniskās infrastruktūras sakārtošana uzņēmējdarbības attīstībai degradētajā teritorijā, 1.kārta"</t>
  </si>
  <si>
    <t>04.510.528.</t>
  </si>
  <si>
    <t>Projekts "Miera ielas un Aizsargu ielas asfalta seguma atjaunošana un tilta pār Platones upi pārbūve"</t>
  </si>
  <si>
    <t>09.219.6.</t>
  </si>
  <si>
    <t>ERAF projekts "Jelgavas Amatu vidusskolas infrastruktūras uzlabošana un mācību aprīkojuma modernizācija, 2.kārta"</t>
  </si>
  <si>
    <t>JELGAVAS PILSĒTAS PAŠVALDĪBAS 2019.GADA BUDŽETS</t>
  </si>
  <si>
    <t>Plāns 2019.gadam</t>
  </si>
  <si>
    <t>01.100.</t>
  </si>
  <si>
    <t>Ieņēmumi no iedzīvotāju ienākuma nodokļa</t>
  </si>
  <si>
    <t>05.400.</t>
  </si>
  <si>
    <t>Nodokļi atsevišķām precēm un pakalpojumu veidiem</t>
  </si>
  <si>
    <t>Pašvaldības nodeva par būvatļaujas izdošanu vai būvniecības ieceres akceptu</t>
  </si>
  <si>
    <t>Citi dažādi nenodokļu ieņēmumi</t>
  </si>
  <si>
    <t>12.393.</t>
  </si>
  <si>
    <t>Līgumsodi un procentu maksājumi par saistību neizpildi</t>
  </si>
  <si>
    <t>13.210.</t>
  </si>
  <si>
    <t>17.000.</t>
  </si>
  <si>
    <t>17.200.</t>
  </si>
  <si>
    <t>Pašvaldību saņemtie transferti no valsts budžeta</t>
  </si>
  <si>
    <t>Pašvaldību saņemtie valsts budžeta transferti</t>
  </si>
  <si>
    <t>Saņemtie aizņēmumi</t>
  </si>
  <si>
    <t>Naudas līdzekļu atlikums uz 31.12.2018.</t>
  </si>
  <si>
    <t>Ieņēmumi no zemes īpašuma pārdošanas</t>
  </si>
  <si>
    <t>21.194.</t>
  </si>
  <si>
    <t>Ieņēmumi no vadošā partnera partneru grupas īstenotajiem ārvalstu finanšu palīdzības projektiem</t>
  </si>
  <si>
    <t>21.351.</t>
  </si>
  <si>
    <t>Mācību maksa</t>
  </si>
  <si>
    <t>Pārējie ieņēmumi par izglītības pakalpojumiem</t>
  </si>
  <si>
    <t>21.379.</t>
  </si>
  <si>
    <t>21.359.</t>
  </si>
  <si>
    <t>Ieņēmumi par pārējo dokumentu izsniegšanu un pārējiem kancelejas pakalpojumiem</t>
  </si>
  <si>
    <t>21.831.</t>
  </si>
  <si>
    <t>Ieņēmumi par telpu nomu</t>
  </si>
  <si>
    <t>21.383.</t>
  </si>
  <si>
    <t>Ieņēmumi no kustamā īpašuma iznomāšanas</t>
  </si>
  <si>
    <t>Ieņēmumi par zemes nomu</t>
  </si>
  <si>
    <t>21.384.</t>
  </si>
  <si>
    <t>21.389.</t>
  </si>
  <si>
    <t>Pārējie ieņēmumi par nomu un īri</t>
  </si>
  <si>
    <t>21.391.</t>
  </si>
  <si>
    <t>21.393.</t>
  </si>
  <si>
    <t>21.394.</t>
  </si>
  <si>
    <t>21.395.</t>
  </si>
  <si>
    <t>21.399.</t>
  </si>
  <si>
    <t>Maksa par personu uzturēšanos sociālās aprūpes iestādēs</t>
  </si>
  <si>
    <t>Ieņēmumi par biļešu realizāciju</t>
  </si>
  <si>
    <t>Ieņēmumi par komunālajiem pakalpojumiem</t>
  </si>
  <si>
    <t>Ieņēmumi par projektu īstenošanu</t>
  </si>
  <si>
    <t>Citi ieņēmumi par maksas pakalpojumiem</t>
  </si>
  <si>
    <t>21.499.</t>
  </si>
  <si>
    <t>Pārējie iepriekš neklasificētie pašu ieņēmumi</t>
  </si>
  <si>
    <t>ESF projekts "Integrētu teritoriālo investīciju projektu iesniegumu atlases nodrošināšana Jelgavas pilsētas pašvaldībā"</t>
  </si>
  <si>
    <t>ESF projekts "Tehniskā palīdzība integrētu teritoriālo investīciju projektu iesniegumu atlašu nodrošināšanai Jelgavas pilsētas pašvaldībā"</t>
  </si>
  <si>
    <t>Finanšu un fiskālā darbība</t>
  </si>
  <si>
    <t>Zvērināto auditoru pakalpojumi un grāmatvedības programmu uzturēšana</t>
  </si>
  <si>
    <t>Pārējie iepriekš neklasificētie vispārējie valdības dienesti</t>
  </si>
  <si>
    <t>01.601.</t>
  </si>
  <si>
    <t>01.721.</t>
  </si>
  <si>
    <t>Pašvaldību budžetu parāda darījumi</t>
  </si>
  <si>
    <t>01.891.</t>
  </si>
  <si>
    <t>Pārējie citur neklasificētie vispārēja rakstura transferti starp dažādiem valsts pārvaldes līmeņiem</t>
  </si>
  <si>
    <t>03.100.</t>
  </si>
  <si>
    <t>Policija</t>
  </si>
  <si>
    <t>05.200.</t>
  </si>
  <si>
    <t>Vides piesārņojuma novēršana un samazināšana</t>
  </si>
  <si>
    <t>06.200.</t>
  </si>
  <si>
    <t>Teritoriju attīstība</t>
  </si>
  <si>
    <t>06.400.</t>
  </si>
  <si>
    <t>06.403.</t>
  </si>
  <si>
    <t>Emisiju kvotu izsolīšanas instrumenta projekts "Siltumnīcefekta gāzu emisiju samazināšana ar viedajām pilsētvides tehnoloģijām Jelgavā"</t>
  </si>
  <si>
    <t>Pārējā citur neklasificētā teritoriju un mājokļu apsaimniekošanas darbība</t>
  </si>
  <si>
    <t>Pašvaldības īpašumu apsaimniekošana</t>
  </si>
  <si>
    <t>Nodibinājums "Sporta tālākizglītības atbalsta fonds"</t>
  </si>
  <si>
    <t>Nacionālās sporta bāzes SIA "Zemgales olimpiskais centrs"-uzturēšanas izdevumu segšana</t>
  </si>
  <si>
    <t>Interreg V-A Latvijas - Lietuvas programmas projekts "Inovatīvu bibliotēku darbības risinājumu izveide dažādām paaudzēm pierobežas reģionā"</t>
  </si>
  <si>
    <t>08.330.</t>
  </si>
  <si>
    <t>Izdevniecība</t>
  </si>
  <si>
    <t>Nodibinājums "Kultūras tālākizglītības atbalsta fonds"</t>
  </si>
  <si>
    <t>Dotācijas biedrībām un nodibinājumiem</t>
  </si>
  <si>
    <t>Vispārējā izglītība. Pamatizglītība</t>
  </si>
  <si>
    <t>Interreg V - A Latvijas - Lietuvas programmas projekts "Tehniskās bāzes un operatīvo dienestu speciālistu fiziskās kapacitātes uzlabošana Latvijas un Lietuvas pierobežas reģionā"</t>
  </si>
  <si>
    <t>Citi interešu izglītības pasākumi, t.sk. Bērnu un jauniešu izglītības centra "Junda" darbības nodrošināšana</t>
  </si>
  <si>
    <t>Nodibinājums "Izglītības atbalsta fonds"</t>
  </si>
  <si>
    <t>Pedagogu profesionālās meistarības pilnveidošana, rezidentu apmācība, tālākizglītība, Valsts administrācijas skolas nodrošinātā apmācība</t>
  </si>
  <si>
    <t>Līmeņos nedefinēta izglītība pieaugušajiem</t>
  </si>
  <si>
    <t>10.500.</t>
  </si>
  <si>
    <t>10.600.</t>
  </si>
  <si>
    <t>Mājokļa atbalsts</t>
  </si>
  <si>
    <t>10.710.</t>
  </si>
  <si>
    <t>Sociālo pakalpojumu centrs bērniem</t>
  </si>
  <si>
    <t>10.711.</t>
  </si>
  <si>
    <t>Projekts "Sabiedrībā balstītu sociālo pakalpojumu infrastruktūras izveide, Jelgavā"</t>
  </si>
  <si>
    <t>01.115.</t>
  </si>
  <si>
    <t>Projekts "Airēšanas bāzes būvniecība, I kārta "Lielupes krasta nostiprināšana Pilssalā, Jelgavā""</t>
  </si>
  <si>
    <t>4.pielikums</t>
  </si>
  <si>
    <t>01. JELGAVAS PILSĒTAS DOME</t>
  </si>
  <si>
    <t>Izdevumi kopā</t>
  </si>
  <si>
    <t>1000. Atlīdzība</t>
  </si>
  <si>
    <t>2000. Preces un pakalpojumi</t>
  </si>
  <si>
    <t>3000. Subsīdijas un dotācijas</t>
  </si>
  <si>
    <t>5000. Pamatkapitāla veidošana</t>
  </si>
  <si>
    <t>7000. Uzturēšanas izdevumu transferti, pašu resursu maksājumi, starptautiskā sadarbība</t>
  </si>
  <si>
    <t>01.111. Izpildvaras institūcija</t>
  </si>
  <si>
    <t>01.113. Projekts - 'Komunikācija ar sabiedrību tās iesaistei pašvaldības lēmumu pieņemšanā'</t>
  </si>
  <si>
    <t>01.115. ESF projekts - 'Tehniskā palīdzība integrētu teritoriālo investīciju projektu iesniegumu atlašu nodrošināšanai Jelgavas pilsētas pašvaldībā'</t>
  </si>
  <si>
    <t>01.124. Zvērināto auditoru pakalpojumi un grāmatvedības programmas Horizon uzturēšana</t>
  </si>
  <si>
    <t>01.331. Centralizēto datoru un datortīklu uzturēšana</t>
  </si>
  <si>
    <t>01.332. Interreg V-A Latvijas - Lietuvas programmas projekts - 'Pilsētas iedzīvotāju kartes pieejamo pakalpojumu pilnveidošana Jelgavā un Šauļos'</t>
  </si>
  <si>
    <t>01.601. Vēlēšanu organizēšana</t>
  </si>
  <si>
    <t>04.510.526. Eiropas Kohēzijas fonda projekts - 'Loka maģistrāles pārbūve posmā no Kalnciema ceļa līdz Jelgavas pilsētas administratīvajai robežai'</t>
  </si>
  <si>
    <t>04.510.527. ERAF projekts - 'Tehniskās infrastruktūras sakārtošana uzņēmējdarbības attīstībai degradētajā teritorijā, 1.kārta'</t>
  </si>
  <si>
    <t>04.510.528. Projekts - 'Miera ielas un Aizsargu ielas asfalta seguma atjaunošana un tilta pār platones upi pārbūve'</t>
  </si>
  <si>
    <t>04.735. Interreg V-A Latvijas -Lietuvas programmas projekts - 'Starptautiskais kultūras tūrisma maršruts 'Baltu ceļš''</t>
  </si>
  <si>
    <t>04.737. ERAF projekts - 'Nozīmīga kultūrvēsturiskā mantojuma saglabāšana un attīstība kultūras tūrisma piedāvājuma pilnveidošanai Zemgales reģionā'</t>
  </si>
  <si>
    <t>04.901. Zemes reformas darbība, zemes īpašuma un lietošanas tiesību pārveidošana</t>
  </si>
  <si>
    <t>05.306. Eiropas Kohēzijas fonda projekts - 'Videi draudzīgas sabiedriskā transporta infrastruktūras attīstība Jelgavā'</t>
  </si>
  <si>
    <t>05.603. Interreg V-A Latvijas - Lietuvas programmas projekts - 'Vides risku pārvaldības resursu pilnveidošana pierobežas reģionā, lai efektīvi veiktu vides aizsardzības pasākumus'</t>
  </si>
  <si>
    <t>06.201. Projektu sagatavošana un teritoriju attīstība</t>
  </si>
  <si>
    <t>06.604. Pašvaldības dzīvokļu pārvaldīšana, remonts, veco māju nojaukšana</t>
  </si>
  <si>
    <t>06.606. Ar pašvaldības teritoriju saistīto normatīvo aktu un standartu sagatavošana un ieviešana</t>
  </si>
  <si>
    <t>06.607. Pašvaldības līdzfinansējums energoefektivitātes paaugstināšanas pasākumu veikšanai daudzdzīvokļu dzīvojamās mājās</t>
  </si>
  <si>
    <t>06.608. ES Horizon 2020 programmas projekts - 'THERMOS - termālās enerģijas resursu modelēšanas un optimizācijas sistēma'</t>
  </si>
  <si>
    <t>07.452. ESF projekts - 'Kompleksu veselības veicināšanas un slimību profilakses pasākumu īstenošana Jelgavas pilsētā, 1.kārta'</t>
  </si>
  <si>
    <t>08.109. Projekts - 'Airēšanas bāzes būvniecība, I kārta 'Lielupes krasta nostiprināšana Pilssalā, Jelgavā''</t>
  </si>
  <si>
    <t>08.292. Pilsētas nozīmes pasākumi</t>
  </si>
  <si>
    <t>08.295. Projekts- 'Atklātā amfiteātra tipa brīvdabas estrādes segtā jumta projektēšana un izbūve'</t>
  </si>
  <si>
    <t>09.110. ERAF projekts - 'Jelgavas pilsētas pašvaldības pirmsskolas izglītības iestādes 'Sprīdītis' energoefektivitātes paaugstināšana'</t>
  </si>
  <si>
    <t>09.219.5. ERAF projekts - 'Mācību vides uzlabošana Jelgavas Valsts ģimnāzijā un Jelgavas Tehnoloģiju vidusskolā'</t>
  </si>
  <si>
    <t>09.219.6. Interreg V-A Latvijas - Lietuvas programmas projekts - 'Tehniskās bāzes un operatīvo dienestu speciālistu fiziskās kapacitātes uzlabošana Latvijas un Lietuvas pierobežas reģionā'</t>
  </si>
  <si>
    <t>09.222.7. ERAF projekts - 'Jelgavas Amatu vidusskolas infrastruktūras uzlabošana un mācību aprīkojuma modernizācija, 2.kārta'</t>
  </si>
  <si>
    <t>09.519.02. Pašvaldības izglītības iestāžu investīciju projekts - 'Jelgavas pilsētas pašvaldības ēkas Zemgales prospekts 7 pārbūve un jaunais būvapjoms (piebūve)', I un III kārta</t>
  </si>
  <si>
    <t>09.519.03. ERAF projekts - 'Jelgavas pilsētas pašvaldības ēkas Zemgales prospekts 7 energoefektivitātes paaugstināšana', II kārta</t>
  </si>
  <si>
    <t>09.533. ESF projekts - 'Proti un dari'</t>
  </si>
  <si>
    <t>10.127. ESF projekts - 'Atver sirdi Zemgalē'</t>
  </si>
  <si>
    <t>10.711. Projekts - 'Sabiedrībā balstītu sociālo pakalpojumu infrastruktūras izveide Jelgavā'</t>
  </si>
  <si>
    <t>02. JELGAVAS PILSĒTAS DOMES FINANŠU NODAĻA</t>
  </si>
  <si>
    <t>01.122. Nekustamā īpašuma nodokļa u.c. pašvaldības ieņēmumu administrēšana</t>
  </si>
  <si>
    <t>01.721. Parāda procentu nomaksa</t>
  </si>
  <si>
    <t>01.890.  Izdevumi neparedzētiem gadījumiem</t>
  </si>
  <si>
    <t>04.515. Dotācija zaudējumu kompensācijai pašvaldības SIA 'Jelgavas autobusu parks'</t>
  </si>
  <si>
    <t>04.909. Dotācija Zemgales plānošanas reģionam</t>
  </si>
  <si>
    <t>05.102.  Pilsētas sanitārā tīrīšana - SIA 'Zemgales EKO' funkcija</t>
  </si>
  <si>
    <t>06.603. Pašvaldības īpašumu apsaimniekošana - finansējums SIA 'Jelgavas nekustamā īpašuma pārvalde'</t>
  </si>
  <si>
    <t>08.105. Nodibinājums 'Sporta tālākizglītības atbalsta fonds'</t>
  </si>
  <si>
    <t>08.401. Dotācijas projektu realizācijai NVO</t>
  </si>
  <si>
    <t>08.403. Nodibinājums 'Atbalsts kultūrai Jelgavā'</t>
  </si>
  <si>
    <t>08.405. Dotācijas biedrībām un nodibinājumiem</t>
  </si>
  <si>
    <t>09.521. Nodibinājums 'Izglītības atbalsta fonds'</t>
  </si>
  <si>
    <t>09.522. Nodibinājums 'J.Bisenieka atbalsta fonds'</t>
  </si>
  <si>
    <t>03. JELGAVAS PILSĒTAS PAŠVALDĪBAS IESTĀDE 'PAŠVALDĪBAS IESTĀŽU CENTRALIZĒTĀ GRĀMATVEDĪBA'</t>
  </si>
  <si>
    <t>01.123. PI 'Pašvaldības iestāžu centralizētā grāmatvedība' darbības nodrošināšana</t>
  </si>
  <si>
    <t>04. JELGAVAS PILSĒTAS PAŠVALDĪBAS IESTĀDE 'JELGAVAS PILSĒTAS PAŠVALDĪBAS POLICIJA'</t>
  </si>
  <si>
    <t>03.111. PI 'Jelgavas pilsētas pašvaldības policija' darbības nodrošināšana</t>
  </si>
  <si>
    <t>05. JELGAVAS PILSĒTAS PAŠVALDĪBAS IESTĀDE 'JELGAVAS PAŠVALDĪBAS OPERATĪVĀS INFORMĀCIJAS CENTRS'</t>
  </si>
  <si>
    <t>03.202. PI 'Pašvaldības operatīvās informācijas centrs' darbības nodrošināšana</t>
  </si>
  <si>
    <t>06. JELGAVAS PILSĒTAS PAŠVALDĪBAS IESTĀDE 'JELGAVAS REĢIONĀLAIS TŪRISMA CENTRS'</t>
  </si>
  <si>
    <t>04.733. PI 'Jelgavas reģionālais tūrisma centrs' darbības nodrošināšana</t>
  </si>
  <si>
    <t>07. JELGAVAS PILSĒTAS PAŠVALDĪBAS IESTĀDE 'PILSĒTSAIMNIECĪBA'</t>
  </si>
  <si>
    <t>6000. Sociālie pabalsti</t>
  </si>
  <si>
    <t>04.511. Ceļu un ielu infrastruktūras funkcionēšana, izmantošana, būvniecība un uzturēšana</t>
  </si>
  <si>
    <t>04.742. ERAF projekts - 'Kompleksu pasākumu īstenošana Svētes upes caurplūdes atjaunošanai un plūdu apdraudējuma samazināšanai piegulošajās teritorijās'</t>
  </si>
  <si>
    <t>04.743. ERAF projekts - 'Jelgavas lidlauka poldera dambja pārbūve plūdu draudu novēršanai'</t>
  </si>
  <si>
    <t>05.101. Ielu, laukumu, publisko dārzu un parku tīrīšana, atkritumu savākšana</t>
  </si>
  <si>
    <t>05.202. Notekūdeņu apsaimniekošana</t>
  </si>
  <si>
    <t>06.401. Ielu apgaismošana</t>
  </si>
  <si>
    <t>06.403. Emisijas kvotu izsolīšanas instrumenta projekts - 'Situmnīcefekta gāzu emisiju samazināšana ar viedajām pilsētvides tehnoloģijām Jelgavā'</t>
  </si>
  <si>
    <t>06.601. PI 'Pilsētsaimniecība' darbības nodrošināšana</t>
  </si>
  <si>
    <t>06.602. Pašvaldības teritorijas, mežu un kapsētu apsaimniekošana, klaiņojošo dzīvnieku likvidācija</t>
  </si>
  <si>
    <t>10.504. Atbalsts Bezdarba gadījumā</t>
  </si>
  <si>
    <t>08. JELGAVAS PILSĒTAS PAŠVALDĪBAS IESTĀDE 'SPORTA SERVISA CENTRS'</t>
  </si>
  <si>
    <t>08.101. PI 'Sporta servisa centrs' darbības nodrošināšana</t>
  </si>
  <si>
    <t>08.103. Dotācijas sporta pasākumiem</t>
  </si>
  <si>
    <t>09.513. Jelgavas sporta skolu darbības nodrošināšana - kopsavilkums</t>
  </si>
  <si>
    <t>09. JELGAVAS PILSĒTAS PAŠVALDĪBAS IESTĀDE 'JELGAVAS PILSĒTAS BIBLIOTĒKA'</t>
  </si>
  <si>
    <t>08.211. PI 'Jelgavas pilsētas bibliotēka' darbības nodrošināšana</t>
  </si>
  <si>
    <t>08.213. Interreg V-A Latvijas - Lietuvas programmas projekts - 'Inovatīvu bibliotēku darbības risinājumu izveide dažādām paaudzēm pierobežas reģionā'</t>
  </si>
  <si>
    <t>10. JELGAVAS PILSĒTAS PAŠVALDĪBAS IESTĀDE 'Ģ.ELIASA JELGAVAS VĒSTURES UN MĀKSLAS MUZEJS'</t>
  </si>
  <si>
    <t>08.221. PI 'Ģ.Eliasa Jelgavas Vēstures un mākslas muzejs' darbības nodrošināšana</t>
  </si>
  <si>
    <t>11. JELGAVAS PILSĒTAS PAŠVALDĪBAS IESTĀDE 'KULTŪRA'</t>
  </si>
  <si>
    <t>08.231. PI 'Kultūra' darbības nodrošināšana</t>
  </si>
  <si>
    <t>08.232. PI 'Kultūra' pasākumi</t>
  </si>
  <si>
    <t>08.241.Jelgavas Kamerorķestra darbības nodrošināšana</t>
  </si>
  <si>
    <t>08.242. Jelgavas bigbenda darbības nodrošināšana</t>
  </si>
  <si>
    <t>08.243. Dotācija Jelgavas Ā.Alunāna teātra darbības nodrošināšanai</t>
  </si>
  <si>
    <t>08.291. Dotācija Tautas mākslas kolektīvu darbības nodrošināšanai</t>
  </si>
  <si>
    <t>08.402. Kultūras padomes finansētie pasākumi</t>
  </si>
  <si>
    <t>12. JELGAVAS PILSĒTAS PAŠVALDĪBAS IESTĀDE 'ZEMGALES INFO'</t>
  </si>
  <si>
    <t>08.331. PI 'Zemgales INFO' darbības nodrošināšana</t>
  </si>
  <si>
    <t>13. JELGAVAS PILSĒTAS PAŠVALDĪBAS IESTĀDE 'ZEMGALES REĢIONA KOMPETENČU ATTĪSTĪBAS CENTRS'</t>
  </si>
  <si>
    <t>09.531. PI 'Zemgales reģiona kompetenču attīstības centrs' darbības nodrošināšana</t>
  </si>
  <si>
    <t>09.532. PI 'Zemgales reģiona kompetenču attīstības centrs' projektu īstenošana</t>
  </si>
  <si>
    <t>14. JELGAVAS PILSĒTAS PAŠVALDĪBAS IESTĀDE 'JELGAVAS IZGLĪTĪBAS PĀRVALDE'</t>
  </si>
  <si>
    <t>01.831. Transferti citām pašvaldībām izglītības funkciju nodrošināšanai</t>
  </si>
  <si>
    <t>09.101. Jelgavas pirmsskolas izglītības iestāžu darbības nodrošināšana - kopsavilkums</t>
  </si>
  <si>
    <t>09.219.1. Jelgavas vispārizglītojošo skolu darbības nodrošināšana - kopsavilkums</t>
  </si>
  <si>
    <t>09.219.3. Jelgavas vispārizglītojošo skolu projektu īstenošana</t>
  </si>
  <si>
    <t>09.222.2. Jelgavas Amatu vidusskolas darbības nodrošināšana</t>
  </si>
  <si>
    <t>09.222.3. Jelgavas Amatu vidusskolas projektu īstenošana - kopsavilkums</t>
  </si>
  <si>
    <t>09.511. Pārējie interešu izglītības pasākumi, t.sk. BJIC 'Junda' darbības nodrošināšana</t>
  </si>
  <si>
    <t>09.512. Jelgavas Mākslas skolas darbības nodrošināšana</t>
  </si>
  <si>
    <t>09.518. Bērnu un jauniešu centra 'JUNDA' projektu īstenošana</t>
  </si>
  <si>
    <t>09.811. PI 'Jelgavas izglītības pārvalde' darbības nodrošināšana</t>
  </si>
  <si>
    <t>09.812. PI 'Jelgavas izglītības pārvalde' projektu īstenošana</t>
  </si>
  <si>
    <t>09.812.3. PI 'Jelgavas izglītības pārvalde' iekļaujošas izglītības atbalsta centrs</t>
  </si>
  <si>
    <t>10.922. Braukšanas maksas atvieglojumi skolēniem sabiedriskajā transportā</t>
  </si>
  <si>
    <t>15. JELGAVAS PILSĒTAS PAŠVALDIBAS IESTĀDE 'JELGAVAS PILSĒTAS BĀRIŅTIESA'</t>
  </si>
  <si>
    <t>10.403. PI 'Jelgavas pilsētas bāriņtiesa' darbības nodrošināšana</t>
  </si>
  <si>
    <t>16. JELGAVAS PILSĒTAS PAŠVALDĪBAS IESTĀDE 'JELGAVAS SOCIĀLO LIETU PĀRVALDE'</t>
  </si>
  <si>
    <t>01.832. Transferti citām pašvaldībām sociālās aizsardzības funkciju nodrošināšanai</t>
  </si>
  <si>
    <t>07.100. Ārstniecības līdzekļi</t>
  </si>
  <si>
    <t>07.200. Ambulatoro ārstniecības iestāžu darbība un pakalpojumi</t>
  </si>
  <si>
    <t>07.300. Slimnīcu pakalpojumi</t>
  </si>
  <si>
    <t>07.450. Veselības veicināšanas pasākumi</t>
  </si>
  <si>
    <t>10.121. Invalīdu rehabilitācijas pasākumi, invalīdu transporta izdevumi u.c. kompensācijas</t>
  </si>
  <si>
    <t>10.122. Dienas centrs 'Harmonija'</t>
  </si>
  <si>
    <t>10.123. Dienas centrs 'Integra'</t>
  </si>
  <si>
    <t>10.124. Dienas centrs 'Atbalsts'</t>
  </si>
  <si>
    <t>10.125. Grupu dzīvokļi</t>
  </si>
  <si>
    <t>10.128. ESF projekts 'Sabiedrībā balstītu sociālo pakalpojumu nodrošināšana bērniem ar funkcionāliem traucējumiem'</t>
  </si>
  <si>
    <t>10.201. Sociālās un medicīniskās aprūpes centrs</t>
  </si>
  <si>
    <t>10.202. Palīdzība veciem cilvēkiem</t>
  </si>
  <si>
    <t>10.402. Sociālā palīdzība ģimenēm ar bērniem un vardarbībā cietušo bērnu rehabilitācija</t>
  </si>
  <si>
    <t>10.601. Dzīvokļa pabalsts un pabalsts individuālās apkures nodrošināšanai</t>
  </si>
  <si>
    <t>10.701. Sociālā māja un sociālie dzīvokļi</t>
  </si>
  <si>
    <t>10.704. GMI pabalsts, mirušo apbedīšanas izdevumi un citi naudas maksājumi maznodrošinātām un neaizsargātām personām</t>
  </si>
  <si>
    <t>10.705.2. JSLP Naktspatversme</t>
  </si>
  <si>
    <t>10.707. Higiēnas centrs</t>
  </si>
  <si>
    <t>10.710. Sociālo pakalpojumu centrs bērniem</t>
  </si>
  <si>
    <t>10.911. PI 'Jelgavas sociālo lietu pārvalde' darbības nodrošināšana</t>
  </si>
  <si>
    <t>10.921. Pabalsti ārkārtas gadījumos, citi pabalsti un maksājumi</t>
  </si>
  <si>
    <t>17. FINANSĒŠANA</t>
  </si>
  <si>
    <t>F40020000 Aizdevumu pamatsummu atmaksa</t>
  </si>
  <si>
    <t>F50010000. Akcijas un cita līdzdalība komersantu pašu kapitālā</t>
  </si>
  <si>
    <t>F21010000. Naudas līdzekļu atlikums uz perioda beigām</t>
  </si>
  <si>
    <t>F40320020 Saņemto ilgtermiņa aizņēmumu atmaksa</t>
  </si>
  <si>
    <t>F50010000 Akcijas un cita līdzdalība komersantu pašu kapitālā</t>
  </si>
  <si>
    <t>PAVISAM KOPĀ</t>
  </si>
  <si>
    <t>2019.gada plāns</t>
  </si>
  <si>
    <t>Grozījumi           + vai -</t>
  </si>
  <si>
    <t>JELGAVAS PILSĒTAS PAŠVALDĪBAS 2019.GADA PAMATBUDŽETS ATŠIFRĒJUMĀ PA PROGRAMMĀM UN EKONOMISKĀS KLASIFIKĀCIJAS KODIEM</t>
  </si>
  <si>
    <t>ESF projekts "Sabiedrībā balstītu sociālo pakalpojumu nodrošināšana bērniem ar funkcionāliem traucējumiem"</t>
  </si>
  <si>
    <t>5.pielikums</t>
  </si>
  <si>
    <t>Nr. p.k</t>
  </si>
  <si>
    <t xml:space="preserve">Aizņēmuma līgums </t>
  </si>
  <si>
    <t>Mērķis</t>
  </si>
  <si>
    <t xml:space="preserve">Aizdevuma </t>
  </si>
  <si>
    <t>Atmaksas</t>
  </si>
  <si>
    <t>Maksājumi</t>
  </si>
  <si>
    <t>SAISTĪBAS</t>
  </si>
  <si>
    <t>summa, EUR</t>
  </si>
  <si>
    <t>periods</t>
  </si>
  <si>
    <t>2034-2048</t>
  </si>
  <si>
    <t>KOPĀ</t>
  </si>
  <si>
    <t>Valsts kase</t>
  </si>
  <si>
    <t>Investīciju projektu īstenošanai (saistību pārjaunojums)</t>
  </si>
  <si>
    <t>06.07.2018.-20.11.2034.</t>
  </si>
  <si>
    <t>Pamatsumma</t>
  </si>
  <si>
    <t>A2/1/18/441</t>
  </si>
  <si>
    <t>Jelgavas 1.internātpamatskolas rekonstrukcijas darbi</t>
  </si>
  <si>
    <t>23.01.2015. - 20.01.2035</t>
  </si>
  <si>
    <t>A2/1/15/13</t>
  </si>
  <si>
    <t>JPPII Skautu ielā 1 rekonstrukcijas darbi</t>
  </si>
  <si>
    <t>23.01.2015. - 20.01.2035.</t>
  </si>
  <si>
    <t>A2/1/15/14</t>
  </si>
  <si>
    <t>Siltumnīcefektu gāzu emisiju samazināšana - Pilsētsaimniecība</t>
  </si>
  <si>
    <t>20.05.2015. - 20.05.2035.</t>
  </si>
  <si>
    <t>A2/1/15/241</t>
  </si>
  <si>
    <t>Valsts Kase</t>
  </si>
  <si>
    <t xml:space="preserve"> Jelgavas izglītības pārvaldes ēkas jumta rekonstrukcija” </t>
  </si>
  <si>
    <t>18.06.2015.- 20.06.2035.</t>
  </si>
  <si>
    <t>A2/1/15/322</t>
  </si>
  <si>
    <t>Energoefektīvu risinājumu piemērošana ilgtspējīgām ēkām Jelgavā - sporta halle</t>
  </si>
  <si>
    <t>02.10.2015.-20.09.2035.</t>
  </si>
  <si>
    <t>A2/1/15/569</t>
  </si>
  <si>
    <t>07.06.2017.-20.03.2047.</t>
  </si>
  <si>
    <t>A2/1/17/364</t>
  </si>
  <si>
    <t>Prioritārais proj. "Jelgavas kultūras nama iekšējo komunikāciju atjaunošana"</t>
  </si>
  <si>
    <t>07.06.2017.-20.11.2036.</t>
  </si>
  <si>
    <t>A2/1/17/365</t>
  </si>
  <si>
    <t>Atmodas ielas posmu asfalta seguma atjaunošana</t>
  </si>
  <si>
    <t>03.07.2017.-20.11.2036.</t>
  </si>
  <si>
    <t>A2/1/17/467</t>
  </si>
  <si>
    <t>Izglītības iestāžu invest.pr. "Jelgavas pilsētas PII "Zemenīte" telpu pārbūve"</t>
  </si>
  <si>
    <t>A2/1/17/465</t>
  </si>
  <si>
    <t xml:space="preserve">Izglītības iestāžu invest.projekts  "Jelgavas 1.internātpamatskolas jumta konstrukciju nomaiņa" </t>
  </si>
  <si>
    <t>10.08.2017.-20.11.2036.</t>
  </si>
  <si>
    <t>A2/1/17/588</t>
  </si>
  <si>
    <t>SIA "Jelgavas ūdens" pamatkapitāla palielināšanai projekta "Ūdenssaimniecības pakalpojumu attīstība Jelgavā, V kārta" īstenošanai</t>
  </si>
  <si>
    <t>31.08.2017.-20.03.2047.</t>
  </si>
  <si>
    <t>A2/1/17/632</t>
  </si>
  <si>
    <t>Izglītības iestāžu invest.pr. "Jelgavas PII "Rotaļa" ēkas rekonstrukcija"</t>
  </si>
  <si>
    <t>31.08.2017.-20.08.2037.</t>
  </si>
  <si>
    <t>A2/1/17/633</t>
  </si>
  <si>
    <t>Asfaltbetona seguma atjaunošana Akadēmijas ielas posmā</t>
  </si>
  <si>
    <t>25.10.2017.-20.10.2037.</t>
  </si>
  <si>
    <t>A2/1/17/774</t>
  </si>
  <si>
    <t>Latvijas - Lietuvas pārrobežu sadarbības programmas projekts "Pilsētas iedzīvotāju kartes pieejamo pakalpojumu pilnveidošana Jelgavā un Šauļos"</t>
  </si>
  <si>
    <t>24.11.2017.-20.11.2022</t>
  </si>
  <si>
    <t>A2/1/17/842</t>
  </si>
  <si>
    <t>MUZEJA jumta skārda seguma nomaiņa un bēniņu pārseguma siltināšana</t>
  </si>
  <si>
    <t>08.03.2018.-20.11.2037.</t>
  </si>
  <si>
    <t>A2/1/18/92</t>
  </si>
  <si>
    <t>Latvijas - Lietuvas pārrobežu sadarbības programmas projekts "Vides risku pārvaldības resursu pilnveidošana pierobežas reģionā (DERMR)"</t>
  </si>
  <si>
    <t>08.03.2018.-20.11.2027.</t>
  </si>
  <si>
    <t>A2/1/18/93</t>
  </si>
  <si>
    <t>ERAF projekts "Jelgavas pilsētas pašvaldības PII "Sprīdītis" energoefektivitātes paaugstināšana"</t>
  </si>
  <si>
    <t>01.06.2018.-20.03.2048.</t>
  </si>
  <si>
    <t>A2/1/18/296</t>
  </si>
  <si>
    <t>Pašvaldības izglītības iestāžu investīciju projekts "Jelgavas 2.internātpamatskolas rekonstrukcija 2.kārta"</t>
  </si>
  <si>
    <t>05.07.2018.-20.03.2038.</t>
  </si>
  <si>
    <t>A2/1/18/434</t>
  </si>
  <si>
    <t>Pašvaldības izglītības iestāžu investīciju projekts "Jelgavas pilsētas pašvaldības ēkas Zemgales prospekts 7 pārbūve un jaunais būvapjoms (piebūve)", I un III kārta ("Junda" izvietošanai)</t>
  </si>
  <si>
    <t>05.07.2018.-20.03.2048.</t>
  </si>
  <si>
    <t>A2/1/18/435</t>
  </si>
  <si>
    <t>A2/1/18/436</t>
  </si>
  <si>
    <t>Valsts budžeta līdzfinansēta kultūras iestādes investīciju projekta "Publiskās slidotavas un brīvdabas estrādes Pasta salā jumtu pārsegumu projektēšana, izbūve un autoruzraudzība" pabeigšanai</t>
  </si>
  <si>
    <t>07.08.2018.- 20.06.2048.</t>
  </si>
  <si>
    <t>A2/1/18/541</t>
  </si>
  <si>
    <t>ERAF projekts ""Jelgavas pilsētas pašvaldības ēkas Zemgales prospekts 7 energoefektivitātes paaugstināšana" II kārta"</t>
  </si>
  <si>
    <t>07.08.2018.- 20.03.2048.</t>
  </si>
  <si>
    <t>A2/1/18/542</t>
  </si>
  <si>
    <t>Projekts "Asfaltbetona seguma izbūve Romas ielā posmā no Zemeņu ielas līdz Turaidas ielai"</t>
  </si>
  <si>
    <t>07.08.2018.- 20.03.2038.</t>
  </si>
  <si>
    <t>A2/1/18/543</t>
  </si>
  <si>
    <t>Jelgavas Valsts ģimnāzijas pārbūves papilddarbi</t>
  </si>
  <si>
    <t>30.08.2018.- 20.06.2038.</t>
  </si>
  <si>
    <t>A2/1/18/602</t>
  </si>
  <si>
    <t>Lat-Lit pārrobežu sadarbības programmas projekts "Civilās aizsardzības sistēmas pilnveidošana Jelgavas un Šauļu pilsētās (C-System)</t>
  </si>
  <si>
    <t>30.08.2018. -20.06.2028.</t>
  </si>
  <si>
    <t>A2/1/18/603</t>
  </si>
  <si>
    <t>Izglītības iestādes investīciju projekts "Jelgavas pilsētas pašvaldības PII "Gaismina" telpu vienkāršota atjaunošana"</t>
  </si>
  <si>
    <t>30.08.2018. - 20.06.2038.</t>
  </si>
  <si>
    <t>A2/1/18/604</t>
  </si>
  <si>
    <t>Pašvaldības prioritārais investīciju projekts "Jelgavas Kultūras nama ēkas fasādes, pamatu vertikālās hidroizolācijas atjaunošana un teritorijas sakārtošana"</t>
  </si>
  <si>
    <t>10.10.2018. -20.09.2038.</t>
  </si>
  <si>
    <t>A2/1/18/709</t>
  </si>
  <si>
    <t>SIA "Jelgavas ūdens" pamatkapitāla palielināšanai projektam "Ūdenssaimniecības pakalpojumu attīstība Jelgavā, V kārta"</t>
  </si>
  <si>
    <t>22.10.2018. - 20.09.2047.</t>
  </si>
  <si>
    <t>A2/1/18/736</t>
  </si>
  <si>
    <t>Lat -Lit pārrobežu sadarbības projekts "Tehniskās bāzes un operatīvo dienestu speciālistu fziskās kapacitātes uzlabošana Latvijas un Lietuvas pierobežas reģionā (All for safety)"</t>
  </si>
  <si>
    <t>18.12.2018. - 20.09.2028.</t>
  </si>
  <si>
    <t>A2/1/18/891</t>
  </si>
  <si>
    <t>Kultūras iestāžu investīciju projekts "Jelgavas Kultūras nama ēkas fasādes, pamatu vertikālās hidroizolācijas atjaunošana un teritorijas sakārtošana"</t>
  </si>
  <si>
    <t>19.12.2018. -20.09.2038.</t>
  </si>
  <si>
    <t>Lat-Lit pārrobežu sadarbības programmas projekts "Inovatīvu bibliotēku darbības risinājumu izveide dažādām paaudzēm pierobežas reģionā"</t>
  </si>
  <si>
    <t>11.03.2019.-20.11.2038.</t>
  </si>
  <si>
    <t>A2/1/19/65</t>
  </si>
  <si>
    <t>02.04.2019.- 20.03.2049.</t>
  </si>
  <si>
    <t>A2/1/19/84</t>
  </si>
  <si>
    <t>ERAF projekts"Jelgavas Amatu vidusskolas infrastruktūras uzlabošana un mācību aprīkojuma modernizācija, 2.kārta"</t>
  </si>
  <si>
    <t>17.05.2019.- 20.03.2049.</t>
  </si>
  <si>
    <t>A2/1/19/156</t>
  </si>
  <si>
    <t xml:space="preserve">Kopā procentu maksājumi         </t>
  </si>
  <si>
    <t>Aizņēmumu saistības kopā</t>
  </si>
  <si>
    <t xml:space="preserve"> Saistību īpatsvars</t>
  </si>
  <si>
    <t>Pašu ieņēmumi</t>
  </si>
  <si>
    <t>%</t>
  </si>
  <si>
    <t>Pamatsummu pieaugums pret iepriekšējo gadu</t>
  </si>
  <si>
    <t>Kopējo saistību pieaugums pret iepriekšējo gadu</t>
  </si>
  <si>
    <t>Galvojumi:</t>
  </si>
  <si>
    <t>SIA Jelgavas ūdens - Ūdenssaimniecība II kārta</t>
  </si>
  <si>
    <t>03.12.2010. - 20.12.2030.</t>
  </si>
  <si>
    <t>A/1/10/1025</t>
  </si>
  <si>
    <t>Swdbank</t>
  </si>
  <si>
    <t>SIA Komunālie pakalpojumi</t>
  </si>
  <si>
    <t>12.09.2012. - 12.09.2019.</t>
  </si>
  <si>
    <t>12-022694-IN/1</t>
  </si>
  <si>
    <t>SIA Jelgavas ūdens - Ūdenssaimniecība III kārta</t>
  </si>
  <si>
    <t>18.12.2013. - 20.12.2030.</t>
  </si>
  <si>
    <t>G/13/1206</t>
  </si>
  <si>
    <t xml:space="preserve">  Kopā pamatsummas                  </t>
  </si>
  <si>
    <t>Galvojumu saistības kopā</t>
  </si>
  <si>
    <t xml:space="preserve"> Kopā pamatsummas                  </t>
  </si>
  <si>
    <t xml:space="preserve">         JELGAVAS PILSĒTAS PAŠVALDĪBAS ILGTERMIŅA SAISTĪBAS</t>
  </si>
  <si>
    <t>Nodibinājumas "J.Bisenieka fonds"</t>
  </si>
  <si>
    <t>03.206. Interreg V-A Latvijas - Lietuvas programmas projekts  - 'Civilās aizsardzības saistēmas pilnveidošana Jelgavas un Šauļu pilsētās'</t>
  </si>
  <si>
    <t>07.623. Fonds 'Jelgavnieku veselības veicināšanas fonds'</t>
  </si>
  <si>
    <t>A2/1/19/231</t>
  </si>
  <si>
    <t>19.06.2019.-20.03.2049.</t>
  </si>
  <si>
    <t>KF projekts "Loka maģistrāles pārbūve posmā no Kalnciema ceļa līdz Jelgavas administratīvajai robežai"</t>
  </si>
  <si>
    <t>18.09.2019.-20.03.2049.</t>
  </si>
  <si>
    <t>A2/1/19/337</t>
  </si>
  <si>
    <t>ERAF projekts "Tehniskās infrastruktūras sakārtošana uzņēmējdarbības attīstībai degradētajā teritorijā, 1.kārta" (Riska likme)</t>
  </si>
  <si>
    <t>A2/1/19/338</t>
  </si>
  <si>
    <t>A2/1/19/339</t>
  </si>
  <si>
    <t>VB līdzfinansēts projekts "Miera ielas un Aizsargu ielas asfalta seguma atjaunošana un tilta pār Platones upi pārbūve"</t>
  </si>
  <si>
    <t>A2/1/19/340</t>
  </si>
  <si>
    <t>Pamatsummu atmaksa pēc grafika</t>
  </si>
  <si>
    <t xml:space="preserve"> Saistību īpatsvars bez priekšfinansējuma atmaksām</t>
  </si>
  <si>
    <t>Priekšfinansējuma atmaksas uz 30.09.2019.</t>
  </si>
  <si>
    <t>Jelgavas speciālo skolu un speciālās pirmsskolas izglītības programma</t>
  </si>
  <si>
    <t>Precizētais plāns uz 24.10.2019.</t>
  </si>
  <si>
    <t>21.429.</t>
  </si>
  <si>
    <t>Pārējie iepriekš neklasificētie īpašiem mērķiem noteiktie ieņēmumi</t>
  </si>
  <si>
    <t>05.303.</t>
  </si>
  <si>
    <t>Dotācija pašvaldības komersantiem</t>
  </si>
  <si>
    <t>09.534.</t>
  </si>
  <si>
    <t>ESF projekts "Nodarbināto personu profesionālās kompetences pilnveide"</t>
  </si>
  <si>
    <t>09.820.</t>
  </si>
  <si>
    <t>09.821.</t>
  </si>
  <si>
    <t>Projekts "Jelgava jauniešiem II"</t>
  </si>
  <si>
    <t>Pārējie citur neklasificētie izglītības pakalpojumi</t>
  </si>
  <si>
    <t>10.129.</t>
  </si>
  <si>
    <t>ESF projekts "Par individuālā budžeta modeļa aprobāciju pilngadīgām personām ar garīga rakstura traucējumiem sabiedrībā balstītu sociālo pakalpojumu nodrošināšanai"</t>
  </si>
  <si>
    <t>6.pielikums</t>
  </si>
  <si>
    <t>Jelgavas pilsētas pašvaldības 2019.gada speciālais budžets</t>
  </si>
  <si>
    <t>Speciālā budžeta resursi</t>
  </si>
  <si>
    <t>2019.gada ieņēmumu plāns</t>
  </si>
  <si>
    <t>Ieņēmumu grozījumi               + vai -</t>
  </si>
  <si>
    <t>05.531.</t>
  </si>
  <si>
    <t>Dabas resursu nodoklis par dabas resursu ieguvi un vides piesārņojumu</t>
  </si>
  <si>
    <t>23.000.</t>
  </si>
  <si>
    <t>Saņemtie ziedojumi un dāvinājumi</t>
  </si>
  <si>
    <t>PAVISAM RESURSI KOPĀ</t>
  </si>
  <si>
    <t>Speciālā budžeta izdevumi</t>
  </si>
  <si>
    <t>Kods</t>
  </si>
  <si>
    <t>Speciālā budžeta nosaukums</t>
  </si>
  <si>
    <t>Izdevumu grozījumi          + vai -</t>
  </si>
  <si>
    <t>Nodokļa ieņēmumi</t>
  </si>
  <si>
    <t>Ziedojumi/ dāvinājumi</t>
  </si>
  <si>
    <t xml:space="preserve">Naudas līdzekļu atlikums uz 31.12.2018. </t>
  </si>
  <si>
    <t>2019.gada izdevumu plāns kopā</t>
  </si>
  <si>
    <t>I</t>
  </si>
  <si>
    <t>Dabas resursu nodokļa līdzekļi</t>
  </si>
  <si>
    <t>x</t>
  </si>
  <si>
    <t>SIA "Jelgavas nekustamā īpašuma pārvalde" apsaimniekošanā esošo grodu aku dzeramā ūdens kvalitātes laboratoriskā kontrole un nodrošināšana</t>
  </si>
  <si>
    <t>SIA "Jelgavas ūdens" -  programma saimnieciski - fekālās kanalizācijas sistēmas attīstība un pārslēgumi, kanalizācijas sistēmas attīstība un pārslēgumi</t>
  </si>
  <si>
    <t>Pašvaldības administrācija - dalības maksas vides aizsardzības semināriem, konferencēm, vides projektu pasākumiem, dabas resursu nodokļa ieņēmumu administrēšana</t>
  </si>
  <si>
    <t>PI "Pilsētsaimniecība" - lietus ūdens kanalizācijas pasākumiem</t>
  </si>
  <si>
    <t>II</t>
  </si>
  <si>
    <t>Valsts budžeta līdzekļi</t>
  </si>
  <si>
    <t>Mērķdotācija autoceļu (ielu) fondam</t>
  </si>
  <si>
    <t>Mērķdotācija pašvaldībām pasažieru regulārajiem pārvadājumiem</t>
  </si>
  <si>
    <t>III</t>
  </si>
  <si>
    <t>Ziedojumu un dāvinājumu līdzekļi</t>
  </si>
  <si>
    <t>IV</t>
  </si>
  <si>
    <t>PAVISAM IZDEVUMI KOPĀ</t>
  </si>
  <si>
    <t>Precizētais resursu plāns uz 24.10.2019.</t>
  </si>
  <si>
    <t>Precizētais izdevumu plāns uz 24.10.2019.</t>
  </si>
  <si>
    <t>01.114. ESF Projekts - 'Integrētu teritoriālo investīciju projektu iesniegumu atlases nodrošināšana Jelgavas pilsētas pašvaldībā'</t>
  </si>
  <si>
    <t>09.534. ESF projekts - 'Nodarbināto personu profesionālās kompetences pilnveide'</t>
  </si>
  <si>
    <t>09.821. Projekts 'Jelgava jauniešiem'</t>
  </si>
  <si>
    <t>4000. Procentu izdevumi</t>
  </si>
  <si>
    <t>05.303. Dotācija pašvaldības komersantiem</t>
  </si>
  <si>
    <t>09.513.1. Jelgavas Bērnu un jaunatnes sporta skola</t>
  </si>
  <si>
    <t>09.513.2. Jelgavas Specializētā peldēšanas skola</t>
  </si>
  <si>
    <t>09.513.3. Jelgavas Ledus sporta skola</t>
  </si>
  <si>
    <t>09.219.2. Jelgavas speciālo skolu un speciālās pirmsskolas izglītības programma - kopsavilkums</t>
  </si>
  <si>
    <t>10.129. ESF projekts 'Par individuālā budžeta modeļa aprobāciju pilngadīgām personām ar garīga rakstura traucējumiem sabiedrībā balstītu sociālo pakalpojumu nodrošināšanai'</t>
  </si>
  <si>
    <t>7.pielikums</t>
  </si>
  <si>
    <t>04.501. Mērķdotācija SIA 'Jelgavas autobusu parks' sabiedriskā transporta pakalpojuma nodrošināšanai</t>
  </si>
  <si>
    <t>JELGAVAS PILSĒTAS PAŠVALDĪBAS 2019.GADA SPECIĀLAIS BUDŽETS ATŠIFRĒJUMĀ PA PROGRAMMĀM UN EKONOMISKĀS KLASIFIKĀCIJAS KODIEM</t>
  </si>
  <si>
    <t>SAISTOŠAJIEM NOTEIKUMIEM Nr.19-20</t>
  </si>
  <si>
    <t>24.10.2019. prot.Nr.13/1</t>
  </si>
  <si>
    <t>24.10.2019.prot.Nr.13/1</t>
  </si>
  <si>
    <t>24.10.2019. prot. Nr.13/1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</si>
</sst>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00"/>
    <numFmt numFmtId="166" formatCode="_-* #,##0\ _L_s_-;\-* #,##0\ _L_s_-;_-* &quot;-&quot;??\ _L_s_-;_-@_-"/>
    <numFmt numFmtId="167" formatCode="#,##0.00_ ;\-#,##0.00\ "/>
    <numFmt numFmtId="168" formatCode="0.000%"/>
  </numFmts>
  <fonts count="69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4"/>
      <name val="Times New Roman"/>
      <family val="1"/>
      <charset val="186"/>
    </font>
    <font>
      <b/>
      <i/>
      <sz val="1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name val="Arial"/>
      <family val="2"/>
      <charset val="186"/>
    </font>
    <font>
      <b/>
      <i/>
      <sz val="9"/>
      <name val="Times New Roman"/>
      <family val="1"/>
      <charset val="186"/>
    </font>
    <font>
      <i/>
      <sz val="14"/>
      <color theme="1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theme="3"/>
      <name val="Times New Roman"/>
      <family val="1"/>
      <charset val="186"/>
    </font>
    <font>
      <sz val="10"/>
      <color rgb="FFFF0000"/>
      <name val="Arial"/>
      <family val="2"/>
      <charset val="186"/>
    </font>
    <font>
      <i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7.5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14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0" fontId="16" fillId="0" borderId="0"/>
    <xf numFmtId="0" fontId="14" fillId="0" borderId="0"/>
    <xf numFmtId="0" fontId="13" fillId="0" borderId="0"/>
    <xf numFmtId="9" fontId="14" fillId="0" borderId="0" applyFon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6" applyNumberFormat="0" applyAlignment="0" applyProtection="0"/>
    <xf numFmtId="0" fontId="28" fillId="9" borderId="7" applyNumberFormat="0" applyAlignment="0" applyProtection="0"/>
    <xf numFmtId="0" fontId="29" fillId="9" borderId="6" applyNumberFormat="0" applyAlignment="0" applyProtection="0"/>
    <xf numFmtId="0" fontId="30" fillId="0" borderId="8" applyNumberFormat="0" applyFill="0" applyAlignment="0" applyProtection="0"/>
    <xf numFmtId="0" fontId="31" fillId="10" borderId="9" applyNumberFormat="0" applyAlignment="0" applyProtection="0"/>
    <xf numFmtId="0" fontId="32" fillId="0" borderId="0" applyNumberFormat="0" applyFill="0" applyBorder="0" applyAlignment="0" applyProtection="0"/>
    <xf numFmtId="0" fontId="13" fillId="11" borderId="10" applyNumberFormat="0" applyFont="0" applyAlignment="0" applyProtection="0"/>
    <xf numFmtId="0" fontId="33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34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34" fillId="35" borderId="0" applyNumberFormat="0" applyBorder="0" applyAlignment="0" applyProtection="0"/>
    <xf numFmtId="0" fontId="14" fillId="0" borderId="0"/>
    <xf numFmtId="0" fontId="36" fillId="0" borderId="0"/>
    <xf numFmtId="0" fontId="14" fillId="0" borderId="0"/>
    <xf numFmtId="0" fontId="13" fillId="0" borderId="0"/>
    <xf numFmtId="0" fontId="47" fillId="0" borderId="0"/>
    <xf numFmtId="164" fontId="14" fillId="0" borderId="0" applyFont="0" applyFill="0" applyBorder="0" applyAlignment="0" applyProtection="0"/>
    <xf numFmtId="0" fontId="14" fillId="0" borderId="0"/>
    <xf numFmtId="0" fontId="64" fillId="0" borderId="0"/>
  </cellStyleXfs>
  <cellXfs count="49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5" fillId="0" borderId="0" xfId="0" applyFont="1"/>
    <xf numFmtId="0" fontId="6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horizontal="right"/>
    </xf>
    <xf numFmtId="3" fontId="12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/>
    <xf numFmtId="0" fontId="1" fillId="0" borderId="0" xfId="0" applyFont="1" applyFill="1"/>
    <xf numFmtId="0" fontId="11" fillId="0" borderId="0" xfId="0" applyFont="1"/>
    <xf numFmtId="0" fontId="42" fillId="0" borderId="0" xfId="0" applyFont="1"/>
    <xf numFmtId="0" fontId="17" fillId="0" borderId="12" xfId="0" applyFont="1" applyBorder="1" applyAlignment="1">
      <alignment wrapText="1"/>
    </xf>
    <xf numFmtId="0" fontId="11" fillId="0" borderId="1" xfId="0" applyFont="1" applyBorder="1"/>
    <xf numFmtId="3" fontId="17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 wrapText="1" indent="2"/>
    </xf>
    <xf numFmtId="3" fontId="17" fillId="0" borderId="1" xfId="0" applyNumberFormat="1" applyFont="1" applyFill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3" fontId="35" fillId="0" borderId="1" xfId="0" applyNumberFormat="1" applyFont="1" applyFill="1" applyBorder="1" applyAlignment="1">
      <alignment vertical="center"/>
    </xf>
    <xf numFmtId="3" fontId="2" fillId="0" borderId="0" xfId="0" applyNumberFormat="1" applyFont="1"/>
    <xf numFmtId="0" fontId="11" fillId="0" borderId="0" xfId="0" applyFont="1" applyAlignment="1">
      <alignment horizontal="right"/>
    </xf>
    <xf numFmtId="3" fontId="11" fillId="0" borderId="1" xfId="0" applyNumberFormat="1" applyFont="1" applyBorder="1" applyAlignment="1">
      <alignment horizontal="center" vertical="center"/>
    </xf>
    <xf numFmtId="3" fontId="37" fillId="0" borderId="1" xfId="0" applyNumberFormat="1" applyFont="1" applyBorder="1" applyAlignment="1">
      <alignment horizontal="center" vertical="center"/>
    </xf>
    <xf numFmtId="3" fontId="37" fillId="4" borderId="1" xfId="0" applyNumberFormat="1" applyFont="1" applyFill="1" applyBorder="1" applyAlignment="1">
      <alignment vertical="center"/>
    </xf>
    <xf numFmtId="3" fontId="1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4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44" fillId="3" borderId="1" xfId="0" applyFont="1" applyFill="1" applyBorder="1" applyAlignment="1">
      <alignment vertical="center"/>
    </xf>
    <xf numFmtId="0" fontId="39" fillId="3" borderId="1" xfId="0" applyFont="1" applyFill="1" applyBorder="1"/>
    <xf numFmtId="0" fontId="44" fillId="3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left" wrapText="1" indent="2"/>
    </xf>
    <xf numFmtId="0" fontId="11" fillId="0" borderId="1" xfId="0" applyFont="1" applyBorder="1" applyAlignment="1">
      <alignment horizontal="left" vertical="center" wrapText="1"/>
    </xf>
    <xf numFmtId="0" fontId="44" fillId="3" borderId="1" xfId="0" applyFont="1" applyFill="1" applyBorder="1"/>
    <xf numFmtId="3" fontId="44" fillId="3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center" vertical="center"/>
    </xf>
    <xf numFmtId="0" fontId="46" fillId="36" borderId="1" xfId="0" applyFont="1" applyFill="1" applyBorder="1" applyAlignment="1">
      <alignment horizontal="right" vertical="center"/>
    </xf>
    <xf numFmtId="0" fontId="46" fillId="36" borderId="1" xfId="0" applyFont="1" applyFill="1" applyBorder="1" applyAlignment="1">
      <alignment horizontal="left" vertical="center" wrapText="1" indent="2"/>
    </xf>
    <xf numFmtId="0" fontId="43" fillId="2" borderId="1" xfId="0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 indent="2"/>
    </xf>
    <xf numFmtId="3" fontId="37" fillId="0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3" fontId="37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3" fontId="37" fillId="0" borderId="1" xfId="0" applyNumberFormat="1" applyFont="1" applyFill="1" applyBorder="1" applyAlignment="1">
      <alignment horizontal="right" vertical="center"/>
    </xf>
    <xf numFmtId="0" fontId="37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8" fillId="3" borderId="1" xfId="0" applyFont="1" applyFill="1" applyBorder="1" applyAlignment="1">
      <alignment vertical="center"/>
    </xf>
    <xf numFmtId="0" fontId="41" fillId="3" borderId="1" xfId="0" applyFont="1" applyFill="1" applyBorder="1" applyAlignment="1">
      <alignment horizontal="center" vertical="center" wrapText="1"/>
    </xf>
    <xf numFmtId="3" fontId="41" fillId="3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vertical="center"/>
    </xf>
    <xf numFmtId="0" fontId="12" fillId="36" borderId="1" xfId="0" applyFont="1" applyFill="1" applyBorder="1" applyAlignment="1">
      <alignment horizontal="right" vertical="center"/>
    </xf>
    <xf numFmtId="0" fontId="12" fillId="36" borderId="1" xfId="0" applyFont="1" applyFill="1" applyBorder="1" applyAlignment="1">
      <alignment horizontal="left" vertical="center" wrapText="1" indent="2"/>
    </xf>
    <xf numFmtId="3" fontId="37" fillId="36" borderId="1" xfId="0" applyNumberFormat="1" applyFont="1" applyFill="1" applyBorder="1" applyAlignment="1">
      <alignment vertical="center"/>
    </xf>
    <xf numFmtId="3" fontId="17" fillId="36" borderId="1" xfId="0" applyNumberFormat="1" applyFont="1" applyFill="1" applyBorder="1" applyAlignment="1">
      <alignment horizontal="right" vertical="center"/>
    </xf>
    <xf numFmtId="3" fontId="37" fillId="36" borderId="1" xfId="0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 indent="1"/>
    </xf>
    <xf numFmtId="0" fontId="41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/>
    <xf numFmtId="3" fontId="49" fillId="0" borderId="0" xfId="0" applyNumberFormat="1" applyFont="1"/>
    <xf numFmtId="0" fontId="49" fillId="0" borderId="0" xfId="0" applyFont="1"/>
    <xf numFmtId="3" fontId="17" fillId="4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2"/>
    </xf>
    <xf numFmtId="0" fontId="50" fillId="2" borderId="1" xfId="0" applyFont="1" applyFill="1" applyBorder="1" applyAlignment="1">
      <alignment horizontal="center" vertical="center"/>
    </xf>
    <xf numFmtId="0" fontId="50" fillId="2" borderId="1" xfId="0" applyFont="1" applyFill="1" applyBorder="1" applyAlignment="1">
      <alignment horizontal="center" vertical="center" wrapText="1"/>
    </xf>
    <xf numFmtId="3" fontId="48" fillId="2" borderId="1" xfId="0" applyNumberFormat="1" applyFont="1" applyFill="1" applyBorder="1" applyAlignment="1">
      <alignment horizontal="center" vertical="center"/>
    </xf>
    <xf numFmtId="3" fontId="50" fillId="2" borderId="1" xfId="0" applyNumberFormat="1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vertical="center"/>
    </xf>
    <xf numFmtId="3" fontId="35" fillId="3" borderId="1" xfId="0" applyNumberFormat="1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vertical="center"/>
    </xf>
    <xf numFmtId="3" fontId="17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right" vertical="center"/>
    </xf>
    <xf numFmtId="3" fontId="12" fillId="36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 applyAlignment="1">
      <alignment vertical="center"/>
    </xf>
    <xf numFmtId="3" fontId="4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3" fontId="45" fillId="3" borderId="1" xfId="0" applyNumberFormat="1" applyFont="1" applyFill="1" applyBorder="1" applyAlignment="1">
      <alignment vertical="center"/>
    </xf>
    <xf numFmtId="165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right" vertical="center"/>
    </xf>
    <xf numFmtId="165" fontId="12" fillId="0" borderId="2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left" vertical="center" wrapText="1" indent="2"/>
    </xf>
    <xf numFmtId="0" fontId="11" fillId="0" borderId="0" xfId="0" applyFont="1" applyAlignment="1">
      <alignment vertical="center" wrapText="1"/>
    </xf>
    <xf numFmtId="0" fontId="10" fillId="0" borderId="0" xfId="0" applyFont="1"/>
    <xf numFmtId="0" fontId="17" fillId="0" borderId="1" xfId="0" applyFont="1" applyFill="1" applyBorder="1" applyAlignment="1">
      <alignment horizontal="left" vertical="center"/>
    </xf>
    <xf numFmtId="3" fontId="35" fillId="0" borderId="1" xfId="0" applyNumberFormat="1" applyFont="1" applyFill="1" applyBorder="1" applyAlignment="1">
      <alignment horizontal="right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14" fillId="0" borderId="0" xfId="1"/>
    <xf numFmtId="0" fontId="37" fillId="0" borderId="0" xfId="1" applyFont="1" applyFill="1"/>
    <xf numFmtId="0" fontId="37" fillId="0" borderId="0" xfId="1" applyFont="1" applyAlignment="1">
      <alignment vertical="center"/>
    </xf>
    <xf numFmtId="0" fontId="37" fillId="0" borderId="0" xfId="1" applyFont="1"/>
    <xf numFmtId="0" fontId="37" fillId="0" borderId="0" xfId="1" applyFont="1" applyAlignment="1">
      <alignment horizontal="right"/>
    </xf>
    <xf numFmtId="0" fontId="37" fillId="0" borderId="0" xfId="54" applyFont="1" applyAlignment="1">
      <alignment horizontal="right"/>
    </xf>
    <xf numFmtId="0" fontId="11" fillId="0" borderId="0" xfId="54" applyFont="1" applyFill="1" applyBorder="1" applyAlignment="1">
      <alignment horizontal="right"/>
    </xf>
    <xf numFmtId="0" fontId="14" fillId="0" borderId="0" xfId="1" applyFill="1"/>
    <xf numFmtId="0" fontId="14" fillId="0" borderId="0" xfId="1" applyAlignment="1">
      <alignment vertical="center"/>
    </xf>
    <xf numFmtId="0" fontId="54" fillId="0" borderId="0" xfId="1" applyFont="1"/>
    <xf numFmtId="0" fontId="55" fillId="2" borderId="18" xfId="1" applyFont="1" applyFill="1" applyBorder="1" applyAlignment="1">
      <alignment horizontal="center" vertical="center"/>
    </xf>
    <xf numFmtId="10" fontId="55" fillId="38" borderId="18" xfId="1" applyNumberFormat="1" applyFont="1" applyFill="1" applyBorder="1" applyAlignment="1">
      <alignment vertical="center"/>
    </xf>
    <xf numFmtId="0" fontId="55" fillId="38" borderId="18" xfId="1" applyFont="1" applyFill="1" applyBorder="1" applyAlignment="1">
      <alignment vertical="center"/>
    </xf>
    <xf numFmtId="0" fontId="55" fillId="38" borderId="19" xfId="1" applyFont="1" applyFill="1" applyBorder="1" applyAlignment="1">
      <alignment vertical="center"/>
    </xf>
    <xf numFmtId="0" fontId="55" fillId="38" borderId="20" xfId="1" applyFont="1" applyFill="1" applyBorder="1" applyAlignment="1">
      <alignment horizontal="center" vertical="center"/>
    </xf>
    <xf numFmtId="0" fontId="55" fillId="2" borderId="23" xfId="1" applyFont="1" applyFill="1" applyBorder="1" applyAlignment="1">
      <alignment horizontal="center" vertical="center"/>
    </xf>
    <xf numFmtId="0" fontId="55" fillId="2" borderId="23" xfId="1" applyNumberFormat="1" applyFont="1" applyFill="1" applyBorder="1" applyAlignment="1">
      <alignment horizontal="center" vertical="center"/>
    </xf>
    <xf numFmtId="0" fontId="55" fillId="2" borderId="24" xfId="1" applyFont="1" applyFill="1" applyBorder="1" applyAlignment="1">
      <alignment horizontal="center" vertical="center"/>
    </xf>
    <xf numFmtId="0" fontId="55" fillId="38" borderId="25" xfId="1" applyFont="1" applyFill="1" applyBorder="1" applyAlignment="1">
      <alignment horizontal="center" vertical="center"/>
    </xf>
    <xf numFmtId="3" fontId="14" fillId="0" borderId="0" xfId="1" applyNumberFormat="1" applyFill="1"/>
    <xf numFmtId="0" fontId="54" fillId="0" borderId="27" xfId="9" applyFont="1" applyFill="1" applyBorder="1" applyAlignment="1">
      <alignment horizontal="center" vertical="center" wrapText="1"/>
    </xf>
    <xf numFmtId="10" fontId="54" fillId="0" borderId="27" xfId="57" applyNumberFormat="1" applyFont="1" applyFill="1" applyBorder="1" applyAlignment="1">
      <alignment horizontal="center" vertical="center"/>
    </xf>
    <xf numFmtId="3" fontId="54" fillId="0" borderId="27" xfId="57" applyNumberFormat="1" applyFont="1" applyFill="1" applyBorder="1"/>
    <xf numFmtId="3" fontId="54" fillId="0" borderId="29" xfId="57" applyNumberFormat="1" applyFont="1" applyFill="1" applyBorder="1"/>
    <xf numFmtId="4" fontId="54" fillId="36" borderId="30" xfId="9" applyNumberFormat="1" applyFont="1" applyFill="1" applyBorder="1"/>
    <xf numFmtId="4" fontId="14" fillId="0" borderId="0" xfId="1" applyNumberFormat="1" applyFill="1"/>
    <xf numFmtId="0" fontId="54" fillId="0" borderId="32" xfId="56" applyFont="1" applyFill="1" applyBorder="1" applyAlignment="1">
      <alignment horizontal="center" vertical="center"/>
    </xf>
    <xf numFmtId="10" fontId="54" fillId="0" borderId="32" xfId="9" applyNumberFormat="1" applyFont="1" applyFill="1" applyBorder="1" applyAlignment="1">
      <alignment horizontal="center" vertical="center"/>
    </xf>
    <xf numFmtId="3" fontId="54" fillId="0" borderId="32" xfId="57" applyNumberFormat="1" applyFont="1" applyFill="1" applyBorder="1"/>
    <xf numFmtId="3" fontId="54" fillId="0" borderId="34" xfId="57" applyNumberFormat="1" applyFont="1" applyFill="1" applyBorder="1"/>
    <xf numFmtId="4" fontId="54" fillId="36" borderId="35" xfId="9" applyNumberFormat="1" applyFont="1" applyFill="1" applyBorder="1"/>
    <xf numFmtId="0" fontId="54" fillId="0" borderId="37" xfId="9" applyFont="1" applyFill="1" applyBorder="1" applyAlignment="1">
      <alignment horizontal="center" wrapText="1"/>
    </xf>
    <xf numFmtId="10" fontId="54" fillId="0" borderId="37" xfId="1" applyNumberFormat="1" applyFont="1" applyFill="1" applyBorder="1" applyAlignment="1">
      <alignment horizontal="center" vertical="center"/>
    </xf>
    <xf numFmtId="3" fontId="54" fillId="0" borderId="37" xfId="1" applyNumberFormat="1" applyFont="1" applyFill="1" applyBorder="1"/>
    <xf numFmtId="3" fontId="54" fillId="0" borderId="37" xfId="9" applyNumberFormat="1" applyFont="1" applyFill="1" applyBorder="1"/>
    <xf numFmtId="3" fontId="54" fillId="0" borderId="38" xfId="1" applyNumberFormat="1" applyFont="1" applyFill="1" applyBorder="1"/>
    <xf numFmtId="0" fontId="54" fillId="0" borderId="40" xfId="9" applyFont="1" applyFill="1" applyBorder="1" applyAlignment="1">
      <alignment horizontal="center" wrapText="1"/>
    </xf>
    <xf numFmtId="3" fontId="54" fillId="0" borderId="40" xfId="1" applyNumberFormat="1" applyFont="1" applyFill="1" applyBorder="1"/>
    <xf numFmtId="3" fontId="54" fillId="0" borderId="40" xfId="9" applyNumberFormat="1" applyFont="1" applyFill="1" applyBorder="1"/>
    <xf numFmtId="3" fontId="54" fillId="0" borderId="41" xfId="1" applyNumberFormat="1" applyFont="1" applyFill="1" applyBorder="1"/>
    <xf numFmtId="0" fontId="54" fillId="0" borderId="27" xfId="9" applyFont="1" applyFill="1" applyBorder="1" applyAlignment="1">
      <alignment horizontal="center" wrapText="1"/>
    </xf>
    <xf numFmtId="10" fontId="54" fillId="0" borderId="27" xfId="1" applyNumberFormat="1" applyFont="1" applyFill="1" applyBorder="1" applyAlignment="1">
      <alignment horizontal="center" vertical="center"/>
    </xf>
    <xf numFmtId="4" fontId="54" fillId="0" borderId="27" xfId="57" applyNumberFormat="1" applyFont="1" applyFill="1" applyBorder="1"/>
    <xf numFmtId="4" fontId="54" fillId="0" borderId="27" xfId="1" applyNumberFormat="1" applyFont="1" applyFill="1" applyBorder="1"/>
    <xf numFmtId="4" fontId="54" fillId="0" borderId="27" xfId="9" applyNumberFormat="1" applyFont="1" applyFill="1" applyBorder="1"/>
    <xf numFmtId="4" fontId="54" fillId="0" borderId="29" xfId="1" applyNumberFormat="1" applyFont="1" applyFill="1" applyBorder="1"/>
    <xf numFmtId="0" fontId="54" fillId="0" borderId="32" xfId="9" applyFont="1" applyFill="1" applyBorder="1" applyAlignment="1">
      <alignment horizontal="center" wrapText="1"/>
    </xf>
    <xf numFmtId="3" fontId="54" fillId="0" borderId="32" xfId="1" applyNumberFormat="1" applyFont="1" applyFill="1" applyBorder="1"/>
    <xf numFmtId="3" fontId="54" fillId="0" borderId="32" xfId="9" applyNumberFormat="1" applyFont="1" applyFill="1" applyBorder="1"/>
    <xf numFmtId="3" fontId="54" fillId="0" borderId="34" xfId="1" applyNumberFormat="1" applyFont="1" applyFill="1" applyBorder="1"/>
    <xf numFmtId="4" fontId="54" fillId="0" borderId="37" xfId="59" applyNumberFormat="1" applyFont="1" applyFill="1" applyBorder="1" applyAlignment="1">
      <alignment horizontal="right" vertical="center"/>
    </xf>
    <xf numFmtId="3" fontId="54" fillId="0" borderId="38" xfId="59" applyNumberFormat="1" applyFont="1" applyFill="1" applyBorder="1" applyAlignment="1">
      <alignment horizontal="right" vertical="center"/>
    </xf>
    <xf numFmtId="0" fontId="14" fillId="4" borderId="0" xfId="1" applyFill="1"/>
    <xf numFmtId="3" fontId="54" fillId="0" borderId="40" xfId="59" applyNumberFormat="1" applyFont="1" applyFill="1" applyBorder="1" applyAlignment="1">
      <alignment horizontal="right" vertical="center"/>
    </xf>
    <xf numFmtId="3" fontId="54" fillId="0" borderId="41" xfId="59" applyNumberFormat="1" applyFont="1" applyFill="1" applyBorder="1" applyAlignment="1">
      <alignment horizontal="right" vertical="center"/>
    </xf>
    <xf numFmtId="4" fontId="54" fillId="0" borderId="27" xfId="59" applyNumberFormat="1" applyFont="1" applyFill="1" applyBorder="1" applyAlignment="1">
      <alignment horizontal="right" vertical="center"/>
    </xf>
    <xf numFmtId="4" fontId="54" fillId="0" borderId="29" xfId="59" applyNumberFormat="1" applyFont="1" applyFill="1" applyBorder="1" applyAlignment="1">
      <alignment horizontal="right" vertical="center"/>
    </xf>
    <xf numFmtId="3" fontId="54" fillId="0" borderId="32" xfId="59" applyNumberFormat="1" applyFont="1" applyFill="1" applyBorder="1" applyAlignment="1">
      <alignment horizontal="right" vertical="center"/>
    </xf>
    <xf numFmtId="3" fontId="54" fillId="0" borderId="34" xfId="59" applyNumberFormat="1" applyFont="1" applyFill="1" applyBorder="1" applyAlignment="1">
      <alignment horizontal="right" vertical="center"/>
    </xf>
    <xf numFmtId="4" fontId="54" fillId="0" borderId="37" xfId="1" applyNumberFormat="1" applyFont="1" applyFill="1" applyBorder="1"/>
    <xf numFmtId="4" fontId="54" fillId="0" borderId="38" xfId="1" applyNumberFormat="1" applyFont="1" applyFill="1" applyBorder="1"/>
    <xf numFmtId="3" fontId="54" fillId="0" borderId="27" xfId="56" applyNumberFormat="1" applyFont="1" applyFill="1" applyBorder="1"/>
    <xf numFmtId="4" fontId="57" fillId="0" borderId="0" xfId="1" applyNumberFormat="1" applyFont="1" applyFill="1"/>
    <xf numFmtId="3" fontId="54" fillId="0" borderId="32" xfId="56" applyNumberFormat="1" applyFont="1" applyFill="1" applyBorder="1"/>
    <xf numFmtId="3" fontId="54" fillId="0" borderId="29" xfId="56" applyNumberFormat="1" applyFont="1" applyFill="1" applyBorder="1"/>
    <xf numFmtId="3" fontId="54" fillId="0" borderId="34" xfId="56" applyNumberFormat="1" applyFont="1" applyFill="1" applyBorder="1"/>
    <xf numFmtId="3" fontId="54" fillId="0" borderId="27" xfId="1" applyNumberFormat="1" applyFont="1" applyFill="1" applyBorder="1"/>
    <xf numFmtId="3" fontId="54" fillId="0" borderId="27" xfId="9" applyNumberFormat="1" applyFont="1" applyFill="1" applyBorder="1"/>
    <xf numFmtId="4" fontId="54" fillId="0" borderId="27" xfId="56" applyNumberFormat="1" applyFont="1" applyFill="1" applyBorder="1"/>
    <xf numFmtId="4" fontId="54" fillId="0" borderId="29" xfId="56" applyNumberFormat="1" applyFont="1" applyFill="1" applyBorder="1"/>
    <xf numFmtId="0" fontId="14" fillId="0" borderId="0" xfId="1" applyFont="1" applyFill="1"/>
    <xf numFmtId="3" fontId="54" fillId="0" borderId="29" xfId="1" applyNumberFormat="1" applyFont="1" applyFill="1" applyBorder="1"/>
    <xf numFmtId="0" fontId="54" fillId="0" borderId="0" xfId="9" applyFont="1" applyFill="1" applyBorder="1" applyAlignment="1"/>
    <xf numFmtId="0" fontId="54" fillId="0" borderId="42" xfId="9" applyFont="1" applyFill="1" applyBorder="1" applyAlignment="1"/>
    <xf numFmtId="3" fontId="58" fillId="0" borderId="29" xfId="57" applyNumberFormat="1" applyFont="1" applyFill="1" applyBorder="1"/>
    <xf numFmtId="3" fontId="58" fillId="0" borderId="34" xfId="57" applyNumberFormat="1" applyFont="1" applyFill="1" applyBorder="1"/>
    <xf numFmtId="4" fontId="59" fillId="0" borderId="27" xfId="56" applyNumberFormat="1" applyFont="1" applyFill="1" applyBorder="1"/>
    <xf numFmtId="0" fontId="54" fillId="0" borderId="32" xfId="56" applyFont="1" applyFill="1" applyBorder="1" applyAlignment="1">
      <alignment horizontal="center"/>
    </xf>
    <xf numFmtId="0" fontId="52" fillId="0" borderId="32" xfId="56" applyFont="1" applyFill="1" applyBorder="1"/>
    <xf numFmtId="3" fontId="58" fillId="0" borderId="27" xfId="57" applyNumberFormat="1" applyFont="1" applyFill="1" applyBorder="1"/>
    <xf numFmtId="3" fontId="58" fillId="0" borderId="32" xfId="57" applyNumberFormat="1" applyFont="1" applyFill="1" applyBorder="1"/>
    <xf numFmtId="0" fontId="54" fillId="39" borderId="42" xfId="1" applyFont="1" applyFill="1" applyBorder="1" applyAlignment="1"/>
    <xf numFmtId="0" fontId="17" fillId="39" borderId="27" xfId="1" applyFont="1" applyFill="1" applyBorder="1" applyAlignment="1"/>
    <xf numFmtId="0" fontId="17" fillId="39" borderId="46" xfId="1" applyFont="1" applyFill="1" applyBorder="1" applyAlignment="1"/>
    <xf numFmtId="4" fontId="17" fillId="39" borderId="46" xfId="1" applyNumberFormat="1" applyFont="1" applyFill="1" applyBorder="1" applyAlignment="1"/>
    <xf numFmtId="0" fontId="17" fillId="39" borderId="47" xfId="1" applyFont="1" applyFill="1" applyBorder="1" applyAlignment="1"/>
    <xf numFmtId="166" fontId="40" fillId="39" borderId="27" xfId="1" applyNumberFormat="1" applyFont="1" applyFill="1" applyBorder="1" applyAlignment="1">
      <alignment horizontal="center"/>
    </xf>
    <xf numFmtId="4" fontId="40" fillId="39" borderId="28" xfId="1" applyNumberFormat="1" applyFont="1" applyFill="1" applyBorder="1" applyAlignment="1">
      <alignment horizontal="center"/>
    </xf>
    <xf numFmtId="0" fontId="54" fillId="39" borderId="43" xfId="1" applyFont="1" applyFill="1" applyBorder="1" applyAlignment="1">
      <alignment horizontal="left"/>
    </xf>
    <xf numFmtId="0" fontId="17" fillId="39" borderId="32" xfId="1" applyFont="1" applyFill="1" applyBorder="1" applyAlignment="1">
      <alignment horizontal="right"/>
    </xf>
    <xf numFmtId="4" fontId="40" fillId="39" borderId="32" xfId="1" applyNumberFormat="1" applyFont="1" applyFill="1" applyBorder="1" applyAlignment="1">
      <alignment horizontal="center"/>
    </xf>
    <xf numFmtId="0" fontId="40" fillId="39" borderId="50" xfId="1" applyFont="1" applyFill="1" applyBorder="1" applyAlignment="1">
      <alignment horizontal="left"/>
    </xf>
    <xf numFmtId="0" fontId="40" fillId="39" borderId="51" xfId="1" applyFont="1" applyFill="1" applyBorder="1" applyAlignment="1">
      <alignment horizontal="center"/>
    </xf>
    <xf numFmtId="4" fontId="40" fillId="39" borderId="51" xfId="1" applyNumberFormat="1" applyFont="1" applyFill="1" applyBorder="1" applyAlignment="1">
      <alignment horizontal="center" vertical="center"/>
    </xf>
    <xf numFmtId="4" fontId="40" fillId="39" borderId="52" xfId="1" applyNumberFormat="1" applyFont="1" applyFill="1" applyBorder="1" applyAlignment="1">
      <alignment horizontal="center" vertical="center"/>
    </xf>
    <xf numFmtId="0" fontId="37" fillId="40" borderId="53" xfId="1" applyFont="1" applyFill="1" applyBorder="1" applyAlignment="1"/>
    <xf numFmtId="0" fontId="17" fillId="40" borderId="12" xfId="1" applyFont="1" applyFill="1" applyBorder="1" applyAlignment="1">
      <alignment horizontal="left"/>
    </xf>
    <xf numFmtId="0" fontId="17" fillId="40" borderId="12" xfId="1" applyFont="1" applyFill="1" applyBorder="1" applyAlignment="1"/>
    <xf numFmtId="0" fontId="17" fillId="39" borderId="56" xfId="1" applyFont="1" applyFill="1" applyBorder="1" applyAlignment="1">
      <alignment horizontal="center"/>
    </xf>
    <xf numFmtId="10" fontId="60" fillId="39" borderId="56" xfId="11" applyNumberFormat="1" applyFont="1" applyFill="1" applyBorder="1" applyAlignment="1">
      <alignment horizontal="center"/>
    </xf>
    <xf numFmtId="10" fontId="60" fillId="39" borderId="54" xfId="11" applyNumberFormat="1" applyFont="1" applyFill="1" applyBorder="1" applyAlignment="1">
      <alignment horizontal="center"/>
    </xf>
    <xf numFmtId="10" fontId="60" fillId="40" borderId="57" xfId="11" applyNumberFormat="1" applyFont="1" applyFill="1" applyBorder="1" applyAlignment="1">
      <alignment horizontal="center"/>
    </xf>
    <xf numFmtId="0" fontId="58" fillId="0" borderId="0" xfId="1" applyFont="1" applyAlignment="1">
      <alignment horizontal="center"/>
    </xf>
    <xf numFmtId="4" fontId="54" fillId="0" borderId="0" xfId="1" applyNumberFormat="1" applyFont="1" applyBorder="1"/>
    <xf numFmtId="0" fontId="58" fillId="0" borderId="0" xfId="1" applyFont="1" applyAlignment="1">
      <alignment vertical="center"/>
    </xf>
    <xf numFmtId="0" fontId="58" fillId="0" borderId="0" xfId="1" applyFont="1" applyAlignment="1">
      <alignment vertical="top"/>
    </xf>
    <xf numFmtId="4" fontId="61" fillId="0" borderId="0" xfId="1" applyNumberFormat="1" applyFont="1"/>
    <xf numFmtId="164" fontId="54" fillId="0" borderId="0" xfId="1" applyNumberFormat="1" applyFont="1"/>
    <xf numFmtId="4" fontId="55" fillId="0" borderId="1" xfId="1" applyNumberFormat="1" applyFont="1" applyBorder="1"/>
    <xf numFmtId="0" fontId="14" fillId="0" borderId="0" xfId="1" applyFill="1" applyBorder="1"/>
    <xf numFmtId="0" fontId="14" fillId="0" borderId="0" xfId="1" applyAlignment="1"/>
    <xf numFmtId="0" fontId="51" fillId="0" borderId="0" xfId="1" applyFont="1" applyAlignment="1"/>
    <xf numFmtId="0" fontId="62" fillId="0" borderId="0" xfId="1" applyFont="1"/>
    <xf numFmtId="166" fontId="62" fillId="0" borderId="0" xfId="1" applyNumberFormat="1" applyFont="1"/>
    <xf numFmtId="0" fontId="54" fillId="0" borderId="27" xfId="1" applyFont="1" applyFill="1" applyBorder="1" applyAlignment="1">
      <alignment horizontal="center" wrapText="1"/>
    </xf>
    <xf numFmtId="0" fontId="54" fillId="0" borderId="27" xfId="1" applyFont="1" applyFill="1" applyBorder="1" applyAlignment="1">
      <alignment horizontal="center" vertical="center" wrapText="1"/>
    </xf>
    <xf numFmtId="10" fontId="54" fillId="0" borderId="27" xfId="1" applyNumberFormat="1" applyFont="1" applyFill="1" applyBorder="1" applyAlignment="1">
      <alignment horizontal="center"/>
    </xf>
    <xf numFmtId="4" fontId="58" fillId="0" borderId="27" xfId="9" applyNumberFormat="1" applyFont="1" applyFill="1" applyBorder="1"/>
    <xf numFmtId="4" fontId="58" fillId="0" borderId="29" xfId="9" applyNumberFormat="1" applyFont="1" applyFill="1" applyBorder="1"/>
    <xf numFmtId="0" fontId="54" fillId="0" borderId="32" xfId="1" applyFont="1" applyFill="1" applyBorder="1" applyAlignment="1">
      <alignment horizontal="center" wrapText="1"/>
    </xf>
    <xf numFmtId="0" fontId="54" fillId="0" borderId="32" xfId="1" applyFont="1" applyFill="1" applyBorder="1" applyAlignment="1">
      <alignment horizontal="center" vertical="center" wrapText="1"/>
    </xf>
    <xf numFmtId="168" fontId="54" fillId="0" borderId="32" xfId="1" applyNumberFormat="1" applyFont="1" applyFill="1" applyBorder="1" applyAlignment="1">
      <alignment horizontal="center"/>
    </xf>
    <xf numFmtId="4" fontId="58" fillId="0" borderId="32" xfId="9" applyNumberFormat="1" applyFont="1" applyFill="1" applyBorder="1"/>
    <xf numFmtId="4" fontId="58" fillId="0" borderId="34" xfId="9" applyNumberFormat="1" applyFont="1" applyFill="1" applyBorder="1"/>
    <xf numFmtId="4" fontId="54" fillId="0" borderId="32" xfId="9" applyNumberFormat="1" applyFont="1" applyFill="1" applyBorder="1"/>
    <xf numFmtId="0" fontId="54" fillId="39" borderId="36" xfId="1" applyFont="1" applyFill="1" applyBorder="1" applyAlignment="1"/>
    <xf numFmtId="166" fontId="40" fillId="39" borderId="37" xfId="1" applyNumberFormat="1" applyFont="1" applyFill="1" applyBorder="1" applyAlignment="1">
      <alignment horizontal="center"/>
    </xf>
    <xf numFmtId="4" fontId="40" fillId="39" borderId="37" xfId="1" applyNumberFormat="1" applyFont="1" applyFill="1" applyBorder="1" applyAlignment="1">
      <alignment horizontal="center" vertical="center"/>
    </xf>
    <xf numFmtId="0" fontId="54" fillId="39" borderId="60" xfId="1" applyFont="1" applyFill="1" applyBorder="1" applyAlignment="1">
      <alignment horizontal="center"/>
    </xf>
    <xf numFmtId="0" fontId="17" fillId="39" borderId="61" xfId="1" applyFont="1" applyFill="1" applyBorder="1" applyAlignment="1">
      <alignment horizontal="center"/>
    </xf>
    <xf numFmtId="4" fontId="40" fillId="39" borderId="61" xfId="1" applyNumberFormat="1" applyFont="1" applyFill="1" applyBorder="1" applyAlignment="1">
      <alignment horizontal="center" vertical="center"/>
    </xf>
    <xf numFmtId="0" fontId="40" fillId="39" borderId="62" xfId="1" applyFont="1" applyFill="1" applyBorder="1" applyAlignment="1">
      <alignment horizontal="center"/>
    </xf>
    <xf numFmtId="0" fontId="40" fillId="39" borderId="63" xfId="1" applyFont="1" applyFill="1" applyBorder="1" applyAlignment="1">
      <alignment horizontal="center"/>
    </xf>
    <xf numFmtId="4" fontId="40" fillId="39" borderId="63" xfId="1" applyNumberFormat="1" applyFont="1" applyFill="1" applyBorder="1" applyAlignment="1">
      <alignment horizontal="center" vertical="center"/>
    </xf>
    <xf numFmtId="4" fontId="40" fillId="39" borderId="64" xfId="1" applyNumberFormat="1" applyFont="1" applyFill="1" applyBorder="1" applyAlignment="1">
      <alignment horizontal="center" vertical="center"/>
    </xf>
    <xf numFmtId="4" fontId="14" fillId="0" borderId="0" xfId="1" applyNumberFormat="1"/>
    <xf numFmtId="0" fontId="51" fillId="0" borderId="0" xfId="1" applyFont="1" applyAlignment="1">
      <alignment vertical="center"/>
    </xf>
    <xf numFmtId="4" fontId="40" fillId="39" borderId="27" xfId="1" applyNumberFormat="1" applyFont="1" applyFill="1" applyBorder="1" applyAlignment="1">
      <alignment horizontal="center" vertical="center"/>
    </xf>
    <xf numFmtId="4" fontId="40" fillId="39" borderId="65" xfId="1" applyNumberFormat="1" applyFont="1" applyFill="1" applyBorder="1" applyAlignment="1">
      <alignment horizontal="center" vertical="center"/>
    </xf>
    <xf numFmtId="4" fontId="40" fillId="39" borderId="66" xfId="1" applyNumberFormat="1" applyFont="1" applyFill="1" applyBorder="1" applyAlignment="1">
      <alignment horizontal="center" vertical="center"/>
    </xf>
    <xf numFmtId="4" fontId="14" fillId="0" borderId="0" xfId="1" applyNumberFormat="1" applyFill="1" applyBorder="1"/>
    <xf numFmtId="0" fontId="40" fillId="39" borderId="50" xfId="1" applyFont="1" applyFill="1" applyBorder="1" applyAlignment="1">
      <alignment horizontal="center"/>
    </xf>
    <xf numFmtId="0" fontId="63" fillId="0" borderId="0" xfId="60" applyFont="1" applyProtection="1">
      <protection locked="0"/>
    </xf>
    <xf numFmtId="0" fontId="38" fillId="0" borderId="0" xfId="1" applyFont="1" applyBorder="1" applyAlignment="1">
      <alignment wrapText="1"/>
    </xf>
    <xf numFmtId="0" fontId="39" fillId="0" borderId="0" xfId="1" applyFont="1" applyBorder="1"/>
    <xf numFmtId="0" fontId="39" fillId="0" borderId="0" xfId="1" applyFont="1" applyAlignment="1">
      <alignment horizontal="right"/>
    </xf>
    <xf numFmtId="0" fontId="38" fillId="0" borderId="0" xfId="60" applyFont="1" applyProtection="1">
      <protection locked="0"/>
    </xf>
    <xf numFmtId="0" fontId="12" fillId="0" borderId="0" xfId="1" applyFont="1"/>
    <xf numFmtId="0" fontId="38" fillId="0" borderId="0" xfId="60" applyFont="1" applyBorder="1" applyProtection="1">
      <protection locked="0"/>
    </xf>
    <xf numFmtId="3" fontId="11" fillId="0" borderId="0" xfId="1" applyNumberFormat="1" applyFont="1"/>
    <xf numFmtId="14" fontId="37" fillId="0" borderId="0" xfId="60" applyNumberFormat="1" applyFont="1" applyProtection="1"/>
    <xf numFmtId="3" fontId="8" fillId="0" borderId="0" xfId="0" applyNumberFormat="1" applyFont="1"/>
    <xf numFmtId="0" fontId="54" fillId="0" borderId="27" xfId="9" applyFont="1" applyFill="1" applyBorder="1" applyAlignment="1">
      <alignment horizontal="center" wrapText="1"/>
    </xf>
    <xf numFmtId="0" fontId="14" fillId="0" borderId="0" xfId="61" applyFont="1"/>
    <xf numFmtId="3" fontId="17" fillId="40" borderId="55" xfId="9" applyNumberFormat="1" applyFont="1" applyFill="1" applyBorder="1" applyAlignment="1">
      <alignment horizontal="center"/>
    </xf>
    <xf numFmtId="0" fontId="17" fillId="0" borderId="0" xfId="1" applyFont="1" applyAlignment="1"/>
    <xf numFmtId="0" fontId="17" fillId="40" borderId="12" xfId="1" applyFont="1" applyFill="1" applyBorder="1" applyAlignment="1">
      <alignment horizontal="left"/>
    </xf>
    <xf numFmtId="0" fontId="54" fillId="0" borderId="27" xfId="9" applyFont="1" applyFill="1" applyBorder="1" applyAlignment="1">
      <alignment horizontal="center" wrapText="1"/>
    </xf>
    <xf numFmtId="4" fontId="54" fillId="0" borderId="32" xfId="57" applyNumberFormat="1" applyFont="1" applyFill="1" applyBorder="1"/>
    <xf numFmtId="4" fontId="54" fillId="0" borderId="37" xfId="57" applyNumberFormat="1" applyFont="1" applyFill="1" applyBorder="1"/>
    <xf numFmtId="4" fontId="54" fillId="0" borderId="40" xfId="57" applyNumberFormat="1" applyFont="1" applyFill="1" applyBorder="1"/>
    <xf numFmtId="4" fontId="56" fillId="0" borderId="37" xfId="59" applyNumberFormat="1" applyFont="1" applyFill="1" applyBorder="1" applyAlignment="1">
      <alignment horizontal="right" vertical="center"/>
    </xf>
    <xf numFmtId="4" fontId="54" fillId="0" borderId="40" xfId="59" applyNumberFormat="1" applyFont="1" applyFill="1" applyBorder="1" applyAlignment="1">
      <alignment horizontal="right" vertical="center"/>
    </xf>
    <xf numFmtId="4" fontId="54" fillId="0" borderId="32" xfId="59" applyNumberFormat="1" applyFont="1" applyFill="1" applyBorder="1" applyAlignment="1">
      <alignment horizontal="right" vertical="center"/>
    </xf>
    <xf numFmtId="4" fontId="54" fillId="0" borderId="32" xfId="56" applyNumberFormat="1" applyFont="1" applyFill="1" applyBorder="1"/>
    <xf numFmtId="4" fontId="14" fillId="0" borderId="0" xfId="1" applyNumberFormat="1" applyFont="1" applyFill="1"/>
    <xf numFmtId="4" fontId="54" fillId="0" borderId="0" xfId="1" applyNumberFormat="1" applyFont="1" applyFill="1"/>
    <xf numFmtId="4" fontId="54" fillId="0" borderId="29" xfId="57" applyNumberFormat="1" applyFont="1" applyFill="1" applyBorder="1"/>
    <xf numFmtId="0" fontId="54" fillId="0" borderId="32" xfId="56" applyFont="1" applyFill="1" applyBorder="1"/>
    <xf numFmtId="3" fontId="65" fillId="40" borderId="12" xfId="9" applyNumberFormat="1" applyFont="1" applyFill="1" applyBorder="1" applyAlignment="1"/>
    <xf numFmtId="0" fontId="17" fillId="39" borderId="15" xfId="1" applyFont="1" applyFill="1" applyBorder="1" applyAlignment="1">
      <alignment horizontal="center"/>
    </xf>
    <xf numFmtId="0" fontId="37" fillId="40" borderId="14" xfId="1" applyFont="1" applyFill="1" applyBorder="1" applyAlignment="1"/>
    <xf numFmtId="4" fontId="54" fillId="41" borderId="27" xfId="57" applyNumberFormat="1" applyFont="1" applyFill="1" applyBorder="1"/>
    <xf numFmtId="10" fontId="60" fillId="40" borderId="15" xfId="11" applyNumberFormat="1" applyFont="1" applyFill="1" applyBorder="1" applyAlignment="1">
      <alignment horizontal="center"/>
    </xf>
    <xf numFmtId="10" fontId="40" fillId="39" borderId="14" xfId="11" applyNumberFormat="1" applyFont="1" applyFill="1" applyBorder="1" applyAlignment="1">
      <alignment horizontal="center"/>
    </xf>
    <xf numFmtId="10" fontId="40" fillId="39" borderId="12" xfId="11" applyNumberFormat="1" applyFont="1" applyFill="1" applyBorder="1" applyAlignment="1">
      <alignment horizontal="center"/>
    </xf>
    <xf numFmtId="10" fontId="14" fillId="0" borderId="0" xfId="1" applyNumberFormat="1"/>
    <xf numFmtId="0" fontId="17" fillId="40" borderId="61" xfId="1" applyFont="1" applyFill="1" applyBorder="1" applyAlignment="1">
      <alignment horizontal="center"/>
    </xf>
    <xf numFmtId="4" fontId="60" fillId="41" borderId="0" xfId="1" applyNumberFormat="1" applyFont="1" applyFill="1" applyBorder="1"/>
    <xf numFmtId="4" fontId="60" fillId="0" borderId="0" xfId="1" applyNumberFormat="1" applyFont="1" applyBorder="1"/>
    <xf numFmtId="4" fontId="40" fillId="0" borderId="67" xfId="1" applyNumberFormat="1" applyFont="1" applyBorder="1"/>
    <xf numFmtId="0" fontId="40" fillId="0" borderId="0" xfId="1" applyFont="1" applyFill="1" applyBorder="1" applyAlignment="1">
      <alignment horizontal="center"/>
    </xf>
    <xf numFmtId="166" fontId="40" fillId="0" borderId="0" xfId="1" applyNumberFormat="1" applyFont="1" applyFill="1" applyBorder="1" applyAlignment="1">
      <alignment horizontal="left"/>
    </xf>
    <xf numFmtId="0" fontId="40" fillId="0" borderId="0" xfId="1" applyFont="1" applyFill="1" applyBorder="1" applyAlignment="1">
      <alignment horizontal="left"/>
    </xf>
    <xf numFmtId="4" fontId="40" fillId="0" borderId="0" xfId="1" applyNumberFormat="1" applyFont="1" applyFill="1" applyBorder="1" applyAlignment="1">
      <alignment horizontal="center" vertical="center"/>
    </xf>
    <xf numFmtId="4" fontId="54" fillId="0" borderId="29" xfId="9" applyNumberFormat="1" applyFont="1" applyFill="1" applyBorder="1"/>
    <xf numFmtId="4" fontId="54" fillId="0" borderId="34" xfId="9" applyNumberFormat="1" applyFont="1" applyFill="1" applyBorder="1"/>
    <xf numFmtId="0" fontId="11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center"/>
    </xf>
    <xf numFmtId="0" fontId="42" fillId="0" borderId="0" xfId="0" applyFont="1" applyAlignment="1">
      <alignment wrapText="1"/>
    </xf>
    <xf numFmtId="0" fontId="42" fillId="0" borderId="0" xfId="0" applyFont="1" applyAlignment="1">
      <alignment horizontal="right" vertical="center"/>
    </xf>
    <xf numFmtId="0" fontId="44" fillId="0" borderId="0" xfId="0" applyFont="1"/>
    <xf numFmtId="0" fontId="45" fillId="2" borderId="1" xfId="0" applyFont="1" applyFill="1" applyBorder="1" applyAlignment="1">
      <alignment horizontal="center" vertical="center" wrapText="1"/>
    </xf>
    <xf numFmtId="3" fontId="11" fillId="0" borderId="1" xfId="0" applyNumberFormat="1" applyFont="1" applyBorder="1"/>
    <xf numFmtId="3" fontId="10" fillId="0" borderId="1" xfId="0" applyNumberFormat="1" applyFont="1" applyBorder="1"/>
    <xf numFmtId="3" fontId="11" fillId="4" borderId="1" xfId="0" applyNumberFormat="1" applyFont="1" applyFill="1" applyBorder="1"/>
    <xf numFmtId="0" fontId="11" fillId="3" borderId="1" xfId="0" applyFont="1" applyFill="1" applyBorder="1"/>
    <xf numFmtId="3" fontId="9" fillId="3" borderId="1" xfId="0" applyNumberFormat="1" applyFont="1" applyFill="1" applyBorder="1"/>
    <xf numFmtId="3" fontId="45" fillId="3" borderId="1" xfId="0" applyNumberFormat="1" applyFont="1" applyFill="1" applyBorder="1"/>
    <xf numFmtId="0" fontId="66" fillId="0" borderId="0" xfId="0" applyFont="1" applyAlignment="1">
      <alignment wrapText="1"/>
    </xf>
    <xf numFmtId="0" fontId="3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3" fontId="17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 wrapText="1"/>
    </xf>
    <xf numFmtId="0" fontId="43" fillId="0" borderId="1" xfId="0" applyFont="1" applyBorder="1" applyAlignment="1">
      <alignment vertical="center"/>
    </xf>
    <xf numFmtId="0" fontId="12" fillId="0" borderId="1" xfId="7" applyFont="1" applyBorder="1" applyAlignment="1">
      <alignment horizontal="left" vertical="center" wrapText="1" indent="2"/>
    </xf>
    <xf numFmtId="3" fontId="12" fillId="0" borderId="1" xfId="0" applyNumberFormat="1" applyFont="1" applyBorder="1" applyAlignment="1">
      <alignment vertical="center" wrapText="1"/>
    </xf>
    <xf numFmtId="3" fontId="35" fillId="0" borderId="1" xfId="0" applyNumberFormat="1" applyFont="1" applyBorder="1" applyAlignment="1">
      <alignment vertical="center" wrapText="1"/>
    </xf>
    <xf numFmtId="0" fontId="9" fillId="36" borderId="1" xfId="0" applyFont="1" applyFill="1" applyBorder="1" applyAlignment="1">
      <alignment vertical="center"/>
    </xf>
    <xf numFmtId="0" fontId="12" fillId="36" borderId="1" xfId="7" applyFont="1" applyFill="1" applyBorder="1" applyAlignment="1">
      <alignment horizontal="left" vertical="center" wrapText="1" indent="2"/>
    </xf>
    <xf numFmtId="3" fontId="12" fillId="36" borderId="1" xfId="0" applyNumberFormat="1" applyFont="1" applyFill="1" applyBorder="1" applyAlignment="1">
      <alignment horizontal="center" vertical="center"/>
    </xf>
    <xf numFmtId="3" fontId="35" fillId="36" borderId="1" xfId="0" applyNumberFormat="1" applyFont="1" applyFill="1" applyBorder="1" applyAlignment="1">
      <alignment vertical="center"/>
    </xf>
    <xf numFmtId="3" fontId="12" fillId="36" borderId="1" xfId="0" applyNumberFormat="1" applyFont="1" applyFill="1" applyBorder="1" applyAlignment="1">
      <alignment vertical="center" wrapText="1"/>
    </xf>
    <xf numFmtId="3" fontId="35" fillId="36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3" fontId="17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 wrapText="1"/>
    </xf>
    <xf numFmtId="0" fontId="39" fillId="0" borderId="0" xfId="0" applyFont="1"/>
    <xf numFmtId="0" fontId="39" fillId="0" borderId="0" xfId="0" applyFont="1" applyAlignment="1">
      <alignment horizontal="right"/>
    </xf>
    <xf numFmtId="0" fontId="67" fillId="0" borderId="0" xfId="0" applyFont="1"/>
    <xf numFmtId="0" fontId="14" fillId="0" borderId="0" xfId="1" applyFont="1"/>
    <xf numFmtId="3" fontId="11" fillId="37" borderId="0" xfId="1" applyNumberFormat="1" applyFont="1" applyFill="1" applyAlignment="1">
      <alignment horizontal="right" vertical="top" wrapText="1"/>
    </xf>
    <xf numFmtId="0" fontId="37" fillId="37" borderId="0" xfId="1" applyFont="1" applyFill="1" applyAlignment="1">
      <alignment horizontal="right" vertical="top" wrapText="1"/>
    </xf>
    <xf numFmtId="0" fontId="11" fillId="37" borderId="0" xfId="1" applyFont="1" applyFill="1" applyAlignment="1">
      <alignment horizontal="left" vertical="top" wrapText="1"/>
    </xf>
    <xf numFmtId="0" fontId="9" fillId="37" borderId="1" xfId="1" applyFont="1" applyFill="1" applyBorder="1" applyAlignment="1">
      <alignment horizontal="center" vertical="center" wrapText="1"/>
    </xf>
    <xf numFmtId="0" fontId="51" fillId="0" borderId="0" xfId="1" applyFont="1"/>
    <xf numFmtId="0" fontId="9" fillId="37" borderId="0" xfId="1" applyFont="1" applyFill="1" applyAlignment="1">
      <alignment horizontal="left" vertical="top" wrapText="1"/>
    </xf>
    <xf numFmtId="3" fontId="9" fillId="37" borderId="0" xfId="1" applyNumberFormat="1" applyFont="1" applyFill="1" applyAlignment="1">
      <alignment horizontal="right" vertical="top" wrapText="1"/>
    </xf>
    <xf numFmtId="0" fontId="45" fillId="37" borderId="0" xfId="1" applyFont="1" applyFill="1" applyAlignment="1">
      <alignment horizontal="left" vertical="top" wrapText="1"/>
    </xf>
    <xf numFmtId="3" fontId="45" fillId="37" borderId="0" xfId="1" applyNumberFormat="1" applyFont="1" applyFill="1" applyAlignment="1">
      <alignment horizontal="right" vertical="top" wrapText="1"/>
    </xf>
    <xf numFmtId="0" fontId="53" fillId="0" borderId="0" xfId="1" applyFont="1"/>
    <xf numFmtId="0" fontId="14" fillId="0" borderId="0" xfId="1" applyFont="1" applyAlignment="1">
      <alignment horizontal="right"/>
    </xf>
    <xf numFmtId="0" fontId="38" fillId="0" borderId="0" xfId="1" applyFont="1" applyAlignment="1">
      <alignment horizontal="right"/>
    </xf>
    <xf numFmtId="0" fontId="52" fillId="0" borderId="0" xfId="1" applyFont="1"/>
    <xf numFmtId="3" fontId="17" fillId="40" borderId="55" xfId="9" applyNumberFormat="1" applyFont="1" applyFill="1" applyBorder="1" applyAlignment="1"/>
    <xf numFmtId="0" fontId="11" fillId="37" borderId="0" xfId="1" applyFont="1" applyFill="1" applyAlignment="1">
      <alignment horizontal="left" vertical="top" wrapText="1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4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right" vertical="center"/>
    </xf>
    <xf numFmtId="0" fontId="41" fillId="37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1" fillId="37" borderId="0" xfId="1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1" fillId="37" borderId="0" xfId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8" fillId="37" borderId="0" xfId="1" applyFont="1" applyFill="1" applyAlignment="1">
      <alignment horizontal="right" vertical="top" wrapText="1"/>
    </xf>
    <xf numFmtId="0" fontId="41" fillId="37" borderId="13" xfId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9" fillId="37" borderId="14" xfId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55" fillId="38" borderId="16" xfId="1" applyFont="1" applyFill="1" applyBorder="1" applyAlignment="1">
      <alignment horizontal="center" vertical="center" wrapText="1"/>
    </xf>
    <xf numFmtId="0" fontId="55" fillId="38" borderId="21" xfId="1" applyFont="1" applyFill="1" applyBorder="1" applyAlignment="1">
      <alignment horizontal="center" vertical="center" wrapText="1"/>
    </xf>
    <xf numFmtId="0" fontId="55" fillId="38" borderId="17" xfId="1" applyFont="1" applyFill="1" applyBorder="1" applyAlignment="1">
      <alignment horizontal="center" vertical="center" wrapText="1"/>
    </xf>
    <xf numFmtId="0" fontId="55" fillId="38" borderId="22" xfId="1" applyFont="1" applyFill="1" applyBorder="1" applyAlignment="1">
      <alignment horizontal="center" vertical="center" wrapText="1"/>
    </xf>
    <xf numFmtId="0" fontId="55" fillId="2" borderId="18" xfId="1" applyFont="1" applyFill="1" applyBorder="1" applyAlignment="1">
      <alignment horizontal="center" vertical="center"/>
    </xf>
    <xf numFmtId="0" fontId="55" fillId="2" borderId="23" xfId="1" applyFont="1" applyFill="1" applyBorder="1" applyAlignment="1">
      <alignment horizontal="center" vertical="center"/>
    </xf>
    <xf numFmtId="0" fontId="54" fillId="0" borderId="26" xfId="9" applyFont="1" applyFill="1" applyBorder="1" applyAlignment="1"/>
    <xf numFmtId="0" fontId="54" fillId="0" borderId="31" xfId="9" applyFont="1" applyFill="1" applyBorder="1" applyAlignment="1"/>
    <xf numFmtId="0" fontId="54" fillId="0" borderId="28" xfId="56" applyFont="1" applyFill="1" applyBorder="1" applyAlignment="1">
      <alignment horizontal="center" vertical="center" wrapText="1"/>
    </xf>
    <xf numFmtId="0" fontId="54" fillId="0" borderId="33" xfId="56" applyFont="1" applyFill="1" applyBorder="1" applyAlignment="1">
      <alignment horizontal="center" vertical="center" wrapText="1"/>
    </xf>
    <xf numFmtId="4" fontId="54" fillId="0" borderId="28" xfId="59" applyNumberFormat="1" applyFont="1" applyFill="1" applyBorder="1" applyAlignment="1">
      <alignment horizontal="center" vertical="center"/>
    </xf>
    <xf numFmtId="4" fontId="54" fillId="0" borderId="33" xfId="59" applyNumberFormat="1" applyFont="1" applyFill="1" applyBorder="1" applyAlignment="1">
      <alignment horizontal="center" vertical="center"/>
    </xf>
    <xf numFmtId="0" fontId="54" fillId="0" borderId="28" xfId="9" applyFont="1" applyFill="1" applyBorder="1" applyAlignment="1">
      <alignment horizontal="center" vertical="center" wrapText="1"/>
    </xf>
    <xf numFmtId="0" fontId="54" fillId="0" borderId="33" xfId="9" applyFont="1" applyFill="1" applyBorder="1" applyAlignment="1">
      <alignment horizontal="center" vertical="center" wrapText="1"/>
    </xf>
    <xf numFmtId="0" fontId="54" fillId="0" borderId="36" xfId="9" applyFont="1" applyFill="1" applyBorder="1" applyAlignment="1"/>
    <xf numFmtId="0" fontId="54" fillId="0" borderId="39" xfId="9" applyFont="1" applyFill="1" applyBorder="1" applyAlignment="1"/>
    <xf numFmtId="0" fontId="54" fillId="0" borderId="37" xfId="1" applyFont="1" applyFill="1" applyBorder="1" applyAlignment="1">
      <alignment horizontal="center" vertical="center" wrapText="1"/>
    </xf>
    <xf numFmtId="0" fontId="54" fillId="0" borderId="40" xfId="1" applyFont="1" applyFill="1" applyBorder="1" applyAlignment="1">
      <alignment horizontal="center" vertical="center" wrapText="1"/>
    </xf>
    <xf numFmtId="0" fontId="54" fillId="0" borderId="37" xfId="9" applyFont="1" applyFill="1" applyBorder="1" applyAlignment="1">
      <alignment horizontal="center" vertical="center" wrapText="1"/>
    </xf>
    <xf numFmtId="0" fontId="54" fillId="0" borderId="40" xfId="9" applyFont="1" applyFill="1" applyBorder="1" applyAlignment="1">
      <alignment horizontal="center" vertical="center" wrapText="1"/>
    </xf>
    <xf numFmtId="4" fontId="54" fillId="0" borderId="37" xfId="59" applyNumberFormat="1" applyFont="1" applyFill="1" applyBorder="1" applyAlignment="1">
      <alignment horizontal="center" vertical="center"/>
    </xf>
    <xf numFmtId="4" fontId="54" fillId="0" borderId="40" xfId="59" applyNumberFormat="1" applyFont="1" applyFill="1" applyBorder="1" applyAlignment="1">
      <alignment horizontal="center" vertical="center"/>
    </xf>
    <xf numFmtId="14" fontId="54" fillId="0" borderId="37" xfId="9" applyNumberFormat="1" applyFont="1" applyFill="1" applyBorder="1" applyAlignment="1">
      <alignment horizontal="center" vertical="center" wrapText="1"/>
    </xf>
    <xf numFmtId="0" fontId="54" fillId="0" borderId="42" xfId="9" applyFont="1" applyFill="1" applyBorder="1" applyAlignment="1"/>
    <xf numFmtId="0" fontId="54" fillId="0" borderId="43" xfId="9" applyFont="1" applyFill="1" applyBorder="1" applyAlignment="1"/>
    <xf numFmtId="0" fontId="54" fillId="0" borderId="27" xfId="1" applyFont="1" applyFill="1" applyBorder="1" applyAlignment="1">
      <alignment horizontal="center" vertical="center" wrapText="1"/>
    </xf>
    <xf numFmtId="0" fontId="54" fillId="0" borderId="32" xfId="1" applyFont="1" applyFill="1" applyBorder="1" applyAlignment="1">
      <alignment horizontal="center" vertical="center" wrapText="1"/>
    </xf>
    <xf numFmtId="0" fontId="54" fillId="0" borderId="27" xfId="9" applyFont="1" applyFill="1" applyBorder="1" applyAlignment="1">
      <alignment horizontal="center" vertical="center" wrapText="1"/>
    </xf>
    <xf numFmtId="0" fontId="54" fillId="0" borderId="32" xfId="9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/>
    </xf>
    <xf numFmtId="4" fontId="54" fillId="0" borderId="32" xfId="59" applyNumberFormat="1" applyFont="1" applyFill="1" applyBorder="1" applyAlignment="1">
      <alignment horizontal="center" vertical="center"/>
    </xf>
    <xf numFmtId="3" fontId="54" fillId="0" borderId="27" xfId="56" applyNumberFormat="1" applyFont="1" applyFill="1" applyBorder="1" applyAlignment="1">
      <alignment horizontal="center" vertical="center" wrapText="1"/>
    </xf>
    <xf numFmtId="0" fontId="54" fillId="0" borderId="32" xfId="56" applyFont="1" applyFill="1" applyBorder="1" applyAlignment="1">
      <alignment horizontal="center" vertical="center" wrapText="1"/>
    </xf>
    <xf numFmtId="4" fontId="54" fillId="0" borderId="27" xfId="59" applyNumberFormat="1" applyFont="1" applyFill="1" applyBorder="1" applyAlignment="1">
      <alignment horizontal="center" vertical="center" wrapText="1"/>
    </xf>
    <xf numFmtId="4" fontId="54" fillId="0" borderId="32" xfId="59" applyNumberFormat="1" applyFont="1" applyFill="1" applyBorder="1" applyAlignment="1">
      <alignment horizontal="center" vertical="center" wrapText="1"/>
    </xf>
    <xf numFmtId="0" fontId="54" fillId="0" borderId="27" xfId="56" applyFont="1" applyFill="1" applyBorder="1" applyAlignment="1">
      <alignment horizontal="center" vertical="center" wrapText="1"/>
    </xf>
    <xf numFmtId="4" fontId="54" fillId="0" borderId="44" xfId="59" applyNumberFormat="1" applyFont="1" applyFill="1" applyBorder="1" applyAlignment="1">
      <alignment horizontal="center" vertical="center"/>
    </xf>
    <xf numFmtId="4" fontId="54" fillId="0" borderId="45" xfId="59" applyNumberFormat="1" applyFont="1" applyFill="1" applyBorder="1" applyAlignment="1">
      <alignment horizontal="center" vertical="center"/>
    </xf>
    <xf numFmtId="0" fontId="54" fillId="0" borderId="28" xfId="1" applyFont="1" applyFill="1" applyBorder="1" applyAlignment="1">
      <alignment horizontal="center" vertical="center" wrapText="1"/>
    </xf>
    <xf numFmtId="0" fontId="54" fillId="0" borderId="33" xfId="1" applyFont="1" applyFill="1" applyBorder="1" applyAlignment="1">
      <alignment horizontal="center" vertical="center" wrapText="1"/>
    </xf>
    <xf numFmtId="4" fontId="54" fillId="0" borderId="28" xfId="59" applyNumberFormat="1" applyFont="1" applyFill="1" applyBorder="1" applyAlignment="1">
      <alignment horizontal="center" vertical="center" wrapText="1"/>
    </xf>
    <xf numFmtId="4" fontId="54" fillId="0" borderId="33" xfId="59" applyNumberFormat="1" applyFont="1" applyFill="1" applyBorder="1" applyAlignment="1">
      <alignment horizontal="center" vertical="center" wrapText="1"/>
    </xf>
    <xf numFmtId="0" fontId="58" fillId="0" borderId="42" xfId="9" applyFont="1" applyFill="1" applyBorder="1" applyAlignment="1"/>
    <xf numFmtId="0" fontId="58" fillId="0" borderId="43" xfId="9" applyFont="1" applyFill="1" applyBorder="1" applyAlignment="1"/>
    <xf numFmtId="0" fontId="54" fillId="0" borderId="42" xfId="1" applyFont="1" applyFill="1" applyBorder="1" applyAlignment="1"/>
    <xf numFmtId="0" fontId="54" fillId="0" borderId="43" xfId="1" applyFont="1" applyFill="1" applyBorder="1" applyAlignment="1"/>
    <xf numFmtId="0" fontId="54" fillId="0" borderId="36" xfId="1" applyFont="1" applyFill="1" applyBorder="1" applyAlignment="1"/>
    <xf numFmtId="0" fontId="54" fillId="0" borderId="39" xfId="1" applyFont="1" applyFill="1" applyBorder="1" applyAlignment="1"/>
    <xf numFmtId="166" fontId="40" fillId="40" borderId="51" xfId="1" applyNumberFormat="1" applyFont="1" applyFill="1" applyBorder="1" applyAlignment="1">
      <alignment horizontal="left"/>
    </xf>
    <xf numFmtId="0" fontId="40" fillId="40" borderId="51" xfId="1" applyFont="1" applyFill="1" applyBorder="1" applyAlignment="1">
      <alignment horizontal="left"/>
    </xf>
    <xf numFmtId="0" fontId="17" fillId="40" borderId="54" xfId="1" applyFont="1" applyFill="1" applyBorder="1" applyAlignment="1">
      <alignment horizontal="left"/>
    </xf>
    <xf numFmtId="0" fontId="17" fillId="40" borderId="12" xfId="1" applyFont="1" applyFill="1" applyBorder="1" applyAlignment="1">
      <alignment horizontal="left"/>
    </xf>
    <xf numFmtId="0" fontId="55" fillId="0" borderId="0" xfId="1" applyFont="1" applyAlignment="1">
      <alignment horizontal="center"/>
    </xf>
    <xf numFmtId="0" fontId="60" fillId="0" borderId="0" xfId="1" applyFont="1" applyAlignment="1">
      <alignment horizontal="right"/>
    </xf>
    <xf numFmtId="0" fontId="50" fillId="0" borderId="0" xfId="1" applyFont="1" applyAlignment="1">
      <alignment horizontal="center"/>
    </xf>
    <xf numFmtId="167" fontId="54" fillId="0" borderId="27" xfId="59" applyNumberFormat="1" applyFont="1" applyFill="1" applyBorder="1" applyAlignment="1">
      <alignment horizontal="center" vertical="center"/>
    </xf>
    <xf numFmtId="167" fontId="54" fillId="0" borderId="32" xfId="59" applyNumberFormat="1" applyFont="1" applyFill="1" applyBorder="1" applyAlignment="1">
      <alignment horizontal="center" vertical="center"/>
    </xf>
    <xf numFmtId="0" fontId="54" fillId="0" borderId="27" xfId="1" applyFont="1" applyFill="1" applyBorder="1" applyAlignment="1">
      <alignment horizontal="center" wrapText="1"/>
    </xf>
    <xf numFmtId="0" fontId="54" fillId="0" borderId="32" xfId="1" applyFont="1" applyFill="1" applyBorder="1" applyAlignment="1">
      <alignment horizontal="center" wrapText="1"/>
    </xf>
    <xf numFmtId="0" fontId="58" fillId="0" borderId="27" xfId="56" applyFont="1" applyFill="1" applyBorder="1" applyAlignment="1">
      <alignment horizontal="center" vertical="center" wrapText="1"/>
    </xf>
    <xf numFmtId="0" fontId="58" fillId="0" borderId="32" xfId="56" applyFont="1" applyFill="1" applyBorder="1" applyAlignment="1">
      <alignment horizontal="center" vertical="center" wrapText="1"/>
    </xf>
    <xf numFmtId="4" fontId="58" fillId="0" borderId="27" xfId="59" applyNumberFormat="1" applyFont="1" applyFill="1" applyBorder="1" applyAlignment="1">
      <alignment horizontal="center" vertical="center"/>
    </xf>
    <xf numFmtId="4" fontId="58" fillId="0" borderId="32" xfId="59" applyNumberFormat="1" applyFont="1" applyFill="1" applyBorder="1" applyAlignment="1">
      <alignment horizontal="center" vertical="center"/>
    </xf>
    <xf numFmtId="0" fontId="58" fillId="0" borderId="27" xfId="9" applyFont="1" applyFill="1" applyBorder="1" applyAlignment="1">
      <alignment horizontal="center" vertical="center" wrapText="1"/>
    </xf>
    <xf numFmtId="0" fontId="58" fillId="0" borderId="32" xfId="9" applyFont="1" applyFill="1" applyBorder="1" applyAlignment="1">
      <alignment horizontal="center" vertical="center" wrapText="1"/>
    </xf>
    <xf numFmtId="166" fontId="17" fillId="39" borderId="34" xfId="1" applyNumberFormat="1" applyFont="1" applyFill="1" applyBorder="1" applyAlignment="1">
      <alignment horizontal="left"/>
    </xf>
    <xf numFmtId="166" fontId="17" fillId="39" borderId="48" xfId="1" applyNumberFormat="1" applyFont="1" applyFill="1" applyBorder="1" applyAlignment="1">
      <alignment horizontal="left"/>
    </xf>
    <xf numFmtId="166" fontId="17" fillId="39" borderId="49" xfId="1" applyNumberFormat="1" applyFont="1" applyFill="1" applyBorder="1" applyAlignment="1">
      <alignment horizontal="left"/>
    </xf>
    <xf numFmtId="0" fontId="41" fillId="0" borderId="0" xfId="56" applyFont="1" applyBorder="1" applyAlignment="1">
      <alignment horizontal="center"/>
    </xf>
    <xf numFmtId="0" fontId="17" fillId="39" borderId="37" xfId="1" applyFont="1" applyFill="1" applyBorder="1" applyAlignment="1">
      <alignment horizontal="center"/>
    </xf>
    <xf numFmtId="0" fontId="17" fillId="39" borderId="58" xfId="1" applyFont="1" applyFill="1" applyBorder="1" applyAlignment="1">
      <alignment horizontal="center"/>
    </xf>
    <xf numFmtId="0" fontId="17" fillId="39" borderId="59" xfId="1" applyFont="1" applyFill="1" applyBorder="1" applyAlignment="1">
      <alignment horizontal="center"/>
    </xf>
    <xf numFmtId="166" fontId="17" fillId="39" borderId="61" xfId="1" applyNumberFormat="1" applyFont="1" applyFill="1" applyBorder="1" applyAlignment="1">
      <alignment horizontal="left"/>
    </xf>
    <xf numFmtId="166" fontId="40" fillId="39" borderId="63" xfId="1" applyNumberFormat="1" applyFont="1" applyFill="1" applyBorder="1" applyAlignment="1">
      <alignment horizontal="left"/>
    </xf>
    <xf numFmtId="0" fontId="40" fillId="39" borderId="63" xfId="1" applyFont="1" applyFill="1" applyBorder="1" applyAlignment="1">
      <alignment horizontal="left"/>
    </xf>
    <xf numFmtId="0" fontId="17" fillId="39" borderId="27" xfId="1" applyFont="1" applyFill="1" applyBorder="1" applyAlignment="1">
      <alignment horizontal="left"/>
    </xf>
    <xf numFmtId="0" fontId="17" fillId="39" borderId="46" xfId="1" applyFont="1" applyFill="1" applyBorder="1" applyAlignment="1">
      <alignment horizontal="left"/>
    </xf>
    <xf numFmtId="0" fontId="17" fillId="39" borderId="47" xfId="1" applyFont="1" applyFill="1" applyBorder="1" applyAlignment="1">
      <alignment horizontal="left"/>
    </xf>
    <xf numFmtId="166" fontId="40" fillId="39" borderId="51" xfId="1" applyNumberFormat="1" applyFont="1" applyFill="1" applyBorder="1" applyAlignment="1">
      <alignment horizontal="left"/>
    </xf>
    <xf numFmtId="0" fontId="40" fillId="39" borderId="51" xfId="1" applyFont="1" applyFill="1" applyBorder="1" applyAlignment="1">
      <alignment horizontal="left"/>
    </xf>
    <xf numFmtId="0" fontId="54" fillId="0" borderId="26" xfId="1" applyFont="1" applyFill="1" applyBorder="1" applyAlignment="1">
      <alignment horizontal="right"/>
    </xf>
    <xf numFmtId="0" fontId="54" fillId="0" borderId="31" xfId="1" applyFont="1" applyFill="1" applyBorder="1" applyAlignment="1">
      <alignment horizontal="right"/>
    </xf>
    <xf numFmtId="3" fontId="54" fillId="0" borderId="27" xfId="1" applyNumberFormat="1" applyFont="1" applyFill="1" applyBorder="1" applyAlignment="1">
      <alignment horizontal="center" vertical="center" wrapText="1"/>
    </xf>
    <xf numFmtId="0" fontId="54" fillId="0" borderId="27" xfId="9" applyFont="1" applyFill="1" applyBorder="1" applyAlignment="1">
      <alignment horizontal="center" wrapText="1"/>
    </xf>
    <xf numFmtId="0" fontId="54" fillId="0" borderId="32" xfId="9" applyFont="1" applyFill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45" fillId="2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wrapText="1"/>
    </xf>
    <xf numFmtId="0" fontId="9" fillId="3" borderId="1" xfId="0" applyFont="1" applyFill="1" applyBorder="1" applyAlignment="1">
      <alignment horizontal="left" wrapText="1"/>
    </xf>
    <xf numFmtId="0" fontId="11" fillId="37" borderId="0" xfId="1" applyFont="1" applyFill="1" applyAlignment="1">
      <alignment horizontal="left" vertical="top" wrapText="1"/>
    </xf>
    <xf numFmtId="0" fontId="9" fillId="37" borderId="0" xfId="1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45" fillId="37" borderId="0" xfId="1" applyFont="1" applyFill="1" applyAlignment="1">
      <alignment horizontal="left" vertical="top" wrapText="1"/>
    </xf>
    <xf numFmtId="0" fontId="68" fillId="0" borderId="0" xfId="0" applyFont="1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1" fillId="37" borderId="14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62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_Pašvaldības saistības 2" xfId="59"/>
    <cellStyle name="Explanatory Text" xfId="28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10" xfId="61"/>
    <cellStyle name="Normal 2" xfId="1"/>
    <cellStyle name="Normal 2 2" xfId="3"/>
    <cellStyle name="Normal 2 2 2" xfId="9"/>
    <cellStyle name="Normal 3" xfId="8"/>
    <cellStyle name="Normal 3 2" xfId="54"/>
    <cellStyle name="Normal 4" xfId="12"/>
    <cellStyle name="Normal 5" xfId="2"/>
    <cellStyle name="Normal 5 2" xfId="6"/>
    <cellStyle name="Normal 5 2 2" xfId="56"/>
    <cellStyle name="Normal 6" xfId="10"/>
    <cellStyle name="Normal 6 2" xfId="57"/>
    <cellStyle name="Normal 7" xfId="7"/>
    <cellStyle name="Normal 8" xfId="55"/>
    <cellStyle name="Normal 9" xfId="58"/>
    <cellStyle name="Normal_Pamatformas 2" xfId="60"/>
    <cellStyle name="Note" xfId="27" builtinId="10" customBuiltin="1"/>
    <cellStyle name="Output" xfId="22" builtinId="21" customBuiltin="1"/>
    <cellStyle name="Percent 4" xfId="4"/>
    <cellStyle name="Percent 4 2" xfId="11"/>
    <cellStyle name="Percent 5" xfId="5"/>
    <cellStyle name="Title" xfId="13" builtinId="15" customBuiltin="1"/>
    <cellStyle name="Total" xfId="29" builtinId="25" customBuiltin="1"/>
    <cellStyle name="Warning Text" xfId="26" builtinId="11" customBuiltin="1"/>
  </cellStyles>
  <dxfs count="0"/>
  <tableStyles count="0" defaultTableStyle="TableStyleMedium2" defaultPivotStyle="PivotStyleLight16"/>
  <colors>
    <mruColors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A66" zoomScaleNormal="100" workbookViewId="0">
      <selection activeCell="C3" sqref="C3:E3"/>
    </sheetView>
  </sheetViews>
  <sheetFormatPr defaultColWidth="9.140625" defaultRowHeight="15" x14ac:dyDescent="0.25"/>
  <cols>
    <col min="1" max="1" width="9.85546875" style="13" customWidth="1"/>
    <col min="2" max="2" width="37.42578125" style="14" customWidth="1"/>
    <col min="3" max="3" width="12.5703125" style="1" customWidth="1"/>
    <col min="4" max="4" width="11.7109375" style="1" customWidth="1"/>
    <col min="5" max="5" width="12.5703125" style="1" customWidth="1"/>
    <col min="6" max="6" width="9.140625" style="1"/>
    <col min="7" max="7" width="10.28515625" style="1" bestFit="1" customWidth="1"/>
    <col min="8" max="16384" width="9.140625" style="1"/>
  </cols>
  <sheetData>
    <row r="1" spans="1:9" x14ac:dyDescent="0.25">
      <c r="A1" s="43"/>
      <c r="B1" s="121"/>
      <c r="C1" s="19"/>
      <c r="D1" s="372" t="s">
        <v>0</v>
      </c>
      <c r="E1" s="372"/>
      <c r="I1" s="2"/>
    </row>
    <row r="2" spans="1:9" x14ac:dyDescent="0.25">
      <c r="A2" s="41"/>
      <c r="B2" s="372" t="s">
        <v>881</v>
      </c>
      <c r="C2" s="372"/>
      <c r="D2" s="372"/>
      <c r="E2" s="372"/>
    </row>
    <row r="3" spans="1:9" x14ac:dyDescent="0.25">
      <c r="A3" s="41"/>
      <c r="B3" s="121"/>
      <c r="C3" s="373" t="s">
        <v>882</v>
      </c>
      <c r="D3" s="373"/>
      <c r="E3" s="373"/>
    </row>
    <row r="4" spans="1:9" x14ac:dyDescent="0.25">
      <c r="A4" s="41"/>
      <c r="B4" s="42"/>
      <c r="C4" s="20"/>
      <c r="D4" s="20"/>
      <c r="E4" s="20"/>
    </row>
    <row r="5" spans="1:9" ht="18.75" x14ac:dyDescent="0.25">
      <c r="A5" s="374" t="s">
        <v>434</v>
      </c>
      <c r="B5" s="374"/>
      <c r="C5" s="374"/>
      <c r="D5" s="374"/>
      <c r="E5" s="374"/>
    </row>
    <row r="6" spans="1:9" x14ac:dyDescent="0.25">
      <c r="A6" s="375" t="s">
        <v>1</v>
      </c>
      <c r="B6" s="375"/>
      <c r="C6" s="375"/>
      <c r="D6" s="375"/>
      <c r="E6" s="375"/>
    </row>
    <row r="7" spans="1:9" x14ac:dyDescent="0.25">
      <c r="A7" s="41"/>
      <c r="B7" s="42"/>
      <c r="C7" s="20"/>
      <c r="D7" s="20"/>
      <c r="E7" s="34" t="s">
        <v>10</v>
      </c>
    </row>
    <row r="8" spans="1:9" ht="38.25" x14ac:dyDescent="0.25">
      <c r="A8" s="40" t="s">
        <v>4</v>
      </c>
      <c r="B8" s="40" t="s">
        <v>2</v>
      </c>
      <c r="C8" s="40" t="s">
        <v>435</v>
      </c>
      <c r="D8" s="40" t="s">
        <v>98</v>
      </c>
      <c r="E8" s="318" t="s">
        <v>820</v>
      </c>
    </row>
    <row r="9" spans="1:9" ht="21.75" customHeight="1" x14ac:dyDescent="0.25">
      <c r="A9" s="77"/>
      <c r="B9" s="78" t="s">
        <v>21</v>
      </c>
      <c r="C9" s="79">
        <f>C10+C20+C49+C59</f>
        <v>78150360</v>
      </c>
      <c r="D9" s="79">
        <f>D10+D20+D49+D59</f>
        <v>12034906</v>
      </c>
      <c r="E9" s="79">
        <f>E10+E20+E49+E59</f>
        <v>90185266</v>
      </c>
      <c r="G9" s="38"/>
    </row>
    <row r="10" spans="1:9" x14ac:dyDescent="0.25">
      <c r="A10" s="30"/>
      <c r="B10" s="45" t="s">
        <v>22</v>
      </c>
      <c r="C10" s="29">
        <f>C11+C14+C19</f>
        <v>43457938</v>
      </c>
      <c r="D10" s="29">
        <f>D11+D14+D19</f>
        <v>0</v>
      </c>
      <c r="E10" s="29">
        <f t="shared" ref="E10" si="0">E11+E14+E19</f>
        <v>43457938</v>
      </c>
    </row>
    <row r="11" spans="1:9" ht="17.25" customHeight="1" x14ac:dyDescent="0.25">
      <c r="A11" s="63" t="s">
        <v>436</v>
      </c>
      <c r="B11" s="64" t="s">
        <v>437</v>
      </c>
      <c r="C11" s="23">
        <f>C12+C13</f>
        <v>39303841</v>
      </c>
      <c r="D11" s="23">
        <f t="shared" ref="D11:E11" si="1">D12+D13</f>
        <v>0</v>
      </c>
      <c r="E11" s="23">
        <f t="shared" si="1"/>
        <v>39303841</v>
      </c>
    </row>
    <row r="12" spans="1:9" ht="38.25" x14ac:dyDescent="0.25">
      <c r="A12" s="65" t="s">
        <v>6</v>
      </c>
      <c r="B12" s="66" t="s">
        <v>7</v>
      </c>
      <c r="C12" s="67">
        <v>179779</v>
      </c>
      <c r="D12" s="67">
        <v>0</v>
      </c>
      <c r="E12" s="67">
        <f>C12+D12</f>
        <v>179779</v>
      </c>
    </row>
    <row r="13" spans="1:9" ht="38.25" x14ac:dyDescent="0.25">
      <c r="A13" s="68" t="s">
        <v>8</v>
      </c>
      <c r="B13" s="26" t="s">
        <v>9</v>
      </c>
      <c r="C13" s="69">
        <f>38623136+500926</f>
        <v>39124062</v>
      </c>
      <c r="D13" s="67">
        <v>0</v>
      </c>
      <c r="E13" s="69">
        <f>C13+D13</f>
        <v>39124062</v>
      </c>
    </row>
    <row r="14" spans="1:9" x14ac:dyDescent="0.25">
      <c r="A14" s="63" t="s">
        <v>11</v>
      </c>
      <c r="B14" s="64" t="s">
        <v>12</v>
      </c>
      <c r="C14" s="23">
        <f>C15+C16+C17</f>
        <v>3720000</v>
      </c>
      <c r="D14" s="23">
        <f t="shared" ref="D14" si="2">D15+D16+D17</f>
        <v>0</v>
      </c>
      <c r="E14" s="23">
        <f>E15+E16+E17</f>
        <v>3720000</v>
      </c>
    </row>
    <row r="15" spans="1:9" x14ac:dyDescent="0.25">
      <c r="A15" s="68" t="s">
        <v>13</v>
      </c>
      <c r="B15" s="26" t="s">
        <v>14</v>
      </c>
      <c r="C15" s="69">
        <v>1433561</v>
      </c>
      <c r="D15" s="69">
        <v>0</v>
      </c>
      <c r="E15" s="69">
        <f>C15+D15</f>
        <v>1433561</v>
      </c>
    </row>
    <row r="16" spans="1:9" x14ac:dyDescent="0.25">
      <c r="A16" s="68" t="s">
        <v>15</v>
      </c>
      <c r="B16" s="26" t="s">
        <v>16</v>
      </c>
      <c r="C16" s="69">
        <v>1435393</v>
      </c>
      <c r="D16" s="69">
        <v>0</v>
      </c>
      <c r="E16" s="69">
        <f>C16+D16</f>
        <v>1435393</v>
      </c>
    </row>
    <row r="17" spans="1:5" ht="25.5" x14ac:dyDescent="0.25">
      <c r="A17" s="68" t="s">
        <v>17</v>
      </c>
      <c r="B17" s="26" t="s">
        <v>18</v>
      </c>
      <c r="C17" s="69">
        <v>851046</v>
      </c>
      <c r="D17" s="69">
        <v>0</v>
      </c>
      <c r="E17" s="69">
        <f>C17+D17</f>
        <v>851046</v>
      </c>
    </row>
    <row r="18" spans="1:5" ht="25.5" x14ac:dyDescent="0.25">
      <c r="A18" s="63" t="s">
        <v>438</v>
      </c>
      <c r="B18" s="64" t="s">
        <v>439</v>
      </c>
      <c r="C18" s="23">
        <f>C19</f>
        <v>434097</v>
      </c>
      <c r="D18" s="23">
        <f>D19</f>
        <v>0</v>
      </c>
      <c r="E18" s="23">
        <f>E19</f>
        <v>434097</v>
      </c>
    </row>
    <row r="19" spans="1:5" x14ac:dyDescent="0.25">
      <c r="A19" s="68" t="s">
        <v>19</v>
      </c>
      <c r="B19" s="26" t="s">
        <v>20</v>
      </c>
      <c r="C19" s="69">
        <v>434097</v>
      </c>
      <c r="D19" s="69">
        <v>0</v>
      </c>
      <c r="E19" s="69">
        <f>C19+D19</f>
        <v>434097</v>
      </c>
    </row>
    <row r="20" spans="1:5" x14ac:dyDescent="0.25">
      <c r="A20" s="30"/>
      <c r="B20" s="45" t="s">
        <v>23</v>
      </c>
      <c r="C20" s="29">
        <f>C21+C34+C38+C45</f>
        <v>263217</v>
      </c>
      <c r="D20" s="29">
        <f>D21+D34+D38+D45</f>
        <v>2990</v>
      </c>
      <c r="E20" s="29">
        <f>E21+E34+E38+E45</f>
        <v>266207</v>
      </c>
    </row>
    <row r="21" spans="1:5" ht="25.5" x14ac:dyDescent="0.25">
      <c r="A21" s="63" t="s">
        <v>25</v>
      </c>
      <c r="B21" s="64" t="s">
        <v>26</v>
      </c>
      <c r="C21" s="23">
        <f>C22+C26</f>
        <v>59200</v>
      </c>
      <c r="D21" s="23">
        <f>D22+D26</f>
        <v>900</v>
      </c>
      <c r="E21" s="23">
        <f>E22+E26</f>
        <v>60100</v>
      </c>
    </row>
    <row r="22" spans="1:5" ht="25.5" x14ac:dyDescent="0.25">
      <c r="A22" s="70" t="s">
        <v>27</v>
      </c>
      <c r="B22" s="64" t="s">
        <v>28</v>
      </c>
      <c r="C22" s="23">
        <f>SUM(C23:C25)</f>
        <v>16900</v>
      </c>
      <c r="D22" s="23">
        <f>SUM(D23:D25)</f>
        <v>0</v>
      </c>
      <c r="E22" s="23">
        <f>SUM(E23:E25)</f>
        <v>16900</v>
      </c>
    </row>
    <row r="23" spans="1:5" ht="38.25" x14ac:dyDescent="0.25">
      <c r="A23" s="68" t="s">
        <v>29</v>
      </c>
      <c r="B23" s="26" t="s">
        <v>30</v>
      </c>
      <c r="C23" s="69">
        <v>2500</v>
      </c>
      <c r="D23" s="69">
        <v>0</v>
      </c>
      <c r="E23" s="69">
        <f>C23+D23</f>
        <v>2500</v>
      </c>
    </row>
    <row r="24" spans="1:5" ht="63.75" x14ac:dyDescent="0.25">
      <c r="A24" s="68" t="s">
        <v>31</v>
      </c>
      <c r="B24" s="26" t="s">
        <v>32</v>
      </c>
      <c r="C24" s="69">
        <v>9400</v>
      </c>
      <c r="D24" s="69">
        <v>0</v>
      </c>
      <c r="E24" s="69">
        <f t="shared" ref="E24:E33" si="3">C24+D24</f>
        <v>9400</v>
      </c>
    </row>
    <row r="25" spans="1:5" ht="25.5" x14ac:dyDescent="0.25">
      <c r="A25" s="68" t="s">
        <v>33</v>
      </c>
      <c r="B25" s="26" t="s">
        <v>34</v>
      </c>
      <c r="C25" s="69">
        <v>5000</v>
      </c>
      <c r="D25" s="69">
        <v>0</v>
      </c>
      <c r="E25" s="69">
        <f t="shared" si="3"/>
        <v>5000</v>
      </c>
    </row>
    <row r="26" spans="1:5" x14ac:dyDescent="0.25">
      <c r="A26" s="70" t="s">
        <v>35</v>
      </c>
      <c r="B26" s="64" t="s">
        <v>36</v>
      </c>
      <c r="C26" s="23">
        <f>SUM(C27:C33)</f>
        <v>42300</v>
      </c>
      <c r="D26" s="23">
        <f t="shared" ref="D26:E26" si="4">SUM(D27:D33)</f>
        <v>900</v>
      </c>
      <c r="E26" s="23">
        <f t="shared" si="4"/>
        <v>43200</v>
      </c>
    </row>
    <row r="27" spans="1:5" ht="38.25" x14ac:dyDescent="0.25">
      <c r="A27" s="68" t="s">
        <v>37</v>
      </c>
      <c r="B27" s="26" t="s">
        <v>38</v>
      </c>
      <c r="C27" s="69">
        <v>10300</v>
      </c>
      <c r="D27" s="67">
        <v>-1800</v>
      </c>
      <c r="E27" s="69">
        <f t="shared" si="3"/>
        <v>8500</v>
      </c>
    </row>
    <row r="28" spans="1:5" ht="38.25" x14ac:dyDescent="0.25">
      <c r="A28" s="68" t="s">
        <v>39</v>
      </c>
      <c r="B28" s="26" t="s">
        <v>45</v>
      </c>
      <c r="C28" s="69">
        <v>500</v>
      </c>
      <c r="D28" s="67">
        <v>0</v>
      </c>
      <c r="E28" s="69">
        <f t="shared" si="3"/>
        <v>500</v>
      </c>
    </row>
    <row r="29" spans="1:5" ht="25.5" x14ac:dyDescent="0.25">
      <c r="A29" s="68" t="s">
        <v>40</v>
      </c>
      <c r="B29" s="26" t="s">
        <v>46</v>
      </c>
      <c r="C29" s="69">
        <v>2200</v>
      </c>
      <c r="D29" s="67">
        <v>-200</v>
      </c>
      <c r="E29" s="69">
        <f t="shared" si="3"/>
        <v>2000</v>
      </c>
    </row>
    <row r="30" spans="1:5" ht="25.5" x14ac:dyDescent="0.25">
      <c r="A30" s="68" t="s">
        <v>41</v>
      </c>
      <c r="B30" s="26" t="s">
        <v>47</v>
      </c>
      <c r="C30" s="69">
        <v>2300</v>
      </c>
      <c r="D30" s="67">
        <v>2900</v>
      </c>
      <c r="E30" s="69">
        <f t="shared" si="3"/>
        <v>5200</v>
      </c>
    </row>
    <row r="31" spans="1:5" ht="28.5" customHeight="1" x14ac:dyDescent="0.25">
      <c r="A31" s="68" t="s">
        <v>42</v>
      </c>
      <c r="B31" s="26" t="s">
        <v>48</v>
      </c>
      <c r="C31" s="69">
        <v>8000</v>
      </c>
      <c r="D31" s="69">
        <v>0</v>
      </c>
      <c r="E31" s="69">
        <f t="shared" si="3"/>
        <v>8000</v>
      </c>
    </row>
    <row r="32" spans="1:5" ht="25.5" x14ac:dyDescent="0.25">
      <c r="A32" s="68" t="s">
        <v>43</v>
      </c>
      <c r="B32" s="26" t="s">
        <v>440</v>
      </c>
      <c r="C32" s="69">
        <v>15000</v>
      </c>
      <c r="D32" s="69">
        <v>0</v>
      </c>
      <c r="E32" s="69">
        <f t="shared" si="3"/>
        <v>15000</v>
      </c>
    </row>
    <row r="33" spans="1:5" x14ac:dyDescent="0.25">
      <c r="A33" s="68" t="s">
        <v>44</v>
      </c>
      <c r="B33" s="26" t="s">
        <v>49</v>
      </c>
      <c r="C33" s="69">
        <v>4000</v>
      </c>
      <c r="D33" s="69">
        <v>0</v>
      </c>
      <c r="E33" s="69">
        <f t="shared" si="3"/>
        <v>4000</v>
      </c>
    </row>
    <row r="34" spans="1:5" x14ac:dyDescent="0.25">
      <c r="A34" s="63" t="s">
        <v>50</v>
      </c>
      <c r="B34" s="64" t="s">
        <v>51</v>
      </c>
      <c r="C34" s="23">
        <f>C35</f>
        <v>135500</v>
      </c>
      <c r="D34" s="23">
        <f t="shared" ref="D34:E34" si="5">D35</f>
        <v>0</v>
      </c>
      <c r="E34" s="23">
        <f t="shared" si="5"/>
        <v>135500</v>
      </c>
    </row>
    <row r="35" spans="1:5" x14ac:dyDescent="0.25">
      <c r="A35" s="70" t="s">
        <v>54</v>
      </c>
      <c r="B35" s="64" t="s">
        <v>55</v>
      </c>
      <c r="C35" s="23">
        <f>SUM(C36:C37)</f>
        <v>135500</v>
      </c>
      <c r="D35" s="23">
        <f t="shared" ref="D35:E35" si="6">SUM(D36:D37)</f>
        <v>0</v>
      </c>
      <c r="E35" s="23">
        <f t="shared" si="6"/>
        <v>135500</v>
      </c>
    </row>
    <row r="36" spans="1:5" x14ac:dyDescent="0.25">
      <c r="A36" s="68" t="s">
        <v>52</v>
      </c>
      <c r="B36" s="26" t="s">
        <v>53</v>
      </c>
      <c r="C36" s="69">
        <v>62500</v>
      </c>
      <c r="D36" s="69">
        <v>0</v>
      </c>
      <c r="E36" s="69">
        <f>C36+D36</f>
        <v>62500</v>
      </c>
    </row>
    <row r="37" spans="1:5" ht="24.75" customHeight="1" x14ac:dyDescent="0.25">
      <c r="A37" s="68" t="s">
        <v>56</v>
      </c>
      <c r="B37" s="26" t="s">
        <v>57</v>
      </c>
      <c r="C37" s="69">
        <v>73000</v>
      </c>
      <c r="D37" s="69">
        <v>0</v>
      </c>
      <c r="E37" s="69">
        <f>C37+D37</f>
        <v>73000</v>
      </c>
    </row>
    <row r="38" spans="1:5" x14ac:dyDescent="0.25">
      <c r="A38" s="71" t="s">
        <v>58</v>
      </c>
      <c r="B38" s="72" t="s">
        <v>59</v>
      </c>
      <c r="C38" s="27">
        <f>C39+C41</f>
        <v>6331</v>
      </c>
      <c r="D38" s="27">
        <f t="shared" ref="D38:E38" si="7">D39+D41</f>
        <v>2090</v>
      </c>
      <c r="E38" s="27">
        <f t="shared" si="7"/>
        <v>8421</v>
      </c>
    </row>
    <row r="39" spans="1:5" ht="38.25" x14ac:dyDescent="0.25">
      <c r="A39" s="73" t="s">
        <v>379</v>
      </c>
      <c r="B39" s="72" t="s">
        <v>382</v>
      </c>
      <c r="C39" s="27">
        <f>C40</f>
        <v>6050</v>
      </c>
      <c r="D39" s="27">
        <f>D40</f>
        <v>0</v>
      </c>
      <c r="E39" s="27">
        <f>E40</f>
        <v>6050</v>
      </c>
    </row>
    <row r="40" spans="1:5" ht="25.5" x14ac:dyDescent="0.25">
      <c r="A40" s="65" t="s">
        <v>380</v>
      </c>
      <c r="B40" s="66" t="s">
        <v>381</v>
      </c>
      <c r="C40" s="67">
        <v>6050</v>
      </c>
      <c r="D40" s="67">
        <v>0</v>
      </c>
      <c r="E40" s="67">
        <f>C40+D40</f>
        <v>6050</v>
      </c>
    </row>
    <row r="41" spans="1:5" x14ac:dyDescent="0.25">
      <c r="A41" s="73" t="s">
        <v>60</v>
      </c>
      <c r="B41" s="72" t="s">
        <v>441</v>
      </c>
      <c r="C41" s="27">
        <f>C44+C42+C43</f>
        <v>281</v>
      </c>
      <c r="D41" s="27">
        <f t="shared" ref="D41:E41" si="8">D44+D42+D43</f>
        <v>2090</v>
      </c>
      <c r="E41" s="27">
        <f t="shared" si="8"/>
        <v>2371</v>
      </c>
    </row>
    <row r="42" spans="1:5" ht="15.75" customHeight="1" x14ac:dyDescent="0.25">
      <c r="A42" s="65" t="s">
        <v>442</v>
      </c>
      <c r="B42" s="66" t="s">
        <v>426</v>
      </c>
      <c r="C42" s="67">
        <f>281</f>
        <v>281</v>
      </c>
      <c r="D42" s="67">
        <v>332</v>
      </c>
      <c r="E42" s="67">
        <f t="shared" ref="E42:E43" si="9">C42+D42</f>
        <v>613</v>
      </c>
    </row>
    <row r="43" spans="1:5" ht="25.5" hidden="1" x14ac:dyDescent="0.25">
      <c r="A43" s="81" t="s">
        <v>427</v>
      </c>
      <c r="B43" s="82" t="s">
        <v>443</v>
      </c>
      <c r="C43" s="83">
        <v>0</v>
      </c>
      <c r="D43" s="83">
        <v>0</v>
      </c>
      <c r="E43" s="83">
        <f t="shared" si="9"/>
        <v>0</v>
      </c>
    </row>
    <row r="44" spans="1:5" ht="31.5" customHeight="1" x14ac:dyDescent="0.25">
      <c r="A44" s="65" t="s">
        <v>414</v>
      </c>
      <c r="B44" s="66" t="s">
        <v>422</v>
      </c>
      <c r="C44" s="67">
        <v>0</v>
      </c>
      <c r="D44" s="67">
        <v>1758</v>
      </c>
      <c r="E44" s="67">
        <f>C44+D44</f>
        <v>1758</v>
      </c>
    </row>
    <row r="45" spans="1:5" ht="42.75" customHeight="1" x14ac:dyDescent="0.25">
      <c r="A45" s="63" t="s">
        <v>61</v>
      </c>
      <c r="B45" s="64" t="s">
        <v>64</v>
      </c>
      <c r="C45" s="23">
        <f>SUM(C46:C48)</f>
        <v>62186</v>
      </c>
      <c r="D45" s="23">
        <f>SUM(D46:D48)</f>
        <v>0</v>
      </c>
      <c r="E45" s="23">
        <f>SUM(E46:E48)</f>
        <v>62186</v>
      </c>
    </row>
    <row r="46" spans="1:5" ht="25.5" x14ac:dyDescent="0.25">
      <c r="A46" s="68" t="s">
        <v>62</v>
      </c>
      <c r="B46" s="26" t="s">
        <v>63</v>
      </c>
      <c r="C46" s="69">
        <v>41050</v>
      </c>
      <c r="D46" s="69">
        <v>0</v>
      </c>
      <c r="E46" s="69">
        <f>C46+D46</f>
        <v>41050</v>
      </c>
    </row>
    <row r="47" spans="1:5" ht="18" customHeight="1" x14ac:dyDescent="0.25">
      <c r="A47" s="68" t="s">
        <v>444</v>
      </c>
      <c r="B47" s="26" t="s">
        <v>451</v>
      </c>
      <c r="C47" s="69">
        <v>21136</v>
      </c>
      <c r="D47" s="69">
        <v>0</v>
      </c>
      <c r="E47" s="69">
        <f>C47+D47</f>
        <v>21136</v>
      </c>
    </row>
    <row r="48" spans="1:5" ht="30" hidden="1" customHeight="1" x14ac:dyDescent="0.25">
      <c r="A48" s="81" t="s">
        <v>334</v>
      </c>
      <c r="B48" s="82" t="s">
        <v>335</v>
      </c>
      <c r="C48" s="83">
        <v>0</v>
      </c>
      <c r="D48" s="83">
        <v>0</v>
      </c>
      <c r="E48" s="83">
        <f>C48+D48</f>
        <v>0</v>
      </c>
    </row>
    <row r="49" spans="1:5" x14ac:dyDescent="0.25">
      <c r="A49" s="46"/>
      <c r="B49" s="45" t="s">
        <v>65</v>
      </c>
      <c r="C49" s="47">
        <f>C52+C57+C50</f>
        <v>32634503</v>
      </c>
      <c r="D49" s="47">
        <f>D52+D57+D50</f>
        <v>11942990</v>
      </c>
      <c r="E49" s="47">
        <f>E52+E57+E50</f>
        <v>44577493</v>
      </c>
    </row>
    <row r="50" spans="1:5" s="18" customFormat="1" ht="38.25" x14ac:dyDescent="0.25">
      <c r="A50" s="116" t="s">
        <v>445</v>
      </c>
      <c r="B50" s="117" t="s">
        <v>330</v>
      </c>
      <c r="C50" s="118">
        <f>C51</f>
        <v>51595</v>
      </c>
      <c r="D50" s="27">
        <f>D51</f>
        <v>10000</v>
      </c>
      <c r="E50" s="27">
        <f>E51</f>
        <v>61595</v>
      </c>
    </row>
    <row r="51" spans="1:5" s="18" customFormat="1" ht="51" x14ac:dyDescent="0.25">
      <c r="A51" s="119" t="s">
        <v>446</v>
      </c>
      <c r="B51" s="120" t="s">
        <v>331</v>
      </c>
      <c r="C51" s="74">
        <f>51595</f>
        <v>51595</v>
      </c>
      <c r="D51" s="67">
        <v>10000</v>
      </c>
      <c r="E51" s="67">
        <f>C51+D51</f>
        <v>61595</v>
      </c>
    </row>
    <row r="52" spans="1:5" x14ac:dyDescent="0.25">
      <c r="A52" s="63" t="s">
        <v>66</v>
      </c>
      <c r="B52" s="64" t="s">
        <v>67</v>
      </c>
      <c r="C52" s="23">
        <f>C53</f>
        <v>31876273</v>
      </c>
      <c r="D52" s="23">
        <f t="shared" ref="D52:E52" si="10">D53</f>
        <v>11932990</v>
      </c>
      <c r="E52" s="23">
        <f t="shared" si="10"/>
        <v>43809263</v>
      </c>
    </row>
    <row r="53" spans="1:5" ht="25.5" x14ac:dyDescent="0.25">
      <c r="A53" s="70" t="s">
        <v>68</v>
      </c>
      <c r="B53" s="64" t="s">
        <v>447</v>
      </c>
      <c r="C53" s="23">
        <f>SUM(C54:C56)</f>
        <v>31876273</v>
      </c>
      <c r="D53" s="27">
        <f>SUM(D54:D56)</f>
        <v>11932990</v>
      </c>
      <c r="E53" s="23">
        <f>SUM(E54:E56)</f>
        <v>43809263</v>
      </c>
    </row>
    <row r="54" spans="1:5" ht="25.5" x14ac:dyDescent="0.25">
      <c r="A54" s="68" t="s">
        <v>69</v>
      </c>
      <c r="B54" s="26" t="s">
        <v>448</v>
      </c>
      <c r="C54" s="69">
        <f>9142784+177168</f>
        <v>9319952</v>
      </c>
      <c r="D54" s="67">
        <v>4540932</v>
      </c>
      <c r="E54" s="69">
        <f>C54+D54</f>
        <v>13860884</v>
      </c>
    </row>
    <row r="55" spans="1:5" ht="65.25" customHeight="1" x14ac:dyDescent="0.25">
      <c r="A55" s="68" t="s">
        <v>70</v>
      </c>
      <c r="B55" s="26" t="s">
        <v>72</v>
      </c>
      <c r="C55" s="69">
        <f>15002073+1682921</f>
        <v>16684994</v>
      </c>
      <c r="D55" s="67">
        <v>7392058</v>
      </c>
      <c r="E55" s="69">
        <f t="shared" ref="E55:E56" si="11">C55+D55</f>
        <v>24077052</v>
      </c>
    </row>
    <row r="56" spans="1:5" ht="27.75" customHeight="1" x14ac:dyDescent="0.25">
      <c r="A56" s="68" t="s">
        <v>71</v>
      </c>
      <c r="B56" s="26" t="s">
        <v>73</v>
      </c>
      <c r="C56" s="69">
        <f>6372253-500926</f>
        <v>5871327</v>
      </c>
      <c r="D56" s="67">
        <v>0</v>
      </c>
      <c r="E56" s="69">
        <f t="shared" si="11"/>
        <v>5871327</v>
      </c>
    </row>
    <row r="57" spans="1:5" x14ac:dyDescent="0.25">
      <c r="A57" s="63" t="s">
        <v>74</v>
      </c>
      <c r="B57" s="64" t="s">
        <v>320</v>
      </c>
      <c r="C57" s="23">
        <f>C58</f>
        <v>706635</v>
      </c>
      <c r="D57" s="27">
        <f t="shared" ref="D57:E57" si="12">D58</f>
        <v>0</v>
      </c>
      <c r="E57" s="23">
        <f t="shared" si="12"/>
        <v>706635</v>
      </c>
    </row>
    <row r="58" spans="1:5" ht="25.5" x14ac:dyDescent="0.25">
      <c r="A58" s="68" t="s">
        <v>75</v>
      </c>
      <c r="B58" s="26" t="s">
        <v>76</v>
      </c>
      <c r="C58" s="69">
        <f>701493+5142</f>
        <v>706635</v>
      </c>
      <c r="D58" s="67">
        <v>0</v>
      </c>
      <c r="E58" s="69">
        <f>C58+D58</f>
        <v>706635</v>
      </c>
    </row>
    <row r="59" spans="1:5" ht="28.5" x14ac:dyDescent="0.25">
      <c r="A59" s="30"/>
      <c r="B59" s="45" t="s">
        <v>77</v>
      </c>
      <c r="C59" s="29">
        <f>C60</f>
        <v>1794702</v>
      </c>
      <c r="D59" s="29">
        <f t="shared" ref="D59:E59" si="13">D60</f>
        <v>88926</v>
      </c>
      <c r="E59" s="29">
        <f t="shared" si="13"/>
        <v>1883628</v>
      </c>
    </row>
    <row r="60" spans="1:5" x14ac:dyDescent="0.25">
      <c r="A60" s="63" t="s">
        <v>78</v>
      </c>
      <c r="B60" s="64" t="s">
        <v>79</v>
      </c>
      <c r="C60" s="23">
        <f>C61+C64+C82</f>
        <v>1794702</v>
      </c>
      <c r="D60" s="23">
        <f>D61+D64+D82</f>
        <v>88926</v>
      </c>
      <c r="E60" s="23">
        <f>E61+E64+E82</f>
        <v>1883628</v>
      </c>
    </row>
    <row r="61" spans="1:5" ht="25.5" x14ac:dyDescent="0.25">
      <c r="A61" s="73" t="s">
        <v>80</v>
      </c>
      <c r="B61" s="72" t="s">
        <v>81</v>
      </c>
      <c r="C61" s="27">
        <f>C62+C63</f>
        <v>91860</v>
      </c>
      <c r="D61" s="27">
        <f>D62+D63</f>
        <v>30000</v>
      </c>
      <c r="E61" s="27">
        <f>C61+D61</f>
        <v>121860</v>
      </c>
    </row>
    <row r="62" spans="1:5" ht="38.25" hidden="1" x14ac:dyDescent="0.25">
      <c r="A62" s="81" t="s">
        <v>344</v>
      </c>
      <c r="B62" s="82" t="s">
        <v>345</v>
      </c>
      <c r="C62" s="83">
        <v>0</v>
      </c>
      <c r="D62" s="83">
        <v>0</v>
      </c>
      <c r="E62" s="83">
        <f>C62+D62</f>
        <v>0</v>
      </c>
    </row>
    <row r="63" spans="1:5" ht="38.25" x14ac:dyDescent="0.25">
      <c r="A63" s="65" t="s">
        <v>452</v>
      </c>
      <c r="B63" s="66" t="s">
        <v>453</v>
      </c>
      <c r="C63" s="67">
        <f>53597+38263</f>
        <v>91860</v>
      </c>
      <c r="D63" s="67">
        <v>30000</v>
      </c>
      <c r="E63" s="67">
        <f>C63+D63</f>
        <v>121860</v>
      </c>
    </row>
    <row r="64" spans="1:5" ht="25.5" x14ac:dyDescent="0.25">
      <c r="A64" s="70" t="s">
        <v>82</v>
      </c>
      <c r="B64" s="64" t="s">
        <v>83</v>
      </c>
      <c r="C64" s="27">
        <f>C65+C66+C69+C71+C76</f>
        <v>1653048</v>
      </c>
      <c r="D64" s="27">
        <f t="shared" ref="D64:E64" si="14">D65+D66+D69+D71+D76</f>
        <v>628</v>
      </c>
      <c r="E64" s="27">
        <f t="shared" si="14"/>
        <v>1653676</v>
      </c>
    </row>
    <row r="65" spans="1:5" ht="56.25" hidden="1" customHeight="1" x14ac:dyDescent="0.25">
      <c r="A65" s="81" t="s">
        <v>84</v>
      </c>
      <c r="B65" s="82" t="s">
        <v>89</v>
      </c>
      <c r="C65" s="83">
        <v>0</v>
      </c>
      <c r="D65" s="83">
        <v>0</v>
      </c>
      <c r="E65" s="83">
        <f>C65+D65</f>
        <v>0</v>
      </c>
    </row>
    <row r="66" spans="1:5" x14ac:dyDescent="0.25">
      <c r="A66" s="70" t="s">
        <v>85</v>
      </c>
      <c r="B66" s="86" t="s">
        <v>90</v>
      </c>
      <c r="C66" s="23">
        <f>SUM(C67:C68)</f>
        <v>298122</v>
      </c>
      <c r="D66" s="23">
        <f t="shared" ref="D66:E66" si="15">SUM(D67:D68)</f>
        <v>23778</v>
      </c>
      <c r="E66" s="23">
        <f t="shared" si="15"/>
        <v>321900</v>
      </c>
    </row>
    <row r="67" spans="1:5" x14ac:dyDescent="0.25">
      <c r="A67" s="68" t="s">
        <v>454</v>
      </c>
      <c r="B67" s="26" t="s">
        <v>455</v>
      </c>
      <c r="C67" s="69">
        <v>130433</v>
      </c>
      <c r="D67" s="67">
        <v>1934</v>
      </c>
      <c r="E67" s="69">
        <f t="shared" ref="E67:E68" si="16">C67+D67</f>
        <v>132367</v>
      </c>
    </row>
    <row r="68" spans="1:5" ht="25.5" x14ac:dyDescent="0.25">
      <c r="A68" s="68" t="s">
        <v>458</v>
      </c>
      <c r="B68" s="26" t="s">
        <v>456</v>
      </c>
      <c r="C68" s="69">
        <v>167689</v>
      </c>
      <c r="D68" s="67">
        <v>21844</v>
      </c>
      <c r="E68" s="69">
        <f t="shared" si="16"/>
        <v>189533</v>
      </c>
    </row>
    <row r="69" spans="1:5" ht="25.5" x14ac:dyDescent="0.25">
      <c r="A69" s="70" t="s">
        <v>86</v>
      </c>
      <c r="B69" s="86" t="s">
        <v>92</v>
      </c>
      <c r="C69" s="23">
        <f>C70</f>
        <v>500</v>
      </c>
      <c r="D69" s="23">
        <f t="shared" ref="D69:E69" si="17">D70</f>
        <v>100</v>
      </c>
      <c r="E69" s="23">
        <f t="shared" si="17"/>
        <v>600</v>
      </c>
    </row>
    <row r="70" spans="1:5" ht="38.25" x14ac:dyDescent="0.25">
      <c r="A70" s="68" t="s">
        <v>457</v>
      </c>
      <c r="B70" s="26" t="s">
        <v>459</v>
      </c>
      <c r="C70" s="69">
        <v>500</v>
      </c>
      <c r="D70" s="67">
        <v>100</v>
      </c>
      <c r="E70" s="69">
        <f t="shared" ref="E70:E81" si="18">C70+D70</f>
        <v>600</v>
      </c>
    </row>
    <row r="71" spans="1:5" x14ac:dyDescent="0.25">
      <c r="A71" s="70" t="s">
        <v>87</v>
      </c>
      <c r="B71" s="86" t="s">
        <v>91</v>
      </c>
      <c r="C71" s="23">
        <f>SUM(C72:C75)</f>
        <v>548577</v>
      </c>
      <c r="D71" s="23">
        <f t="shared" ref="D71:E71" si="19">SUM(D72:D75)</f>
        <v>27362</v>
      </c>
      <c r="E71" s="23">
        <f t="shared" si="19"/>
        <v>575939</v>
      </c>
    </row>
    <row r="72" spans="1:5" x14ac:dyDescent="0.25">
      <c r="A72" s="68" t="s">
        <v>460</v>
      </c>
      <c r="B72" s="26" t="s">
        <v>461</v>
      </c>
      <c r="C72" s="69">
        <v>387511</v>
      </c>
      <c r="D72" s="67">
        <v>12698</v>
      </c>
      <c r="E72" s="69">
        <f t="shared" ref="E72:E75" si="20">C72+D72</f>
        <v>400209</v>
      </c>
    </row>
    <row r="73" spans="1:5" ht="25.5" x14ac:dyDescent="0.25">
      <c r="A73" s="68" t="s">
        <v>462</v>
      </c>
      <c r="B73" s="26" t="s">
        <v>463</v>
      </c>
      <c r="C73" s="69">
        <v>48965</v>
      </c>
      <c r="D73" s="67">
        <v>4772</v>
      </c>
      <c r="E73" s="69">
        <f t="shared" si="20"/>
        <v>53737</v>
      </c>
    </row>
    <row r="74" spans="1:5" x14ac:dyDescent="0.25">
      <c r="A74" s="68" t="s">
        <v>465</v>
      </c>
      <c r="B74" s="26" t="s">
        <v>464</v>
      </c>
      <c r="C74" s="69">
        <v>59020</v>
      </c>
      <c r="D74" s="67">
        <v>-1165</v>
      </c>
      <c r="E74" s="69">
        <f t="shared" si="20"/>
        <v>57855</v>
      </c>
    </row>
    <row r="75" spans="1:5" x14ac:dyDescent="0.25">
      <c r="A75" s="68" t="s">
        <v>466</v>
      </c>
      <c r="B75" s="26" t="s">
        <v>467</v>
      </c>
      <c r="C75" s="69">
        <v>53081</v>
      </c>
      <c r="D75" s="67">
        <v>11057</v>
      </c>
      <c r="E75" s="69">
        <f t="shared" si="20"/>
        <v>64138</v>
      </c>
    </row>
    <row r="76" spans="1:5" ht="25.5" x14ac:dyDescent="0.25">
      <c r="A76" s="70" t="s">
        <v>88</v>
      </c>
      <c r="B76" s="86" t="s">
        <v>321</v>
      </c>
      <c r="C76" s="23">
        <f>SUM(C77:C81)</f>
        <v>805849</v>
      </c>
      <c r="D76" s="23">
        <f t="shared" ref="D76:E76" si="21">SUM(D77:D81)</f>
        <v>-50612</v>
      </c>
      <c r="E76" s="23">
        <f t="shared" si="21"/>
        <v>755237</v>
      </c>
    </row>
    <row r="77" spans="1:5" ht="25.5" x14ac:dyDescent="0.25">
      <c r="A77" s="68" t="s">
        <v>468</v>
      </c>
      <c r="B77" s="26" t="s">
        <v>473</v>
      </c>
      <c r="C77" s="69">
        <v>14815</v>
      </c>
      <c r="D77" s="67">
        <v>0</v>
      </c>
      <c r="E77" s="69">
        <f t="shared" si="18"/>
        <v>14815</v>
      </c>
    </row>
    <row r="78" spans="1:5" x14ac:dyDescent="0.25">
      <c r="A78" s="68" t="s">
        <v>469</v>
      </c>
      <c r="B78" s="26" t="s">
        <v>474</v>
      </c>
      <c r="C78" s="69">
        <f>398413+1360</f>
        <v>399773</v>
      </c>
      <c r="D78" s="67">
        <v>2420</v>
      </c>
      <c r="E78" s="69">
        <f t="shared" si="18"/>
        <v>402193</v>
      </c>
    </row>
    <row r="79" spans="1:5" ht="25.5" x14ac:dyDescent="0.25">
      <c r="A79" s="68" t="s">
        <v>470</v>
      </c>
      <c r="B79" s="26" t="s">
        <v>475</v>
      </c>
      <c r="C79" s="69">
        <f>165025+2000</f>
        <v>167025</v>
      </c>
      <c r="D79" s="67">
        <v>-84029</v>
      </c>
      <c r="E79" s="69">
        <f t="shared" si="18"/>
        <v>82996</v>
      </c>
    </row>
    <row r="80" spans="1:5" x14ac:dyDescent="0.25">
      <c r="A80" s="68" t="s">
        <v>471</v>
      </c>
      <c r="B80" s="26" t="s">
        <v>476</v>
      </c>
      <c r="C80" s="69">
        <f>27929+20668</f>
        <v>48597</v>
      </c>
      <c r="D80" s="67">
        <v>30997</v>
      </c>
      <c r="E80" s="69">
        <f t="shared" si="18"/>
        <v>79594</v>
      </c>
    </row>
    <row r="81" spans="1:5" x14ac:dyDescent="0.25">
      <c r="A81" s="68" t="s">
        <v>472</v>
      </c>
      <c r="B81" s="26" t="s">
        <v>477</v>
      </c>
      <c r="C81" s="69">
        <f>210117-34478</f>
        <v>175639</v>
      </c>
      <c r="D81" s="67">
        <v>0</v>
      </c>
      <c r="E81" s="69">
        <f t="shared" si="18"/>
        <v>175639</v>
      </c>
    </row>
    <row r="82" spans="1:5" ht="42" customHeight="1" x14ac:dyDescent="0.25">
      <c r="A82" s="70" t="s">
        <v>385</v>
      </c>
      <c r="B82" s="64" t="s">
        <v>415</v>
      </c>
      <c r="C82" s="23">
        <f>C83+C84</f>
        <v>49794</v>
      </c>
      <c r="D82" s="23">
        <f>D83+D84</f>
        <v>58298</v>
      </c>
      <c r="E82" s="23">
        <f>E83+E84</f>
        <v>108092</v>
      </c>
    </row>
    <row r="83" spans="1:5" ht="25.5" x14ac:dyDescent="0.25">
      <c r="A83" s="65" t="s">
        <v>821</v>
      </c>
      <c r="B83" s="66" t="s">
        <v>822</v>
      </c>
      <c r="C83" s="67">
        <v>0</v>
      </c>
      <c r="D83" s="67">
        <v>3000</v>
      </c>
      <c r="E83" s="67">
        <f t="shared" ref="E83:E84" si="22">C83+D83</f>
        <v>3000</v>
      </c>
    </row>
    <row r="84" spans="1:5" ht="25.5" x14ac:dyDescent="0.25">
      <c r="A84" s="68" t="s">
        <v>478</v>
      </c>
      <c r="B84" s="26" t="s">
        <v>479</v>
      </c>
      <c r="C84" s="69">
        <f>49530+264</f>
        <v>49794</v>
      </c>
      <c r="D84" s="67">
        <v>55298</v>
      </c>
      <c r="E84" s="69">
        <f t="shared" si="22"/>
        <v>105092</v>
      </c>
    </row>
    <row r="85" spans="1:5" ht="15.75" x14ac:dyDescent="0.25">
      <c r="A85" s="77"/>
      <c r="B85" s="78" t="s">
        <v>93</v>
      </c>
      <c r="C85" s="79">
        <f>C86+C87</f>
        <v>30248790</v>
      </c>
      <c r="D85" s="79">
        <f t="shared" ref="D85" si="23">D86+D87</f>
        <v>-3198546</v>
      </c>
      <c r="E85" s="79">
        <f>E86+E87</f>
        <v>27050244</v>
      </c>
    </row>
    <row r="86" spans="1:5" x14ac:dyDescent="0.25">
      <c r="A86" s="75" t="s">
        <v>94</v>
      </c>
      <c r="B86" s="76" t="s">
        <v>96</v>
      </c>
      <c r="C86" s="69">
        <v>8463898</v>
      </c>
      <c r="D86" s="69">
        <v>0</v>
      </c>
      <c r="E86" s="69">
        <f>C86+D86</f>
        <v>8463898</v>
      </c>
    </row>
    <row r="87" spans="1:5" x14ac:dyDescent="0.25">
      <c r="A87" s="75" t="s">
        <v>95</v>
      </c>
      <c r="B87" s="76" t="s">
        <v>449</v>
      </c>
      <c r="C87" s="69">
        <f>11717173+10185971-118252</f>
        <v>21784892</v>
      </c>
      <c r="D87" s="67">
        <v>-3198546</v>
      </c>
      <c r="E87" s="69">
        <f>C87+D87</f>
        <v>18586346</v>
      </c>
    </row>
    <row r="88" spans="1:5" ht="15.75" x14ac:dyDescent="0.25">
      <c r="A88" s="87"/>
      <c r="B88" s="78" t="s">
        <v>97</v>
      </c>
      <c r="C88" s="79">
        <f>C9+C85</f>
        <v>108399150</v>
      </c>
      <c r="D88" s="79">
        <f>D9+D85</f>
        <v>8836360</v>
      </c>
      <c r="E88" s="79">
        <f>E9+E85</f>
        <v>117235510</v>
      </c>
    </row>
    <row r="91" spans="1:5" ht="18.75" x14ac:dyDescent="0.3">
      <c r="A91" s="15" t="s">
        <v>103</v>
      </c>
      <c r="B91" s="16"/>
      <c r="C91" s="7"/>
      <c r="D91" s="7"/>
      <c r="E91" s="7" t="s">
        <v>104</v>
      </c>
    </row>
  </sheetData>
  <mergeCells count="5">
    <mergeCell ref="D1:E1"/>
    <mergeCell ref="C3:E3"/>
    <mergeCell ref="A5:E5"/>
    <mergeCell ref="A6:E6"/>
    <mergeCell ref="B2:E2"/>
  </mergeCells>
  <printOptions horizontalCentered="1"/>
  <pageMargins left="0.78740157480314965" right="0.78740157480314965" top="0.59055118110236227" bottom="0.59055118110236227" header="0.19685039370078741" footer="0.19685039370078741"/>
  <pageSetup paperSize="9" fitToHeight="0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H3" sqref="H3"/>
    </sheetView>
  </sheetViews>
  <sheetFormatPr defaultColWidth="9.140625" defaultRowHeight="15" x14ac:dyDescent="0.25"/>
  <cols>
    <col min="1" max="1" width="11.140625" style="1" customWidth="1"/>
    <col min="2" max="2" width="44.85546875" style="1" customWidth="1"/>
    <col min="3" max="3" width="16.140625" style="1" customWidth="1"/>
    <col min="4" max="4" width="15.28515625" style="1" customWidth="1"/>
    <col min="5" max="5" width="14" style="1" customWidth="1"/>
    <col min="6" max="6" width="14.42578125" style="1" customWidth="1"/>
    <col min="7" max="7" width="13.85546875" style="1" customWidth="1"/>
    <col min="8" max="8" width="15.42578125" style="1" customWidth="1"/>
    <col min="9" max="16384" width="9.140625" style="1"/>
  </cols>
  <sheetData>
    <row r="1" spans="1:10" x14ac:dyDescent="0.25">
      <c r="A1" s="19"/>
      <c r="B1" s="20"/>
      <c r="C1" s="20"/>
      <c r="D1" s="20"/>
      <c r="E1" s="20"/>
      <c r="F1" s="19"/>
      <c r="G1" s="376" t="s">
        <v>129</v>
      </c>
      <c r="H1" s="376"/>
      <c r="J1" s="2"/>
    </row>
    <row r="2" spans="1:10" x14ac:dyDescent="0.25">
      <c r="A2" s="20"/>
      <c r="B2" s="20"/>
      <c r="C2" s="20"/>
      <c r="D2" s="20"/>
      <c r="E2" s="20"/>
      <c r="F2" s="376" t="s">
        <v>881</v>
      </c>
      <c r="G2" s="376"/>
      <c r="H2" s="376"/>
      <c r="I2" s="5"/>
      <c r="J2" s="2"/>
    </row>
    <row r="3" spans="1:10" x14ac:dyDescent="0.25">
      <c r="A3" s="20"/>
      <c r="B3" s="20"/>
      <c r="C3" s="20"/>
      <c r="D3" s="20"/>
      <c r="E3" s="20"/>
      <c r="F3" s="19"/>
      <c r="G3" s="19"/>
      <c r="H3" s="319" t="s">
        <v>883</v>
      </c>
      <c r="I3" s="6"/>
      <c r="J3" s="6"/>
    </row>
    <row r="4" spans="1:10" x14ac:dyDescent="0.25">
      <c r="A4" s="20"/>
      <c r="B4" s="20"/>
      <c r="C4" s="20"/>
      <c r="D4" s="20"/>
      <c r="E4" s="20"/>
      <c r="F4" s="20"/>
      <c r="G4" s="20"/>
      <c r="H4" s="20"/>
    </row>
    <row r="5" spans="1:10" ht="18.75" x14ac:dyDescent="0.3">
      <c r="A5" s="379" t="s">
        <v>434</v>
      </c>
      <c r="B5" s="379"/>
      <c r="C5" s="379"/>
      <c r="D5" s="379"/>
      <c r="E5" s="379"/>
      <c r="F5" s="379"/>
      <c r="G5" s="379"/>
      <c r="H5" s="379"/>
    </row>
    <row r="6" spans="1:10" x14ac:dyDescent="0.25">
      <c r="A6" s="380" t="s">
        <v>106</v>
      </c>
      <c r="B6" s="380"/>
      <c r="C6" s="380"/>
      <c r="D6" s="380"/>
      <c r="E6" s="380"/>
      <c r="F6" s="380"/>
      <c r="G6" s="380"/>
      <c r="H6" s="380"/>
    </row>
    <row r="7" spans="1:10" x14ac:dyDescent="0.25">
      <c r="A7" s="20"/>
      <c r="B7" s="20"/>
      <c r="C7" s="20"/>
      <c r="D7" s="20"/>
      <c r="E7" s="20"/>
      <c r="F7" s="20"/>
      <c r="G7" s="20"/>
      <c r="H7" s="34" t="s">
        <v>10</v>
      </c>
    </row>
    <row r="8" spans="1:10" s="3" customFormat="1" ht="15" customHeight="1" x14ac:dyDescent="0.2">
      <c r="A8" s="378" t="s">
        <v>4</v>
      </c>
      <c r="B8" s="378" t="s">
        <v>99</v>
      </c>
      <c r="C8" s="378" t="s">
        <v>435</v>
      </c>
      <c r="D8" s="377" t="s">
        <v>3</v>
      </c>
      <c r="E8" s="377"/>
      <c r="F8" s="377"/>
      <c r="G8" s="377"/>
      <c r="H8" s="378" t="s">
        <v>820</v>
      </c>
    </row>
    <row r="9" spans="1:10" s="3" customFormat="1" ht="42.75" x14ac:dyDescent="0.2">
      <c r="A9" s="378"/>
      <c r="B9" s="378"/>
      <c r="C9" s="378"/>
      <c r="D9" s="39" t="s">
        <v>101</v>
      </c>
      <c r="E9" s="39" t="s">
        <v>102</v>
      </c>
      <c r="F9" s="39" t="s">
        <v>67</v>
      </c>
      <c r="G9" s="39" t="s">
        <v>133</v>
      </c>
      <c r="H9" s="378"/>
    </row>
    <row r="10" spans="1:10" ht="37.5" x14ac:dyDescent="0.3">
      <c r="A10" s="50"/>
      <c r="B10" s="44" t="s">
        <v>105</v>
      </c>
      <c r="C10" s="55">
        <f>SUM(C11:C19)</f>
        <v>101456907</v>
      </c>
      <c r="D10" s="55">
        <f t="shared" ref="D10:G10" si="0">SUM(D11:D19)</f>
        <v>-3035906</v>
      </c>
      <c r="E10" s="55">
        <f t="shared" si="0"/>
        <v>91916</v>
      </c>
      <c r="F10" s="55">
        <f t="shared" si="0"/>
        <v>11793060</v>
      </c>
      <c r="G10" s="55">
        <f t="shared" si="0"/>
        <v>0</v>
      </c>
      <c r="H10" s="55">
        <f>C10+D10+E10+F10+G10</f>
        <v>110305977</v>
      </c>
    </row>
    <row r="11" spans="1:10" x14ac:dyDescent="0.25">
      <c r="A11" s="25" t="s">
        <v>107</v>
      </c>
      <c r="B11" s="22" t="s">
        <v>116</v>
      </c>
      <c r="C11" s="35">
        <v>6963100</v>
      </c>
      <c r="D11" s="35">
        <f>'3.pielikums'!E12</f>
        <v>-102963</v>
      </c>
      <c r="E11" s="35">
        <f>'3.pielikums'!G12</f>
        <v>30000</v>
      </c>
      <c r="F11" s="35">
        <f>'3.pielikums'!I12</f>
        <v>17000</v>
      </c>
      <c r="G11" s="35">
        <f>'3.pielikums'!K12</f>
        <v>0</v>
      </c>
      <c r="H11" s="56">
        <f t="shared" ref="H11:H29" si="1">C11+D11+E11+F11+G11</f>
        <v>6907137</v>
      </c>
    </row>
    <row r="12" spans="1:10" x14ac:dyDescent="0.25">
      <c r="A12" s="25" t="s">
        <v>108</v>
      </c>
      <c r="B12" s="22" t="s">
        <v>117</v>
      </c>
      <c r="C12" s="35">
        <v>3749366</v>
      </c>
      <c r="D12" s="35">
        <f>'3.pielikums'!E35</f>
        <v>-77537</v>
      </c>
      <c r="E12" s="35">
        <f>'3.pielikums'!G35</f>
        <v>0</v>
      </c>
      <c r="F12" s="35">
        <f>'3.pielikums'!I35</f>
        <v>0</v>
      </c>
      <c r="G12" s="35">
        <f>'3.pielikums'!K35</f>
        <v>0</v>
      </c>
      <c r="H12" s="56">
        <f t="shared" si="1"/>
        <v>3671829</v>
      </c>
    </row>
    <row r="13" spans="1:10" x14ac:dyDescent="0.25">
      <c r="A13" s="25" t="s">
        <v>109</v>
      </c>
      <c r="B13" s="22" t="s">
        <v>118</v>
      </c>
      <c r="C13" s="35">
        <v>26067544</v>
      </c>
      <c r="D13" s="35">
        <f>'3.pielikums'!E42</f>
        <v>-2476091</v>
      </c>
      <c r="E13" s="35">
        <f>'3.pielikums'!G42</f>
        <v>0</v>
      </c>
      <c r="F13" s="35">
        <f>'3.pielikums'!I42</f>
        <v>6184501</v>
      </c>
      <c r="G13" s="35">
        <f>'3.pielikums'!K42</f>
        <v>0</v>
      </c>
      <c r="H13" s="56">
        <f t="shared" si="1"/>
        <v>29775954</v>
      </c>
    </row>
    <row r="14" spans="1:10" x14ac:dyDescent="0.25">
      <c r="A14" s="25" t="s">
        <v>110</v>
      </c>
      <c r="B14" s="22" t="s">
        <v>119</v>
      </c>
      <c r="C14" s="35">
        <v>3819138</v>
      </c>
      <c r="D14" s="35">
        <f>'3.pielikums'!E62</f>
        <v>-15685</v>
      </c>
      <c r="E14" s="35">
        <f>'3.pielikums'!G62</f>
        <v>0</v>
      </c>
      <c r="F14" s="35">
        <f>'3.pielikums'!I62</f>
        <v>272647</v>
      </c>
      <c r="G14" s="35">
        <f>'3.pielikums'!K62</f>
        <v>0</v>
      </c>
      <c r="H14" s="56">
        <f t="shared" si="1"/>
        <v>4076100</v>
      </c>
    </row>
    <row r="15" spans="1:10" x14ac:dyDescent="0.25">
      <c r="A15" s="25" t="s">
        <v>111</v>
      </c>
      <c r="B15" s="22" t="s">
        <v>120</v>
      </c>
      <c r="C15" s="35">
        <v>4586564</v>
      </c>
      <c r="D15" s="35">
        <f>'3.pielikums'!E74</f>
        <v>-22748</v>
      </c>
      <c r="E15" s="35">
        <f>'3.pielikums'!G74</f>
        <v>23835</v>
      </c>
      <c r="F15" s="35">
        <f>'3.pielikums'!I74</f>
        <v>-320357</v>
      </c>
      <c r="G15" s="35">
        <f>'3.pielikums'!K74</f>
        <v>0</v>
      </c>
      <c r="H15" s="56">
        <f t="shared" si="1"/>
        <v>4267294</v>
      </c>
    </row>
    <row r="16" spans="1:10" x14ac:dyDescent="0.25">
      <c r="A16" s="25" t="s">
        <v>112</v>
      </c>
      <c r="B16" s="22" t="s">
        <v>121</v>
      </c>
      <c r="C16" s="35">
        <v>362398</v>
      </c>
      <c r="D16" s="35">
        <f>'3.pielikums'!E88</f>
        <v>-15000</v>
      </c>
      <c r="E16" s="35">
        <f>'3.pielikums'!G88</f>
        <v>0</v>
      </c>
      <c r="F16" s="35">
        <f>'3.pielikums'!I88</f>
        <v>111398</v>
      </c>
      <c r="G16" s="35">
        <f>'3.pielikums'!K88</f>
        <v>0</v>
      </c>
      <c r="H16" s="56">
        <f t="shared" si="1"/>
        <v>458796</v>
      </c>
    </row>
    <row r="17" spans="1:8" x14ac:dyDescent="0.25">
      <c r="A17" s="25" t="s">
        <v>24</v>
      </c>
      <c r="B17" s="22" t="s">
        <v>122</v>
      </c>
      <c r="C17" s="35">
        <v>8083747</v>
      </c>
      <c r="D17" s="35">
        <f>'3.pielikums'!E95</f>
        <v>126775</v>
      </c>
      <c r="E17" s="35">
        <f>'3.pielikums'!G95</f>
        <v>21940</v>
      </c>
      <c r="F17" s="35">
        <f>'3.pielikums'!I95</f>
        <v>20611</v>
      </c>
      <c r="G17" s="35">
        <f>'3.pielikums'!K95</f>
        <v>0</v>
      </c>
      <c r="H17" s="56">
        <f t="shared" si="1"/>
        <v>8253073</v>
      </c>
    </row>
    <row r="18" spans="1:8" x14ac:dyDescent="0.25">
      <c r="A18" s="25" t="s">
        <v>25</v>
      </c>
      <c r="B18" s="22" t="s">
        <v>123</v>
      </c>
      <c r="C18" s="35">
        <v>42331306</v>
      </c>
      <c r="D18" s="35">
        <f>'3.pielikums'!E128</f>
        <v>217343</v>
      </c>
      <c r="E18" s="35">
        <f>'3.pielikums'!G128</f>
        <v>14805</v>
      </c>
      <c r="F18" s="35">
        <f>'3.pielikums'!I128</f>
        <v>5457256</v>
      </c>
      <c r="G18" s="35">
        <f>'3.pielikums'!K128</f>
        <v>0</v>
      </c>
      <c r="H18" s="56">
        <f t="shared" si="1"/>
        <v>48020710</v>
      </c>
    </row>
    <row r="19" spans="1:8" x14ac:dyDescent="0.25">
      <c r="A19" s="25" t="s">
        <v>50</v>
      </c>
      <c r="B19" s="22" t="s">
        <v>124</v>
      </c>
      <c r="C19" s="35">
        <v>5493744</v>
      </c>
      <c r="D19" s="35">
        <f>'3.pielikums'!E165</f>
        <v>-670000</v>
      </c>
      <c r="E19" s="35">
        <f>'3.pielikums'!G165</f>
        <v>1336</v>
      </c>
      <c r="F19" s="35">
        <f>'3.pielikums'!I165</f>
        <v>50004</v>
      </c>
      <c r="G19" s="35">
        <f>'3.pielikums'!K165</f>
        <v>0</v>
      </c>
      <c r="H19" s="56">
        <f t="shared" si="1"/>
        <v>4875084</v>
      </c>
    </row>
    <row r="20" spans="1:8" ht="18.75" x14ac:dyDescent="0.3">
      <c r="A20" s="49"/>
      <c r="B20" s="51" t="s">
        <v>113</v>
      </c>
      <c r="C20" s="55">
        <f>C21+C22+C28</f>
        <v>6942243</v>
      </c>
      <c r="D20" s="55">
        <f>D21+D22+D28</f>
        <v>-162640</v>
      </c>
      <c r="E20" s="55">
        <f>E21+E22+E28</f>
        <v>0</v>
      </c>
      <c r="F20" s="55">
        <f>F21+F22+F28</f>
        <v>149930</v>
      </c>
      <c r="G20" s="55">
        <f>G21+G22+G28</f>
        <v>0</v>
      </c>
      <c r="H20" s="55">
        <f t="shared" si="1"/>
        <v>6929533</v>
      </c>
    </row>
    <row r="21" spans="1:8" x14ac:dyDescent="0.25">
      <c r="A21" s="25" t="s">
        <v>114</v>
      </c>
      <c r="B21" s="25" t="s">
        <v>125</v>
      </c>
      <c r="C21" s="35">
        <v>5162310</v>
      </c>
      <c r="D21" s="35">
        <f>'3.pielikums'!E199</f>
        <v>0</v>
      </c>
      <c r="E21" s="35">
        <f>'3.pielikums'!G199</f>
        <v>0</v>
      </c>
      <c r="F21" s="35">
        <f>'3.pielikums'!I199</f>
        <v>149930</v>
      </c>
      <c r="G21" s="35">
        <f>'3.pielikums'!K199</f>
        <v>0</v>
      </c>
      <c r="H21" s="56">
        <f t="shared" si="1"/>
        <v>5312240</v>
      </c>
    </row>
    <row r="22" spans="1:8" x14ac:dyDescent="0.25">
      <c r="A22" s="25" t="s">
        <v>115</v>
      </c>
      <c r="B22" s="48" t="s">
        <v>126</v>
      </c>
      <c r="C22" s="35">
        <f>SUM(C23:C27)</f>
        <v>1271178</v>
      </c>
      <c r="D22" s="35">
        <f>SUM(D23:D27)</f>
        <v>0</v>
      </c>
      <c r="E22" s="35">
        <f>SUM(E23:E27)</f>
        <v>0</v>
      </c>
      <c r="F22" s="35">
        <f>SUM(F23:F27)</f>
        <v>0</v>
      </c>
      <c r="G22" s="35">
        <f>SUM(G23:G27)</f>
        <v>0</v>
      </c>
      <c r="H22" s="56">
        <f t="shared" si="1"/>
        <v>1271178</v>
      </c>
    </row>
    <row r="23" spans="1:8" hidden="1" x14ac:dyDescent="0.25">
      <c r="A23" s="25"/>
      <c r="B23" s="52" t="s">
        <v>365</v>
      </c>
      <c r="C23" s="28">
        <v>0</v>
      </c>
      <c r="D23" s="36">
        <f>'3.pielikums'!E201</f>
        <v>0</v>
      </c>
      <c r="E23" s="36">
        <f>'3.pielikums'!G201</f>
        <v>0</v>
      </c>
      <c r="F23" s="36">
        <f>'3.pielikums'!I201</f>
        <v>0</v>
      </c>
      <c r="G23" s="36">
        <f>'3.pielikums'!K201</f>
        <v>0</v>
      </c>
      <c r="H23" s="57">
        <f t="shared" si="1"/>
        <v>0</v>
      </c>
    </row>
    <row r="24" spans="1:8" x14ac:dyDescent="0.25">
      <c r="A24" s="25"/>
      <c r="B24" s="52" t="s">
        <v>338</v>
      </c>
      <c r="C24" s="36">
        <v>720697</v>
      </c>
      <c r="D24" s="36">
        <f>'3.pielikums'!E202</f>
        <v>0</v>
      </c>
      <c r="E24" s="36">
        <f>'3.pielikums'!G202</f>
        <v>0</v>
      </c>
      <c r="F24" s="36">
        <f>'3.pielikums'!I202</f>
        <v>0</v>
      </c>
      <c r="G24" s="36">
        <f>'3.pielikums'!K202</f>
        <v>0</v>
      </c>
      <c r="H24" s="57">
        <f t="shared" si="1"/>
        <v>720697</v>
      </c>
    </row>
    <row r="25" spans="1:8" x14ac:dyDescent="0.25">
      <c r="A25" s="25"/>
      <c r="B25" s="52" t="s">
        <v>339</v>
      </c>
      <c r="C25" s="36">
        <v>550481</v>
      </c>
      <c r="D25" s="36">
        <f>'3.pielikums'!E203</f>
        <v>0</v>
      </c>
      <c r="E25" s="36">
        <f>'3.pielikums'!G203</f>
        <v>0</v>
      </c>
      <c r="F25" s="36">
        <f>'3.pielikums'!I203</f>
        <v>0</v>
      </c>
      <c r="G25" s="36">
        <f>'3.pielikums'!K203</f>
        <v>0</v>
      </c>
      <c r="H25" s="57">
        <f t="shared" si="1"/>
        <v>550481</v>
      </c>
    </row>
    <row r="26" spans="1:8" hidden="1" x14ac:dyDescent="0.25">
      <c r="A26" s="25"/>
      <c r="B26" s="52" t="s">
        <v>337</v>
      </c>
      <c r="C26" s="28">
        <v>0</v>
      </c>
      <c r="D26" s="36">
        <f>'3.pielikums'!E204</f>
        <v>0</v>
      </c>
      <c r="E26" s="36">
        <f>'3.pielikums'!G204</f>
        <v>0</v>
      </c>
      <c r="F26" s="36">
        <f>'3.pielikums'!I204</f>
        <v>0</v>
      </c>
      <c r="G26" s="36">
        <f>'3.pielikums'!K204</f>
        <v>0</v>
      </c>
      <c r="H26" s="57">
        <f t="shared" si="1"/>
        <v>0</v>
      </c>
    </row>
    <row r="27" spans="1:8" hidden="1" x14ac:dyDescent="0.25">
      <c r="A27" s="25"/>
      <c r="B27" s="52" t="s">
        <v>336</v>
      </c>
      <c r="C27" s="28">
        <v>0</v>
      </c>
      <c r="D27" s="36">
        <f>'3.pielikums'!E205</f>
        <v>0</v>
      </c>
      <c r="E27" s="36">
        <f>'3.pielikums'!G205</f>
        <v>0</v>
      </c>
      <c r="F27" s="36">
        <f>'3.pielikums'!I205</f>
        <v>0</v>
      </c>
      <c r="G27" s="36">
        <f>'3.pielikums'!K205</f>
        <v>0</v>
      </c>
      <c r="H27" s="57">
        <f t="shared" si="1"/>
        <v>0</v>
      </c>
    </row>
    <row r="28" spans="1:8" x14ac:dyDescent="0.25">
      <c r="A28" s="25" t="s">
        <v>94</v>
      </c>
      <c r="B28" s="53" t="s">
        <v>128</v>
      </c>
      <c r="C28" s="35">
        <v>508755</v>
      </c>
      <c r="D28" s="35">
        <f>'3.pielikums'!E206</f>
        <v>-162640</v>
      </c>
      <c r="E28" s="35">
        <f>'3.pielikums'!G206</f>
        <v>0</v>
      </c>
      <c r="F28" s="35">
        <f>'3.pielikums'!I206</f>
        <v>0</v>
      </c>
      <c r="G28" s="35">
        <f>'3.pielikums'!K206</f>
        <v>0</v>
      </c>
      <c r="H28" s="56">
        <f t="shared" si="1"/>
        <v>346115</v>
      </c>
    </row>
    <row r="29" spans="1:8" ht="18.75" x14ac:dyDescent="0.3">
      <c r="A29" s="54"/>
      <c r="B29" s="51" t="s">
        <v>127</v>
      </c>
      <c r="C29" s="55">
        <f>C10+C20</f>
        <v>108399150</v>
      </c>
      <c r="D29" s="55">
        <f t="shared" ref="D29:G29" si="2">D10+D20</f>
        <v>-3198546</v>
      </c>
      <c r="E29" s="55">
        <f t="shared" si="2"/>
        <v>91916</v>
      </c>
      <c r="F29" s="55">
        <f t="shared" si="2"/>
        <v>11942990</v>
      </c>
      <c r="G29" s="55">
        <f t="shared" si="2"/>
        <v>0</v>
      </c>
      <c r="H29" s="55">
        <f t="shared" si="1"/>
        <v>117235510</v>
      </c>
    </row>
    <row r="31" spans="1:8" ht="18.75" x14ac:dyDescent="0.3">
      <c r="A31" s="7" t="s">
        <v>103</v>
      </c>
      <c r="H31" s="7" t="s">
        <v>104</v>
      </c>
    </row>
  </sheetData>
  <mergeCells count="9">
    <mergeCell ref="F2:H2"/>
    <mergeCell ref="G1:H1"/>
    <mergeCell ref="D8:G8"/>
    <mergeCell ref="A8:A9"/>
    <mergeCell ref="B8:B9"/>
    <mergeCell ref="C8:C9"/>
    <mergeCell ref="H8:H9"/>
    <mergeCell ref="A5:H5"/>
    <mergeCell ref="A6:H6"/>
  </mergeCells>
  <printOptions horizontalCentered="1"/>
  <pageMargins left="0.78740157480314965" right="0.78740157480314965" top="1.1811023622047245" bottom="0.59055118110236227" header="0.19685039370078741" footer="0.19685039370078741"/>
  <pageSetup paperSize="9"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9"/>
  <sheetViews>
    <sheetView zoomScaleNormal="100" workbookViewId="0">
      <pane ySplit="10" topLeftCell="A177" activePane="bottomLeft" state="frozen"/>
      <selection pane="bottomLeft" activeCell="M5" sqref="M5"/>
    </sheetView>
  </sheetViews>
  <sheetFormatPr defaultColWidth="9.140625" defaultRowHeight="15" x14ac:dyDescent="0.25"/>
  <cols>
    <col min="1" max="1" width="10.5703125" style="1" customWidth="1"/>
    <col min="2" max="2" width="30.5703125" style="4" customWidth="1"/>
    <col min="3" max="3" width="12.7109375" style="3" customWidth="1"/>
    <col min="4" max="4" width="11.85546875" style="1" customWidth="1"/>
    <col min="5" max="5" width="11.5703125" style="89" customWidth="1"/>
    <col min="6" max="6" width="10.140625" style="1" customWidth="1"/>
    <col min="7" max="7" width="10.85546875" style="89" customWidth="1"/>
    <col min="8" max="8" width="11.85546875" style="1" customWidth="1"/>
    <col min="9" max="9" width="11.42578125" style="89" customWidth="1"/>
    <col min="10" max="10" width="9.5703125" style="1" customWidth="1"/>
    <col min="11" max="11" width="9.5703125" style="89" customWidth="1"/>
    <col min="12" max="12" width="10.28515625" style="1" customWidth="1"/>
    <col min="13" max="16384" width="9.140625" style="1"/>
  </cols>
  <sheetData>
    <row r="1" spans="1:12" x14ac:dyDescent="0.25">
      <c r="H1" s="19"/>
      <c r="I1" s="122"/>
      <c r="J1" s="19"/>
      <c r="K1" s="376" t="s">
        <v>134</v>
      </c>
      <c r="L1" s="376"/>
    </row>
    <row r="2" spans="1:12" x14ac:dyDescent="0.25">
      <c r="H2" s="376" t="s">
        <v>881</v>
      </c>
      <c r="I2" s="376"/>
      <c r="J2" s="376"/>
      <c r="K2" s="376"/>
      <c r="L2" s="376"/>
    </row>
    <row r="3" spans="1:12" x14ac:dyDescent="0.25">
      <c r="H3" s="19"/>
      <c r="I3" s="122"/>
      <c r="J3" s="19"/>
      <c r="K3" s="122"/>
      <c r="L3" s="319" t="s">
        <v>884</v>
      </c>
    </row>
    <row r="5" spans="1:12" ht="18.75" x14ac:dyDescent="0.3">
      <c r="A5" s="383" t="s">
        <v>434</v>
      </c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</row>
    <row r="6" spans="1:12" x14ac:dyDescent="0.25">
      <c r="A6" s="384" t="s">
        <v>130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</row>
    <row r="7" spans="1:12" x14ac:dyDescent="0.25">
      <c r="L7" s="10" t="s">
        <v>10</v>
      </c>
    </row>
    <row r="8" spans="1:12" s="4" customFormat="1" x14ac:dyDescent="0.25">
      <c r="A8" s="385" t="s">
        <v>4</v>
      </c>
      <c r="B8" s="385" t="s">
        <v>99</v>
      </c>
      <c r="C8" s="385" t="s">
        <v>820</v>
      </c>
      <c r="D8" s="385" t="s">
        <v>100</v>
      </c>
      <c r="E8" s="385"/>
      <c r="F8" s="385"/>
      <c r="G8" s="385"/>
      <c r="H8" s="385"/>
      <c r="I8" s="385"/>
      <c r="J8" s="385"/>
      <c r="K8" s="385"/>
      <c r="L8" s="385"/>
    </row>
    <row r="9" spans="1:12" s="4" customFormat="1" ht="48" x14ac:dyDescent="0.25">
      <c r="A9" s="385"/>
      <c r="B9" s="385"/>
      <c r="C9" s="385"/>
      <c r="D9" s="61" t="s">
        <v>101</v>
      </c>
      <c r="E9" s="62" t="s">
        <v>131</v>
      </c>
      <c r="F9" s="61" t="s">
        <v>102</v>
      </c>
      <c r="G9" s="62" t="s">
        <v>136</v>
      </c>
      <c r="H9" s="61" t="s">
        <v>67</v>
      </c>
      <c r="I9" s="62" t="s">
        <v>132</v>
      </c>
      <c r="J9" s="61" t="s">
        <v>133</v>
      </c>
      <c r="K9" s="62" t="s">
        <v>135</v>
      </c>
      <c r="L9" s="61" t="s">
        <v>450</v>
      </c>
    </row>
    <row r="10" spans="1:12" x14ac:dyDescent="0.25">
      <c r="A10" s="99">
        <v>1</v>
      </c>
      <c r="B10" s="100">
        <v>2</v>
      </c>
      <c r="C10" s="101"/>
      <c r="D10" s="102">
        <v>4</v>
      </c>
      <c r="E10" s="102">
        <v>5</v>
      </c>
      <c r="F10" s="102">
        <v>6</v>
      </c>
      <c r="G10" s="102">
        <v>7</v>
      </c>
      <c r="H10" s="102">
        <v>8</v>
      </c>
      <c r="I10" s="102">
        <v>9</v>
      </c>
      <c r="J10" s="102">
        <v>10</v>
      </c>
      <c r="K10" s="102">
        <v>11</v>
      </c>
      <c r="L10" s="102">
        <v>12</v>
      </c>
    </row>
    <row r="11" spans="1:12" ht="28.5" x14ac:dyDescent="0.25">
      <c r="A11" s="88"/>
      <c r="B11" s="45" t="s">
        <v>105</v>
      </c>
      <c r="C11" s="29">
        <f>SUM(D11:L11)</f>
        <v>110305977</v>
      </c>
      <c r="D11" s="29">
        <f>D12+D35+D42+D62+D74+D88+D95+D128+D165</f>
        <v>64178249</v>
      </c>
      <c r="E11" s="115">
        <f>E12+E35+E42+E62+E74+E88+E95+E128+E165</f>
        <v>-3035906</v>
      </c>
      <c r="F11" s="29">
        <f t="shared" ref="F11:L11" si="0">F12+F35+F42+F62+F74+F88+F95+F128+F165</f>
        <v>1854983</v>
      </c>
      <c r="G11" s="115">
        <f t="shared" si="0"/>
        <v>91916</v>
      </c>
      <c r="H11" s="29">
        <f t="shared" si="0"/>
        <v>27112450</v>
      </c>
      <c r="I11" s="115">
        <f t="shared" si="0"/>
        <v>11793060</v>
      </c>
      <c r="J11" s="29">
        <f t="shared" si="0"/>
        <v>706635</v>
      </c>
      <c r="K11" s="115">
        <f t="shared" si="0"/>
        <v>0</v>
      </c>
      <c r="L11" s="29">
        <f t="shared" si="0"/>
        <v>7604590</v>
      </c>
    </row>
    <row r="12" spans="1:12" x14ac:dyDescent="0.25">
      <c r="A12" s="95" t="s">
        <v>107</v>
      </c>
      <c r="B12" s="96" t="s">
        <v>116</v>
      </c>
      <c r="C12" s="103">
        <f>SUM(D12:L12)</f>
        <v>6907137</v>
      </c>
      <c r="D12" s="103">
        <f>D13+D18+D22+D25+D27+D29+D33</f>
        <v>5415677</v>
      </c>
      <c r="E12" s="104">
        <f>E13+E18+E22+E25+E27+E29+E33</f>
        <v>-102963</v>
      </c>
      <c r="F12" s="103">
        <f t="shared" ref="F12:L12" si="1">F13+F18+F22+F25+F27+F29+F33</f>
        <v>99500</v>
      </c>
      <c r="G12" s="104">
        <f t="shared" si="1"/>
        <v>30000</v>
      </c>
      <c r="H12" s="103">
        <f t="shared" si="1"/>
        <v>119246</v>
      </c>
      <c r="I12" s="104">
        <f t="shared" si="1"/>
        <v>17000</v>
      </c>
      <c r="J12" s="103">
        <f t="shared" si="1"/>
        <v>655518</v>
      </c>
      <c r="K12" s="104">
        <f t="shared" si="1"/>
        <v>0</v>
      </c>
      <c r="L12" s="103">
        <f t="shared" si="1"/>
        <v>673159</v>
      </c>
    </row>
    <row r="13" spans="1:12" ht="25.5" x14ac:dyDescent="0.25">
      <c r="A13" s="63" t="s">
        <v>5</v>
      </c>
      <c r="B13" s="64" t="s">
        <v>137</v>
      </c>
      <c r="C13" s="23">
        <f>SUM(D13:L13)</f>
        <v>4166163</v>
      </c>
      <c r="D13" s="23">
        <f>SUM(D14:D17)</f>
        <v>3845384</v>
      </c>
      <c r="E13" s="24">
        <f t="shared" ref="E13:L13" si="2">SUM(E14:E17)</f>
        <v>110000</v>
      </c>
      <c r="F13" s="23">
        <f t="shared" si="2"/>
        <v>99500</v>
      </c>
      <c r="G13" s="24">
        <f t="shared" si="2"/>
        <v>0</v>
      </c>
      <c r="H13" s="23">
        <f t="shared" si="2"/>
        <v>15334</v>
      </c>
      <c r="I13" s="24">
        <f t="shared" si="2"/>
        <v>17000</v>
      </c>
      <c r="J13" s="23">
        <f t="shared" si="2"/>
        <v>0</v>
      </c>
      <c r="K13" s="24">
        <f t="shared" si="2"/>
        <v>0</v>
      </c>
      <c r="L13" s="23">
        <f t="shared" si="2"/>
        <v>78945</v>
      </c>
    </row>
    <row r="14" spans="1:12" x14ac:dyDescent="0.25">
      <c r="A14" s="65" t="s">
        <v>6</v>
      </c>
      <c r="B14" s="66" t="s">
        <v>138</v>
      </c>
      <c r="C14" s="27">
        <f>SUM(D14:L14)</f>
        <v>4016465</v>
      </c>
      <c r="D14" s="67">
        <f>3806641-1722</f>
        <v>3804919</v>
      </c>
      <c r="E14" s="11">
        <v>110000</v>
      </c>
      <c r="F14" s="67">
        <v>99500</v>
      </c>
      <c r="G14" s="11">
        <v>0</v>
      </c>
      <c r="H14" s="67">
        <v>0</v>
      </c>
      <c r="I14" s="11">
        <v>0</v>
      </c>
      <c r="J14" s="67">
        <v>0</v>
      </c>
      <c r="K14" s="11">
        <v>0</v>
      </c>
      <c r="L14" s="67">
        <f>324+1722</f>
        <v>2046</v>
      </c>
    </row>
    <row r="15" spans="1:12" ht="38.25" x14ac:dyDescent="0.25">
      <c r="A15" s="68" t="s">
        <v>139</v>
      </c>
      <c r="B15" s="26" t="s">
        <v>153</v>
      </c>
      <c r="C15" s="23">
        <f t="shared" ref="C15:C17" si="3">SUM(D15:L15)</f>
        <v>102364</v>
      </c>
      <c r="D15" s="69">
        <v>25465</v>
      </c>
      <c r="E15" s="11">
        <v>0</v>
      </c>
      <c r="F15" s="67">
        <v>0</v>
      </c>
      <c r="G15" s="11">
        <v>0</v>
      </c>
      <c r="H15" s="67">
        <v>0</v>
      </c>
      <c r="I15" s="11">
        <v>0</v>
      </c>
      <c r="J15" s="67">
        <v>0</v>
      </c>
      <c r="K15" s="11">
        <v>0</v>
      </c>
      <c r="L15" s="69">
        <f>76899</f>
        <v>76899</v>
      </c>
    </row>
    <row r="16" spans="1:12" ht="55.5" hidden="1" customHeight="1" x14ac:dyDescent="0.25">
      <c r="A16" s="81" t="s">
        <v>140</v>
      </c>
      <c r="B16" s="82" t="s">
        <v>480</v>
      </c>
      <c r="C16" s="80">
        <f t="shared" si="3"/>
        <v>0</v>
      </c>
      <c r="D16" s="83">
        <v>0</v>
      </c>
      <c r="E16" s="94"/>
      <c r="F16" s="83">
        <v>0</v>
      </c>
      <c r="G16" s="94">
        <v>0</v>
      </c>
      <c r="H16" s="83">
        <v>0</v>
      </c>
      <c r="I16" s="94">
        <v>0</v>
      </c>
      <c r="J16" s="83">
        <v>0</v>
      </c>
      <c r="K16" s="94">
        <v>0</v>
      </c>
      <c r="L16" s="83"/>
    </row>
    <row r="17" spans="1:12" ht="63.75" x14ac:dyDescent="0.25">
      <c r="A17" s="68" t="s">
        <v>521</v>
      </c>
      <c r="B17" s="26" t="s">
        <v>481</v>
      </c>
      <c r="C17" s="23">
        <f t="shared" si="3"/>
        <v>47334</v>
      </c>
      <c r="D17" s="69">
        <v>15000</v>
      </c>
      <c r="E17" s="11">
        <v>0</v>
      </c>
      <c r="F17" s="67">
        <v>0</v>
      </c>
      <c r="G17" s="11">
        <v>0</v>
      </c>
      <c r="H17" s="67">
        <f>15314+20</f>
        <v>15334</v>
      </c>
      <c r="I17" s="11">
        <v>17000</v>
      </c>
      <c r="J17" s="67">
        <v>0</v>
      </c>
      <c r="K17" s="11">
        <v>0</v>
      </c>
      <c r="L17" s="69">
        <v>0</v>
      </c>
    </row>
    <row r="18" spans="1:12" x14ac:dyDescent="0.25">
      <c r="A18" s="63" t="s">
        <v>141</v>
      </c>
      <c r="B18" s="64" t="s">
        <v>482</v>
      </c>
      <c r="C18" s="23">
        <f>SUM(D18:L18)</f>
        <v>419000</v>
      </c>
      <c r="D18" s="23">
        <f>SUM(D19:D21)</f>
        <v>374370</v>
      </c>
      <c r="E18" s="32">
        <f t="shared" ref="E18:L18" si="4">SUM(E19:E21)</f>
        <v>0</v>
      </c>
      <c r="F18" s="27">
        <f t="shared" si="4"/>
        <v>0</v>
      </c>
      <c r="G18" s="32">
        <f t="shared" si="4"/>
        <v>0</v>
      </c>
      <c r="H18" s="27">
        <f t="shared" si="4"/>
        <v>0</v>
      </c>
      <c r="I18" s="32">
        <f t="shared" si="4"/>
        <v>0</v>
      </c>
      <c r="J18" s="27">
        <f t="shared" si="4"/>
        <v>0</v>
      </c>
      <c r="K18" s="24">
        <f t="shared" si="4"/>
        <v>0</v>
      </c>
      <c r="L18" s="23">
        <f t="shared" si="4"/>
        <v>44630</v>
      </c>
    </row>
    <row r="19" spans="1:12" ht="38.25" x14ac:dyDescent="0.25">
      <c r="A19" s="68" t="s">
        <v>142</v>
      </c>
      <c r="B19" s="26" t="s">
        <v>154</v>
      </c>
      <c r="C19" s="23">
        <f>SUM(D19:L19)</f>
        <v>44630</v>
      </c>
      <c r="D19" s="67">
        <v>0</v>
      </c>
      <c r="E19" s="11">
        <v>0</v>
      </c>
      <c r="F19" s="67">
        <v>0</v>
      </c>
      <c r="G19" s="11">
        <v>0</v>
      </c>
      <c r="H19" s="67">
        <v>0</v>
      </c>
      <c r="I19" s="11">
        <v>0</v>
      </c>
      <c r="J19" s="67">
        <v>0</v>
      </c>
      <c r="K19" s="11">
        <v>0</v>
      </c>
      <c r="L19" s="67">
        <v>44630</v>
      </c>
    </row>
    <row r="20" spans="1:12" ht="39" customHeight="1" x14ac:dyDescent="0.25">
      <c r="A20" s="68" t="s">
        <v>143</v>
      </c>
      <c r="B20" s="26" t="s">
        <v>346</v>
      </c>
      <c r="C20" s="23">
        <f t="shared" ref="C20:C21" si="5">SUM(D20:L20)</f>
        <v>280895</v>
      </c>
      <c r="D20" s="67">
        <v>280895</v>
      </c>
      <c r="E20" s="11">
        <v>0</v>
      </c>
      <c r="F20" s="67">
        <v>0</v>
      </c>
      <c r="G20" s="11">
        <v>0</v>
      </c>
      <c r="H20" s="67">
        <v>0</v>
      </c>
      <c r="I20" s="11">
        <v>0</v>
      </c>
      <c r="J20" s="67">
        <v>0</v>
      </c>
      <c r="K20" s="11">
        <v>0</v>
      </c>
      <c r="L20" s="67">
        <v>0</v>
      </c>
    </row>
    <row r="21" spans="1:12" ht="38.25" x14ac:dyDescent="0.25">
      <c r="A21" s="68" t="s">
        <v>144</v>
      </c>
      <c r="B21" s="26" t="s">
        <v>483</v>
      </c>
      <c r="C21" s="23">
        <f t="shared" si="5"/>
        <v>93475</v>
      </c>
      <c r="D21" s="67">
        <v>93475</v>
      </c>
      <c r="E21" s="11">
        <v>0</v>
      </c>
      <c r="F21" s="67">
        <v>0</v>
      </c>
      <c r="G21" s="11">
        <v>0</v>
      </c>
      <c r="H21" s="67">
        <v>0</v>
      </c>
      <c r="I21" s="11">
        <v>0</v>
      </c>
      <c r="J21" s="67">
        <v>0</v>
      </c>
      <c r="K21" s="11">
        <v>0</v>
      </c>
      <c r="L21" s="67">
        <v>0</v>
      </c>
    </row>
    <row r="22" spans="1:12" ht="26.25" x14ac:dyDescent="0.25">
      <c r="A22" s="63" t="s">
        <v>145</v>
      </c>
      <c r="B22" s="21" t="s">
        <v>376</v>
      </c>
      <c r="C22" s="23">
        <f>SUM(D22:L22)</f>
        <v>756101</v>
      </c>
      <c r="D22" s="27">
        <f t="shared" ref="D22:L22" si="6">SUM(D23:D24)</f>
        <v>613557</v>
      </c>
      <c r="E22" s="32">
        <f t="shared" si="6"/>
        <v>-8502</v>
      </c>
      <c r="F22" s="27">
        <f t="shared" si="6"/>
        <v>0</v>
      </c>
      <c r="G22" s="32">
        <f t="shared" si="6"/>
        <v>0</v>
      </c>
      <c r="H22" s="27">
        <f t="shared" si="6"/>
        <v>60856</v>
      </c>
      <c r="I22" s="32">
        <f t="shared" si="6"/>
        <v>0</v>
      </c>
      <c r="J22" s="27">
        <f t="shared" si="6"/>
        <v>0</v>
      </c>
      <c r="K22" s="32">
        <f t="shared" si="6"/>
        <v>0</v>
      </c>
      <c r="L22" s="27">
        <f t="shared" si="6"/>
        <v>90190</v>
      </c>
    </row>
    <row r="23" spans="1:12" ht="25.5" x14ac:dyDescent="0.25">
      <c r="A23" s="68" t="s">
        <v>375</v>
      </c>
      <c r="B23" s="26" t="s">
        <v>160</v>
      </c>
      <c r="C23" s="23">
        <f>SUM(D23:L23)</f>
        <v>600410</v>
      </c>
      <c r="D23" s="67">
        <v>578910</v>
      </c>
      <c r="E23" s="11">
        <v>21500</v>
      </c>
      <c r="F23" s="67">
        <v>0</v>
      </c>
      <c r="G23" s="11">
        <v>0</v>
      </c>
      <c r="H23" s="67">
        <v>0</v>
      </c>
      <c r="I23" s="11">
        <v>0</v>
      </c>
      <c r="J23" s="67">
        <v>0</v>
      </c>
      <c r="K23" s="11">
        <v>0</v>
      </c>
      <c r="L23" s="67">
        <v>0</v>
      </c>
    </row>
    <row r="24" spans="1:12" ht="63.75" x14ac:dyDescent="0.25">
      <c r="A24" s="68" t="s">
        <v>377</v>
      </c>
      <c r="B24" s="26" t="s">
        <v>409</v>
      </c>
      <c r="C24" s="23">
        <f>SUM(D24:L24)</f>
        <v>155691</v>
      </c>
      <c r="D24" s="67">
        <v>34647</v>
      </c>
      <c r="E24" s="11">
        <v>-30002</v>
      </c>
      <c r="F24" s="67">
        <v>0</v>
      </c>
      <c r="G24" s="11">
        <v>0</v>
      </c>
      <c r="H24" s="67">
        <f>13383+47473</f>
        <v>60856</v>
      </c>
      <c r="I24" s="11">
        <v>0</v>
      </c>
      <c r="J24" s="67">
        <v>0</v>
      </c>
      <c r="K24" s="11">
        <v>0</v>
      </c>
      <c r="L24" s="69">
        <v>90190</v>
      </c>
    </row>
    <row r="25" spans="1:12" s="18" customFormat="1" ht="25.5" x14ac:dyDescent="0.25">
      <c r="A25" s="123" t="s">
        <v>146</v>
      </c>
      <c r="B25" s="117" t="s">
        <v>484</v>
      </c>
      <c r="C25" s="27">
        <f>SUM(D25:L25)</f>
        <v>43056</v>
      </c>
      <c r="D25" s="27">
        <f>D26</f>
        <v>0</v>
      </c>
      <c r="E25" s="32">
        <f t="shared" ref="E25:L25" si="7">E26</f>
        <v>0</v>
      </c>
      <c r="F25" s="27">
        <f t="shared" si="7"/>
        <v>0</v>
      </c>
      <c r="G25" s="32">
        <f t="shared" si="7"/>
        <v>0</v>
      </c>
      <c r="H25" s="27">
        <f t="shared" si="7"/>
        <v>43056</v>
      </c>
      <c r="I25" s="32">
        <f t="shared" si="7"/>
        <v>0</v>
      </c>
      <c r="J25" s="27">
        <f t="shared" si="7"/>
        <v>0</v>
      </c>
      <c r="K25" s="32">
        <f t="shared" si="7"/>
        <v>0</v>
      </c>
      <c r="L25" s="27">
        <f t="shared" si="7"/>
        <v>0</v>
      </c>
    </row>
    <row r="26" spans="1:12" s="18" customFormat="1" x14ac:dyDescent="0.25">
      <c r="A26" s="65" t="s">
        <v>485</v>
      </c>
      <c r="B26" s="66" t="s">
        <v>155</v>
      </c>
      <c r="C26" s="27">
        <f t="shared" ref="C26:C29" si="8">SUM(D26:L26)</f>
        <v>43056</v>
      </c>
      <c r="D26" s="67">
        <v>0</v>
      </c>
      <c r="E26" s="11">
        <v>0</v>
      </c>
      <c r="F26" s="67">
        <v>0</v>
      </c>
      <c r="G26" s="11">
        <v>0</v>
      </c>
      <c r="H26" s="67">
        <f>43056</f>
        <v>43056</v>
      </c>
      <c r="I26" s="11">
        <v>0</v>
      </c>
      <c r="J26" s="67">
        <v>0</v>
      </c>
      <c r="K26" s="11">
        <v>0</v>
      </c>
      <c r="L26" s="67">
        <v>0</v>
      </c>
    </row>
    <row r="27" spans="1:12" x14ac:dyDescent="0.25">
      <c r="A27" s="71" t="s">
        <v>147</v>
      </c>
      <c r="B27" s="72" t="s">
        <v>487</v>
      </c>
      <c r="C27" s="23">
        <f>SUM(D27:L27)</f>
        <v>206594</v>
      </c>
      <c r="D27" s="27">
        <f>D28</f>
        <v>0</v>
      </c>
      <c r="E27" s="32">
        <f t="shared" ref="E27" si="9">E28</f>
        <v>0</v>
      </c>
      <c r="F27" s="27">
        <f t="shared" ref="F27" si="10">F28</f>
        <v>0</v>
      </c>
      <c r="G27" s="32">
        <f t="shared" ref="G27" si="11">G28</f>
        <v>0</v>
      </c>
      <c r="H27" s="27">
        <f t="shared" ref="H27" si="12">H28</f>
        <v>0</v>
      </c>
      <c r="I27" s="32">
        <f t="shared" ref="I27" si="13">I28</f>
        <v>0</v>
      </c>
      <c r="J27" s="27">
        <f t="shared" ref="J27" si="14">J28</f>
        <v>0</v>
      </c>
      <c r="K27" s="32">
        <f t="shared" ref="K27" si="15">K28</f>
        <v>0</v>
      </c>
      <c r="L27" s="27">
        <f t="shared" ref="L27" si="16">L28</f>
        <v>206594</v>
      </c>
    </row>
    <row r="28" spans="1:12" x14ac:dyDescent="0.25">
      <c r="A28" s="68" t="s">
        <v>486</v>
      </c>
      <c r="B28" s="26" t="s">
        <v>156</v>
      </c>
      <c r="C28" s="23">
        <f t="shared" si="8"/>
        <v>206594</v>
      </c>
      <c r="D28" s="27">
        <v>0</v>
      </c>
      <c r="E28" s="11">
        <v>0</v>
      </c>
      <c r="F28" s="67">
        <v>0</v>
      </c>
      <c r="G28" s="11">
        <v>0</v>
      </c>
      <c r="H28" s="67">
        <v>0</v>
      </c>
      <c r="I28" s="11">
        <v>0</v>
      </c>
      <c r="J28" s="67">
        <v>0</v>
      </c>
      <c r="K28" s="11">
        <v>0</v>
      </c>
      <c r="L28" s="67">
        <v>206594</v>
      </c>
    </row>
    <row r="29" spans="1:12" ht="38.25" x14ac:dyDescent="0.25">
      <c r="A29" s="63" t="s">
        <v>148</v>
      </c>
      <c r="B29" s="64" t="s">
        <v>157</v>
      </c>
      <c r="C29" s="23">
        <f t="shared" si="8"/>
        <v>1265425</v>
      </c>
      <c r="D29" s="27">
        <f>SUM(D30:D32)</f>
        <v>609907</v>
      </c>
      <c r="E29" s="32">
        <f t="shared" ref="E29:L29" si="17">SUM(E30:E32)</f>
        <v>0</v>
      </c>
      <c r="F29" s="27">
        <f t="shared" si="17"/>
        <v>0</v>
      </c>
      <c r="G29" s="32">
        <f t="shared" si="17"/>
        <v>0</v>
      </c>
      <c r="H29" s="27">
        <f t="shared" si="17"/>
        <v>0</v>
      </c>
      <c r="I29" s="32">
        <f t="shared" si="17"/>
        <v>0</v>
      </c>
      <c r="J29" s="27">
        <f t="shared" si="17"/>
        <v>655518</v>
      </c>
      <c r="K29" s="24">
        <f t="shared" si="17"/>
        <v>0</v>
      </c>
      <c r="L29" s="23">
        <f t="shared" si="17"/>
        <v>0</v>
      </c>
    </row>
    <row r="30" spans="1:12" ht="29.25" customHeight="1" x14ac:dyDescent="0.25">
      <c r="A30" s="68" t="s">
        <v>149</v>
      </c>
      <c r="B30" s="26" t="s">
        <v>322</v>
      </c>
      <c r="C30" s="23">
        <f>SUM(D30:L30)</f>
        <v>732940</v>
      </c>
      <c r="D30" s="67">
        <v>77422</v>
      </c>
      <c r="E30" s="11">
        <v>0</v>
      </c>
      <c r="F30" s="67">
        <v>0</v>
      </c>
      <c r="G30" s="11">
        <v>0</v>
      </c>
      <c r="H30" s="67">
        <v>0</v>
      </c>
      <c r="I30" s="11">
        <v>0</v>
      </c>
      <c r="J30" s="67">
        <v>655518</v>
      </c>
      <c r="K30" s="11">
        <v>0</v>
      </c>
      <c r="L30" s="69">
        <v>0</v>
      </c>
    </row>
    <row r="31" spans="1:12" ht="38.25" x14ac:dyDescent="0.25">
      <c r="A31" s="68" t="s">
        <v>150</v>
      </c>
      <c r="B31" s="26" t="s">
        <v>323</v>
      </c>
      <c r="C31" s="23">
        <f t="shared" ref="C31:C32" si="18">SUM(D31:L31)</f>
        <v>532485</v>
      </c>
      <c r="D31" s="67">
        <v>532485</v>
      </c>
      <c r="E31" s="11">
        <v>0</v>
      </c>
      <c r="F31" s="67">
        <v>0</v>
      </c>
      <c r="G31" s="11">
        <v>0</v>
      </c>
      <c r="H31" s="67">
        <v>0</v>
      </c>
      <c r="I31" s="11">
        <v>0</v>
      </c>
      <c r="J31" s="67">
        <v>0</v>
      </c>
      <c r="K31" s="11">
        <v>0</v>
      </c>
      <c r="L31" s="67">
        <v>0</v>
      </c>
    </row>
    <row r="32" spans="1:12" ht="25.5" hidden="1" x14ac:dyDescent="0.25">
      <c r="A32" s="81" t="s">
        <v>151</v>
      </c>
      <c r="B32" s="82" t="s">
        <v>158</v>
      </c>
      <c r="C32" s="80">
        <f t="shared" si="18"/>
        <v>0</v>
      </c>
      <c r="D32" s="83">
        <v>0</v>
      </c>
      <c r="E32" s="94">
        <v>0</v>
      </c>
      <c r="F32" s="83">
        <v>0</v>
      </c>
      <c r="G32" s="94">
        <v>0</v>
      </c>
      <c r="H32" s="83">
        <v>0</v>
      </c>
      <c r="I32" s="94">
        <v>0</v>
      </c>
      <c r="J32" s="83">
        <v>0</v>
      </c>
      <c r="K32" s="94">
        <v>0</v>
      </c>
      <c r="L32" s="83">
        <v>0</v>
      </c>
    </row>
    <row r="33" spans="1:12" ht="38.25" x14ac:dyDescent="0.25">
      <c r="A33" s="63" t="s">
        <v>152</v>
      </c>
      <c r="B33" s="64" t="s">
        <v>489</v>
      </c>
      <c r="C33" s="27">
        <f>SUM(D33:L33)</f>
        <v>50798</v>
      </c>
      <c r="D33" s="27">
        <f>D34</f>
        <v>-27541</v>
      </c>
      <c r="E33" s="32">
        <f t="shared" ref="E33" si="19">E34</f>
        <v>-204461</v>
      </c>
      <c r="F33" s="27">
        <f t="shared" ref="F33" si="20">F34</f>
        <v>0</v>
      </c>
      <c r="G33" s="32">
        <f t="shared" ref="G33" si="21">G34</f>
        <v>30000</v>
      </c>
      <c r="H33" s="27">
        <f t="shared" ref="H33" si="22">H34</f>
        <v>0</v>
      </c>
      <c r="I33" s="32">
        <f t="shared" ref="I33" si="23">I34</f>
        <v>0</v>
      </c>
      <c r="J33" s="27">
        <f t="shared" ref="J33" si="24">J34</f>
        <v>0</v>
      </c>
      <c r="K33" s="32">
        <f t="shared" ref="K33" si="25">K34</f>
        <v>0</v>
      </c>
      <c r="L33" s="27">
        <f t="shared" ref="L33" si="26">L34</f>
        <v>252800</v>
      </c>
    </row>
    <row r="34" spans="1:12" ht="25.5" x14ac:dyDescent="0.25">
      <c r="A34" s="68" t="s">
        <v>488</v>
      </c>
      <c r="B34" s="26" t="s">
        <v>159</v>
      </c>
      <c r="C34" s="23">
        <f t="shared" ref="C34" si="27">SUM(D34:L34)</f>
        <v>50798</v>
      </c>
      <c r="D34" s="67">
        <f>-27541</f>
        <v>-27541</v>
      </c>
      <c r="E34" s="11">
        <v>-204461</v>
      </c>
      <c r="F34" s="67">
        <v>0</v>
      </c>
      <c r="G34" s="11">
        <v>30000</v>
      </c>
      <c r="H34" s="67">
        <v>0</v>
      </c>
      <c r="I34" s="11">
        <v>0</v>
      </c>
      <c r="J34" s="67">
        <v>0</v>
      </c>
      <c r="K34" s="11">
        <v>0</v>
      </c>
      <c r="L34" s="67">
        <v>252800</v>
      </c>
    </row>
    <row r="35" spans="1:12" x14ac:dyDescent="0.25">
      <c r="A35" s="95" t="s">
        <v>108</v>
      </c>
      <c r="B35" s="96" t="s">
        <v>117</v>
      </c>
      <c r="C35" s="103">
        <f t="shared" ref="C35:C44" si="28">SUM(D35:L35)</f>
        <v>3671829</v>
      </c>
      <c r="D35" s="103">
        <f>D36+D38</f>
        <v>3445926</v>
      </c>
      <c r="E35" s="104">
        <f t="shared" ref="E35:L35" si="29">E36+E38</f>
        <v>-77537</v>
      </c>
      <c r="F35" s="103">
        <f t="shared" si="29"/>
        <v>168389</v>
      </c>
      <c r="G35" s="104">
        <f t="shared" si="29"/>
        <v>0</v>
      </c>
      <c r="H35" s="103">
        <f t="shared" si="29"/>
        <v>37860</v>
      </c>
      <c r="I35" s="104">
        <f t="shared" si="29"/>
        <v>0</v>
      </c>
      <c r="J35" s="103">
        <f t="shared" si="29"/>
        <v>0</v>
      </c>
      <c r="K35" s="104">
        <f t="shared" si="29"/>
        <v>0</v>
      </c>
      <c r="L35" s="103">
        <f t="shared" si="29"/>
        <v>97191</v>
      </c>
    </row>
    <row r="36" spans="1:12" x14ac:dyDescent="0.25">
      <c r="A36" s="63" t="s">
        <v>490</v>
      </c>
      <c r="B36" s="64" t="s">
        <v>491</v>
      </c>
      <c r="C36" s="27">
        <f>SUM(D36:L36)</f>
        <v>2872256</v>
      </c>
      <c r="D36" s="27">
        <f>D37</f>
        <v>2629507</v>
      </c>
      <c r="E36" s="32">
        <f t="shared" ref="E36" si="30">E37</f>
        <v>0</v>
      </c>
      <c r="F36" s="27">
        <f t="shared" ref="F36" si="31">F37</f>
        <v>128300</v>
      </c>
      <c r="G36" s="32">
        <f t="shared" ref="G36" si="32">G37</f>
        <v>0</v>
      </c>
      <c r="H36" s="27">
        <f t="shared" ref="H36" si="33">H37</f>
        <v>37860</v>
      </c>
      <c r="I36" s="32">
        <f t="shared" ref="I36" si="34">I37</f>
        <v>0</v>
      </c>
      <c r="J36" s="27">
        <f t="shared" ref="J36" si="35">J37</f>
        <v>0</v>
      </c>
      <c r="K36" s="32">
        <f t="shared" ref="K36" si="36">K37</f>
        <v>0</v>
      </c>
      <c r="L36" s="27">
        <f t="shared" ref="L36" si="37">L37</f>
        <v>76589</v>
      </c>
    </row>
    <row r="37" spans="1:12" ht="30" customHeight="1" x14ac:dyDescent="0.25">
      <c r="A37" s="68" t="s">
        <v>161</v>
      </c>
      <c r="B37" s="26" t="s">
        <v>347</v>
      </c>
      <c r="C37" s="23">
        <f t="shared" si="28"/>
        <v>2872256</v>
      </c>
      <c r="D37" s="69">
        <f>2667367-37860</f>
        <v>2629507</v>
      </c>
      <c r="E37" s="11">
        <v>0</v>
      </c>
      <c r="F37" s="67">
        <v>128300</v>
      </c>
      <c r="G37" s="11">
        <v>0</v>
      </c>
      <c r="H37" s="67">
        <f>37860</f>
        <v>37860</v>
      </c>
      <c r="I37" s="11">
        <v>0</v>
      </c>
      <c r="J37" s="67">
        <v>0</v>
      </c>
      <c r="K37" s="11">
        <v>0</v>
      </c>
      <c r="L37" s="69">
        <v>76589</v>
      </c>
    </row>
    <row r="38" spans="1:12" ht="27.75" customHeight="1" x14ac:dyDescent="0.25">
      <c r="A38" s="63" t="s">
        <v>162</v>
      </c>
      <c r="B38" s="64" t="s">
        <v>164</v>
      </c>
      <c r="C38" s="23">
        <f t="shared" si="28"/>
        <v>799573</v>
      </c>
      <c r="D38" s="23">
        <f>SUM(D39:D41)</f>
        <v>816419</v>
      </c>
      <c r="E38" s="24">
        <f t="shared" ref="E38:L38" si="38">SUM(E39:E41)</f>
        <v>-77537</v>
      </c>
      <c r="F38" s="23">
        <f t="shared" si="38"/>
        <v>40089</v>
      </c>
      <c r="G38" s="24">
        <f t="shared" si="38"/>
        <v>0</v>
      </c>
      <c r="H38" s="23">
        <f t="shared" si="38"/>
        <v>0</v>
      </c>
      <c r="I38" s="24">
        <f t="shared" si="38"/>
        <v>0</v>
      </c>
      <c r="J38" s="23">
        <f t="shared" si="38"/>
        <v>0</v>
      </c>
      <c r="K38" s="24">
        <f t="shared" si="38"/>
        <v>0</v>
      </c>
      <c r="L38" s="23">
        <f t="shared" si="38"/>
        <v>20602</v>
      </c>
    </row>
    <row r="39" spans="1:12" ht="37.5" customHeight="1" x14ac:dyDescent="0.25">
      <c r="A39" s="68" t="s">
        <v>163</v>
      </c>
      <c r="B39" s="26" t="s">
        <v>348</v>
      </c>
      <c r="C39" s="23">
        <f t="shared" si="28"/>
        <v>472514</v>
      </c>
      <c r="D39" s="69">
        <v>521464</v>
      </c>
      <c r="E39" s="11">
        <v>-49000</v>
      </c>
      <c r="F39" s="67">
        <v>0</v>
      </c>
      <c r="G39" s="11">
        <v>0</v>
      </c>
      <c r="H39" s="67">
        <v>0</v>
      </c>
      <c r="I39" s="11">
        <v>0</v>
      </c>
      <c r="J39" s="67">
        <v>0</v>
      </c>
      <c r="K39" s="11">
        <v>0</v>
      </c>
      <c r="L39" s="67">
        <v>50</v>
      </c>
    </row>
    <row r="40" spans="1:12" ht="54.75" customHeight="1" x14ac:dyDescent="0.25">
      <c r="A40" s="97" t="s">
        <v>383</v>
      </c>
      <c r="B40" s="98" t="s">
        <v>412</v>
      </c>
      <c r="C40" s="23">
        <f t="shared" ref="C40" si="39">SUM(D40:L40)</f>
        <v>327059</v>
      </c>
      <c r="D40" s="37">
        <f>310124-15169</f>
        <v>294955</v>
      </c>
      <c r="E40" s="11">
        <v>-28537</v>
      </c>
      <c r="F40" s="67">
        <v>40089</v>
      </c>
      <c r="G40" s="11">
        <v>0</v>
      </c>
      <c r="H40" s="37">
        <v>0</v>
      </c>
      <c r="I40" s="11">
        <v>0</v>
      </c>
      <c r="J40" s="67">
        <v>0</v>
      </c>
      <c r="K40" s="11">
        <v>0</v>
      </c>
      <c r="L40" s="37">
        <v>20552</v>
      </c>
    </row>
    <row r="41" spans="1:12" hidden="1" x14ac:dyDescent="0.25">
      <c r="A41" s="58"/>
      <c r="B41" s="59"/>
      <c r="C41" s="80">
        <f t="shared" si="28"/>
        <v>0</v>
      </c>
      <c r="D41" s="83"/>
      <c r="E41" s="94"/>
      <c r="F41" s="83"/>
      <c r="G41" s="94"/>
      <c r="H41" s="83"/>
      <c r="I41" s="94"/>
      <c r="J41" s="83"/>
      <c r="K41" s="94"/>
      <c r="L41" s="83"/>
    </row>
    <row r="42" spans="1:12" x14ac:dyDescent="0.25">
      <c r="A42" s="95" t="s">
        <v>109</v>
      </c>
      <c r="B42" s="96" t="s">
        <v>118</v>
      </c>
      <c r="C42" s="103">
        <f t="shared" si="28"/>
        <v>29775954</v>
      </c>
      <c r="D42" s="103">
        <f>D43+D49+D54+D58</f>
        <v>13962536</v>
      </c>
      <c r="E42" s="104">
        <f t="shared" ref="E42:L42" si="40">E43+E49+E54+E58</f>
        <v>-2476091</v>
      </c>
      <c r="F42" s="103">
        <f t="shared" si="40"/>
        <v>95563</v>
      </c>
      <c r="G42" s="104">
        <f t="shared" si="40"/>
        <v>0</v>
      </c>
      <c r="H42" s="103">
        <f t="shared" si="40"/>
        <v>9052267</v>
      </c>
      <c r="I42" s="104">
        <f t="shared" si="40"/>
        <v>6184501</v>
      </c>
      <c r="J42" s="103">
        <f t="shared" si="40"/>
        <v>24154</v>
      </c>
      <c r="K42" s="104">
        <f t="shared" si="40"/>
        <v>0</v>
      </c>
      <c r="L42" s="103">
        <f t="shared" si="40"/>
        <v>2933024</v>
      </c>
    </row>
    <row r="43" spans="1:12" x14ac:dyDescent="0.25">
      <c r="A43" s="63" t="s">
        <v>165</v>
      </c>
      <c r="B43" s="64" t="s">
        <v>173</v>
      </c>
      <c r="C43" s="23">
        <f t="shared" si="28"/>
        <v>20487541</v>
      </c>
      <c r="D43" s="23">
        <f t="shared" ref="D43:L43" si="41">SUM(D44:D48)</f>
        <v>7657079</v>
      </c>
      <c r="E43" s="24">
        <f t="shared" si="41"/>
        <v>-1944002</v>
      </c>
      <c r="F43" s="23">
        <f t="shared" si="41"/>
        <v>0</v>
      </c>
      <c r="G43" s="24">
        <f t="shared" si="41"/>
        <v>0</v>
      </c>
      <c r="H43" s="23">
        <f t="shared" si="41"/>
        <v>7452916</v>
      </c>
      <c r="I43" s="24">
        <f t="shared" si="41"/>
        <v>4439499</v>
      </c>
      <c r="J43" s="23">
        <f t="shared" si="41"/>
        <v>0</v>
      </c>
      <c r="K43" s="24">
        <f t="shared" si="41"/>
        <v>0</v>
      </c>
      <c r="L43" s="23">
        <f t="shared" si="41"/>
        <v>2882049</v>
      </c>
    </row>
    <row r="44" spans="1:12" ht="38.25" x14ac:dyDescent="0.25">
      <c r="A44" s="68" t="s">
        <v>166</v>
      </c>
      <c r="B44" s="26" t="s">
        <v>324</v>
      </c>
      <c r="C44" s="23">
        <f t="shared" si="28"/>
        <v>646667</v>
      </c>
      <c r="D44" s="69">
        <f>718054+11500</f>
        <v>729554</v>
      </c>
      <c r="E44" s="11">
        <v>-82887</v>
      </c>
      <c r="F44" s="67">
        <v>0</v>
      </c>
      <c r="G44" s="11">
        <v>0</v>
      </c>
      <c r="H44" s="67">
        <v>0</v>
      </c>
      <c r="I44" s="11">
        <v>0</v>
      </c>
      <c r="J44" s="67">
        <v>0</v>
      </c>
      <c r="K44" s="11">
        <v>0</v>
      </c>
      <c r="L44" s="67">
        <v>0</v>
      </c>
    </row>
    <row r="45" spans="1:12" ht="38.25" x14ac:dyDescent="0.25">
      <c r="A45" s="68" t="s">
        <v>167</v>
      </c>
      <c r="B45" s="26" t="s">
        <v>174</v>
      </c>
      <c r="C45" s="23">
        <f t="shared" ref="C45:C48" si="42">SUM(D45:L45)</f>
        <v>1491007</v>
      </c>
      <c r="D45" s="69">
        <v>0</v>
      </c>
      <c r="E45" s="11">
        <v>0</v>
      </c>
      <c r="F45" s="67">
        <v>0</v>
      </c>
      <c r="G45" s="11">
        <v>0</v>
      </c>
      <c r="H45" s="67">
        <v>1055909</v>
      </c>
      <c r="I45" s="11">
        <v>0</v>
      </c>
      <c r="J45" s="67">
        <v>0</v>
      </c>
      <c r="K45" s="11">
        <v>0</v>
      </c>
      <c r="L45" s="69">
        <v>435098</v>
      </c>
    </row>
    <row r="46" spans="1:12" ht="54" customHeight="1" x14ac:dyDescent="0.25">
      <c r="A46" s="65" t="s">
        <v>403</v>
      </c>
      <c r="B46" s="66" t="s">
        <v>402</v>
      </c>
      <c r="C46" s="27">
        <f t="shared" si="42"/>
        <v>11491423</v>
      </c>
      <c r="D46" s="67">
        <f>3931170</f>
        <v>3931170</v>
      </c>
      <c r="E46" s="11">
        <v>0</v>
      </c>
      <c r="F46" s="67">
        <v>0</v>
      </c>
      <c r="G46" s="11">
        <v>0</v>
      </c>
      <c r="H46" s="67">
        <f>2863944+409584</f>
        <v>3273528</v>
      </c>
      <c r="I46" s="11">
        <v>2551229</v>
      </c>
      <c r="J46" s="67">
        <v>0</v>
      </c>
      <c r="K46" s="11">
        <v>0</v>
      </c>
      <c r="L46" s="67">
        <v>1735496</v>
      </c>
    </row>
    <row r="47" spans="1:12" ht="51" x14ac:dyDescent="0.25">
      <c r="A47" s="65" t="s">
        <v>428</v>
      </c>
      <c r="B47" s="66" t="s">
        <v>429</v>
      </c>
      <c r="C47" s="27">
        <f t="shared" si="42"/>
        <v>5261749</v>
      </c>
      <c r="D47" s="67">
        <f>2111115</f>
        <v>2111115</v>
      </c>
      <c r="E47" s="11">
        <v>-1861115</v>
      </c>
      <c r="F47" s="67">
        <v>0</v>
      </c>
      <c r="G47" s="11">
        <v>0</v>
      </c>
      <c r="H47" s="67">
        <v>3123479</v>
      </c>
      <c r="I47" s="11">
        <v>1888270</v>
      </c>
      <c r="J47" s="67">
        <v>0</v>
      </c>
      <c r="K47" s="11">
        <v>0</v>
      </c>
      <c r="L47" s="67">
        <v>0</v>
      </c>
    </row>
    <row r="48" spans="1:12" ht="42.75" customHeight="1" x14ac:dyDescent="0.25">
      <c r="A48" s="65" t="s">
        <v>430</v>
      </c>
      <c r="B48" s="66" t="s">
        <v>431</v>
      </c>
      <c r="C48" s="27">
        <f t="shared" si="42"/>
        <v>1596695</v>
      </c>
      <c r="D48" s="67">
        <f>219258+665982</f>
        <v>885240</v>
      </c>
      <c r="E48" s="11">
        <v>0</v>
      </c>
      <c r="F48" s="67">
        <v>0</v>
      </c>
      <c r="G48" s="11">
        <v>0</v>
      </c>
      <c r="H48" s="67">
        <v>0</v>
      </c>
      <c r="I48" s="11">
        <v>0</v>
      </c>
      <c r="J48" s="67">
        <v>0</v>
      </c>
      <c r="K48" s="11">
        <v>0</v>
      </c>
      <c r="L48" s="67">
        <v>711455</v>
      </c>
    </row>
    <row r="49" spans="1:12" x14ac:dyDescent="0.25">
      <c r="A49" s="63" t="s">
        <v>168</v>
      </c>
      <c r="B49" s="64" t="s">
        <v>175</v>
      </c>
      <c r="C49" s="23">
        <f t="shared" ref="C49:C59" si="43">SUM(D49:L49)</f>
        <v>2760792</v>
      </c>
      <c r="D49" s="23">
        <f t="shared" ref="D49:L49" si="44">SUM(D50:D53)</f>
        <v>1708094</v>
      </c>
      <c r="E49" s="32">
        <f t="shared" si="44"/>
        <v>8411</v>
      </c>
      <c r="F49" s="27">
        <f t="shared" si="44"/>
        <v>95563</v>
      </c>
      <c r="G49" s="32">
        <f t="shared" si="44"/>
        <v>0</v>
      </c>
      <c r="H49" s="27">
        <f t="shared" si="44"/>
        <v>532582</v>
      </c>
      <c r="I49" s="32">
        <f t="shared" si="44"/>
        <v>343513</v>
      </c>
      <c r="J49" s="27">
        <f t="shared" si="44"/>
        <v>24154</v>
      </c>
      <c r="K49" s="32">
        <f t="shared" si="44"/>
        <v>0</v>
      </c>
      <c r="L49" s="23">
        <f t="shared" si="44"/>
        <v>48475</v>
      </c>
    </row>
    <row r="50" spans="1:12" ht="25.5" x14ac:dyDescent="0.25">
      <c r="A50" s="68" t="s">
        <v>169</v>
      </c>
      <c r="B50" s="26" t="s">
        <v>349</v>
      </c>
      <c r="C50" s="23">
        <f t="shared" si="43"/>
        <v>388608</v>
      </c>
      <c r="D50" s="69">
        <f>294938+9824</f>
        <v>304762</v>
      </c>
      <c r="E50" s="11">
        <v>0</v>
      </c>
      <c r="F50" s="67">
        <v>57300</v>
      </c>
      <c r="G50" s="11">
        <v>0</v>
      </c>
      <c r="H50" s="67">
        <f>1100</f>
        <v>1100</v>
      </c>
      <c r="I50" s="11">
        <v>0</v>
      </c>
      <c r="J50" s="67">
        <f>19012+5142</f>
        <v>24154</v>
      </c>
      <c r="K50" s="11">
        <v>0</v>
      </c>
      <c r="L50" s="69">
        <v>1292</v>
      </c>
    </row>
    <row r="51" spans="1:12" ht="51" x14ac:dyDescent="0.25">
      <c r="A51" s="68" t="s">
        <v>372</v>
      </c>
      <c r="B51" s="26" t="s">
        <v>411</v>
      </c>
      <c r="C51" s="23">
        <f t="shared" si="43"/>
        <v>38263</v>
      </c>
      <c r="D51" s="69">
        <f>13747-13747</f>
        <v>0</v>
      </c>
      <c r="E51" s="11">
        <v>0</v>
      </c>
      <c r="F51" s="67">
        <f>38263</f>
        <v>38263</v>
      </c>
      <c r="G51" s="11">
        <v>0</v>
      </c>
      <c r="H51" s="67">
        <f>38263-38263</f>
        <v>0</v>
      </c>
      <c r="I51" s="11">
        <v>0</v>
      </c>
      <c r="J51" s="67">
        <v>0</v>
      </c>
      <c r="K51" s="11">
        <v>0</v>
      </c>
      <c r="L51" s="69">
        <v>0</v>
      </c>
    </row>
    <row r="52" spans="1:12" ht="65.25" customHeight="1" x14ac:dyDescent="0.25">
      <c r="A52" s="65" t="s">
        <v>404</v>
      </c>
      <c r="B52" s="66" t="s">
        <v>405</v>
      </c>
      <c r="C52" s="27">
        <f t="shared" ref="C52" si="45">SUM(D52:L52)</f>
        <v>2333921</v>
      </c>
      <c r="D52" s="67">
        <v>1403332</v>
      </c>
      <c r="E52" s="11">
        <v>8411</v>
      </c>
      <c r="F52" s="67">
        <v>0</v>
      </c>
      <c r="G52" s="11">
        <v>0</v>
      </c>
      <c r="H52" s="67">
        <f>83239+448243</f>
        <v>531482</v>
      </c>
      <c r="I52" s="11">
        <v>343513</v>
      </c>
      <c r="J52" s="67">
        <v>0</v>
      </c>
      <c r="K52" s="11">
        <v>0</v>
      </c>
      <c r="L52" s="67">
        <v>47183</v>
      </c>
    </row>
    <row r="53" spans="1:12" hidden="1" x14ac:dyDescent="0.25">
      <c r="A53" s="58"/>
      <c r="B53" s="59"/>
      <c r="C53" s="80">
        <f t="shared" si="43"/>
        <v>0</v>
      </c>
      <c r="D53" s="83"/>
      <c r="E53" s="94"/>
      <c r="F53" s="83"/>
      <c r="G53" s="94"/>
      <c r="H53" s="83"/>
      <c r="I53" s="94"/>
      <c r="J53" s="83"/>
      <c r="K53" s="94"/>
      <c r="L53" s="83"/>
    </row>
    <row r="54" spans="1:12" x14ac:dyDescent="0.25">
      <c r="A54" s="71" t="s">
        <v>387</v>
      </c>
      <c r="B54" s="72" t="s">
        <v>388</v>
      </c>
      <c r="C54" s="27">
        <f>SUM(D54:L54)</f>
        <v>6419047</v>
      </c>
      <c r="D54" s="27">
        <f t="shared" ref="D54:L54" si="46">SUM(D55:D57)</f>
        <v>4520789</v>
      </c>
      <c r="E54" s="32">
        <f t="shared" si="46"/>
        <v>-570000</v>
      </c>
      <c r="F54" s="27">
        <f t="shared" si="46"/>
        <v>0</v>
      </c>
      <c r="G54" s="32">
        <f t="shared" si="46"/>
        <v>0</v>
      </c>
      <c r="H54" s="27">
        <f t="shared" si="46"/>
        <v>1066769</v>
      </c>
      <c r="I54" s="32">
        <f t="shared" si="46"/>
        <v>1401489</v>
      </c>
      <c r="J54" s="27">
        <f t="shared" si="46"/>
        <v>0</v>
      </c>
      <c r="K54" s="32">
        <f t="shared" si="46"/>
        <v>0</v>
      </c>
      <c r="L54" s="27">
        <f t="shared" si="46"/>
        <v>0</v>
      </c>
    </row>
    <row r="55" spans="1:12" ht="66.75" customHeight="1" x14ac:dyDescent="0.25">
      <c r="A55" s="65" t="s">
        <v>389</v>
      </c>
      <c r="B55" s="66" t="s">
        <v>390</v>
      </c>
      <c r="C55" s="27">
        <f t="shared" ref="C55:C56" si="47">SUM(D55:L55)</f>
        <v>3037727</v>
      </c>
      <c r="D55" s="67">
        <f>2080358</f>
        <v>2080358</v>
      </c>
      <c r="E55" s="11">
        <v>-400000</v>
      </c>
      <c r="F55" s="67">
        <v>0</v>
      </c>
      <c r="G55" s="11">
        <v>0</v>
      </c>
      <c r="H55" s="67">
        <v>559365</v>
      </c>
      <c r="I55" s="11">
        <v>798004</v>
      </c>
      <c r="J55" s="67">
        <v>0</v>
      </c>
      <c r="K55" s="11">
        <v>0</v>
      </c>
      <c r="L55" s="67">
        <v>0</v>
      </c>
    </row>
    <row r="56" spans="1:12" ht="39.75" customHeight="1" x14ac:dyDescent="0.25">
      <c r="A56" s="97" t="s">
        <v>391</v>
      </c>
      <c r="B56" s="98" t="s">
        <v>392</v>
      </c>
      <c r="C56" s="93">
        <f t="shared" si="47"/>
        <v>3381320</v>
      </c>
      <c r="D56" s="37">
        <f>2947835-507404</f>
        <v>2440431</v>
      </c>
      <c r="E56" s="11">
        <v>-170000</v>
      </c>
      <c r="F56" s="37">
        <v>0</v>
      </c>
      <c r="G56" s="105">
        <v>0</v>
      </c>
      <c r="H56" s="37">
        <f>507404</f>
        <v>507404</v>
      </c>
      <c r="I56" s="105">
        <v>603485</v>
      </c>
      <c r="J56" s="37">
        <v>0</v>
      </c>
      <c r="K56" s="105">
        <v>0</v>
      </c>
      <c r="L56" s="37">
        <v>0</v>
      </c>
    </row>
    <row r="57" spans="1:12" hidden="1" x14ac:dyDescent="0.25">
      <c r="A57" s="58"/>
      <c r="B57" s="59"/>
      <c r="C57" s="80">
        <f t="shared" ref="C57" si="48">SUM(D57:L57)</f>
        <v>0</v>
      </c>
      <c r="D57" s="83">
        <v>0</v>
      </c>
      <c r="E57" s="94"/>
      <c r="F57" s="83"/>
      <c r="G57" s="94"/>
      <c r="H57" s="83"/>
      <c r="I57" s="94"/>
      <c r="J57" s="83"/>
      <c r="K57" s="94"/>
      <c r="L57" s="83"/>
    </row>
    <row r="58" spans="1:12" ht="25.5" x14ac:dyDescent="0.25">
      <c r="A58" s="63" t="s">
        <v>170</v>
      </c>
      <c r="B58" s="64" t="s">
        <v>176</v>
      </c>
      <c r="C58" s="23">
        <f t="shared" si="43"/>
        <v>108574</v>
      </c>
      <c r="D58" s="23">
        <f t="shared" ref="D58:L58" si="49">SUM(D59:D61)</f>
        <v>76574</v>
      </c>
      <c r="E58" s="32">
        <f t="shared" si="49"/>
        <v>29500</v>
      </c>
      <c r="F58" s="27">
        <f t="shared" si="49"/>
        <v>0</v>
      </c>
      <c r="G58" s="32">
        <f t="shared" si="49"/>
        <v>0</v>
      </c>
      <c r="H58" s="27">
        <f t="shared" si="49"/>
        <v>0</v>
      </c>
      <c r="I58" s="32">
        <f t="shared" si="49"/>
        <v>0</v>
      </c>
      <c r="J58" s="27">
        <f t="shared" si="49"/>
        <v>0</v>
      </c>
      <c r="K58" s="32">
        <f t="shared" si="49"/>
        <v>0</v>
      </c>
      <c r="L58" s="23">
        <f t="shared" si="49"/>
        <v>2500</v>
      </c>
    </row>
    <row r="59" spans="1:12" ht="38.25" x14ac:dyDescent="0.25">
      <c r="A59" s="68" t="s">
        <v>171</v>
      </c>
      <c r="B59" s="26" t="s">
        <v>177</v>
      </c>
      <c r="C59" s="23">
        <f t="shared" si="43"/>
        <v>106074</v>
      </c>
      <c r="D59" s="69">
        <v>76574</v>
      </c>
      <c r="E59" s="11">
        <v>29500</v>
      </c>
      <c r="F59" s="67">
        <v>0</v>
      </c>
      <c r="G59" s="11">
        <v>0</v>
      </c>
      <c r="H59" s="67">
        <v>0</v>
      </c>
      <c r="I59" s="11">
        <v>0</v>
      </c>
      <c r="J59" s="67">
        <v>0</v>
      </c>
      <c r="K59" s="11">
        <v>0</v>
      </c>
      <c r="L59" s="67">
        <v>0</v>
      </c>
    </row>
    <row r="60" spans="1:12" ht="25.5" x14ac:dyDescent="0.25">
      <c r="A60" s="68" t="s">
        <v>172</v>
      </c>
      <c r="B60" s="26" t="s">
        <v>178</v>
      </c>
      <c r="C60" s="23">
        <f t="shared" ref="C60" si="50">SUM(D60:L60)</f>
        <v>2500</v>
      </c>
      <c r="D60" s="69">
        <v>0</v>
      </c>
      <c r="E60" s="11">
        <v>0</v>
      </c>
      <c r="F60" s="67">
        <v>0</v>
      </c>
      <c r="G60" s="11">
        <v>0</v>
      </c>
      <c r="H60" s="67">
        <v>0</v>
      </c>
      <c r="I60" s="11">
        <v>0</v>
      </c>
      <c r="J60" s="67">
        <v>0</v>
      </c>
      <c r="K60" s="11">
        <v>0</v>
      </c>
      <c r="L60" s="67">
        <v>2500</v>
      </c>
    </row>
    <row r="61" spans="1:12" hidden="1" x14ac:dyDescent="0.25">
      <c r="A61" s="58"/>
      <c r="B61" s="59"/>
      <c r="C61" s="80">
        <f t="shared" ref="C61" si="51">SUM(D61:L61)</f>
        <v>0</v>
      </c>
      <c r="D61" s="83"/>
      <c r="E61" s="94"/>
      <c r="F61" s="83"/>
      <c r="G61" s="94"/>
      <c r="H61" s="83"/>
      <c r="I61" s="94"/>
      <c r="J61" s="83"/>
      <c r="K61" s="94"/>
      <c r="L61" s="83"/>
    </row>
    <row r="62" spans="1:12" x14ac:dyDescent="0.25">
      <c r="A62" s="95" t="s">
        <v>110</v>
      </c>
      <c r="B62" s="96" t="s">
        <v>119</v>
      </c>
      <c r="C62" s="103">
        <f t="shared" ref="C62:C73" si="52">SUM(D62:L62)</f>
        <v>4076100</v>
      </c>
      <c r="D62" s="103">
        <f>D63+D66+D68+D71</f>
        <v>1809802</v>
      </c>
      <c r="E62" s="104">
        <f>E63+E66+E68+E71</f>
        <v>-15685</v>
      </c>
      <c r="F62" s="103">
        <f t="shared" ref="F62:L62" si="53">F63+F66+F68+F71</f>
        <v>0</v>
      </c>
      <c r="G62" s="104">
        <f t="shared" si="53"/>
        <v>0</v>
      </c>
      <c r="H62" s="103">
        <f t="shared" si="53"/>
        <v>1535627</v>
      </c>
      <c r="I62" s="104">
        <f t="shared" si="53"/>
        <v>272647</v>
      </c>
      <c r="J62" s="103">
        <f t="shared" si="53"/>
        <v>0</v>
      </c>
      <c r="K62" s="104">
        <f t="shared" si="53"/>
        <v>0</v>
      </c>
      <c r="L62" s="103">
        <f t="shared" si="53"/>
        <v>473709</v>
      </c>
    </row>
    <row r="63" spans="1:12" x14ac:dyDescent="0.25">
      <c r="A63" s="63" t="s">
        <v>179</v>
      </c>
      <c r="B63" s="64" t="s">
        <v>185</v>
      </c>
      <c r="C63" s="23">
        <f t="shared" si="52"/>
        <v>1579941</v>
      </c>
      <c r="D63" s="23">
        <f>SUM(D64:D65)</f>
        <v>1112136</v>
      </c>
      <c r="E63" s="24">
        <f t="shared" ref="E63:L63" si="54">SUM(E64:E65)</f>
        <v>12459</v>
      </c>
      <c r="F63" s="23">
        <f t="shared" si="54"/>
        <v>0</v>
      </c>
      <c r="G63" s="24">
        <f t="shared" si="54"/>
        <v>0</v>
      </c>
      <c r="H63" s="23">
        <f t="shared" si="54"/>
        <v>0</v>
      </c>
      <c r="I63" s="24">
        <f t="shared" si="54"/>
        <v>0</v>
      </c>
      <c r="J63" s="23">
        <f t="shared" si="54"/>
        <v>0</v>
      </c>
      <c r="K63" s="24">
        <f t="shared" si="54"/>
        <v>0</v>
      </c>
      <c r="L63" s="23">
        <f t="shared" si="54"/>
        <v>455346</v>
      </c>
    </row>
    <row r="64" spans="1:12" ht="38.25" x14ac:dyDescent="0.25">
      <c r="A64" s="68" t="s">
        <v>180</v>
      </c>
      <c r="B64" s="26" t="s">
        <v>189</v>
      </c>
      <c r="C64" s="23">
        <f t="shared" si="52"/>
        <v>1086310</v>
      </c>
      <c r="D64" s="69">
        <f>1069101+6050</f>
        <v>1075151</v>
      </c>
      <c r="E64" s="11">
        <v>11159</v>
      </c>
      <c r="F64" s="67">
        <v>0</v>
      </c>
      <c r="G64" s="12">
        <v>0</v>
      </c>
      <c r="H64" s="67">
        <v>0</v>
      </c>
      <c r="I64" s="12">
        <v>0</v>
      </c>
      <c r="J64" s="67">
        <v>0</v>
      </c>
      <c r="K64" s="12">
        <v>0</v>
      </c>
      <c r="L64" s="67">
        <v>0</v>
      </c>
    </row>
    <row r="65" spans="1:12" ht="25.5" x14ac:dyDescent="0.25">
      <c r="A65" s="68" t="s">
        <v>181</v>
      </c>
      <c r="B65" s="26" t="s">
        <v>188</v>
      </c>
      <c r="C65" s="23">
        <f t="shared" si="52"/>
        <v>493631</v>
      </c>
      <c r="D65" s="69">
        <f>36985</f>
        <v>36985</v>
      </c>
      <c r="E65" s="11">
        <v>1300</v>
      </c>
      <c r="F65" s="67">
        <v>0</v>
      </c>
      <c r="G65" s="11">
        <v>0</v>
      </c>
      <c r="H65" s="67">
        <v>0</v>
      </c>
      <c r="I65" s="11">
        <v>0</v>
      </c>
      <c r="J65" s="67">
        <v>0</v>
      </c>
      <c r="K65" s="11">
        <v>0</v>
      </c>
      <c r="L65" s="67">
        <v>455346</v>
      </c>
    </row>
    <row r="66" spans="1:12" x14ac:dyDescent="0.25">
      <c r="A66" s="63" t="s">
        <v>492</v>
      </c>
      <c r="B66" s="64" t="s">
        <v>186</v>
      </c>
      <c r="C66" s="27">
        <f>SUM(D66:L66)</f>
        <v>617208</v>
      </c>
      <c r="D66" s="27">
        <f>D67</f>
        <v>571750</v>
      </c>
      <c r="E66" s="32">
        <f t="shared" ref="E66" si="55">E67</f>
        <v>45458</v>
      </c>
      <c r="F66" s="27">
        <f t="shared" ref="F66" si="56">F67</f>
        <v>0</v>
      </c>
      <c r="G66" s="32">
        <f t="shared" ref="G66" si="57">G67</f>
        <v>0</v>
      </c>
      <c r="H66" s="27">
        <f t="shared" ref="H66" si="58">H67</f>
        <v>0</v>
      </c>
      <c r="I66" s="32">
        <f t="shared" ref="I66" si="59">I67</f>
        <v>0</v>
      </c>
      <c r="J66" s="27">
        <f t="shared" ref="J66" si="60">J67</f>
        <v>0</v>
      </c>
      <c r="K66" s="32">
        <f t="shared" ref="K66" si="61">K67</f>
        <v>0</v>
      </c>
      <c r="L66" s="27">
        <f t="shared" ref="L66" si="62">L67</f>
        <v>0</v>
      </c>
    </row>
    <row r="67" spans="1:12" x14ac:dyDescent="0.25">
      <c r="A67" s="68" t="s">
        <v>182</v>
      </c>
      <c r="B67" s="26" t="s">
        <v>186</v>
      </c>
      <c r="C67" s="23">
        <f t="shared" si="52"/>
        <v>617208</v>
      </c>
      <c r="D67" s="69">
        <v>571750</v>
      </c>
      <c r="E67" s="11">
        <v>45458</v>
      </c>
      <c r="F67" s="67">
        <v>0</v>
      </c>
      <c r="G67" s="11">
        <v>0</v>
      </c>
      <c r="H67" s="67">
        <v>0</v>
      </c>
      <c r="I67" s="11">
        <v>0</v>
      </c>
      <c r="J67" s="67">
        <v>0</v>
      </c>
      <c r="K67" s="11">
        <v>0</v>
      </c>
      <c r="L67" s="67">
        <v>0</v>
      </c>
    </row>
    <row r="68" spans="1:12" ht="25.5" x14ac:dyDescent="0.25">
      <c r="A68" s="71" t="s">
        <v>183</v>
      </c>
      <c r="B68" s="72" t="s">
        <v>493</v>
      </c>
      <c r="C68" s="27">
        <f>SUM(D68:L68)</f>
        <v>1364878</v>
      </c>
      <c r="D68" s="27">
        <f t="shared" ref="D68:L68" si="63">SUM(D69:D70)</f>
        <v>605</v>
      </c>
      <c r="E68" s="32">
        <f t="shared" si="63"/>
        <v>6398</v>
      </c>
      <c r="F68" s="27">
        <f t="shared" si="63"/>
        <v>0</v>
      </c>
      <c r="G68" s="32">
        <f t="shared" si="63"/>
        <v>0</v>
      </c>
      <c r="H68" s="27">
        <f t="shared" si="63"/>
        <v>1357875</v>
      </c>
      <c r="I68" s="32">
        <f t="shared" si="63"/>
        <v>0</v>
      </c>
      <c r="J68" s="27">
        <f t="shared" si="63"/>
        <v>0</v>
      </c>
      <c r="K68" s="32">
        <f t="shared" si="63"/>
        <v>0</v>
      </c>
      <c r="L68" s="27">
        <f t="shared" si="63"/>
        <v>0</v>
      </c>
    </row>
    <row r="69" spans="1:12" ht="25.5" x14ac:dyDescent="0.25">
      <c r="A69" s="65" t="s">
        <v>823</v>
      </c>
      <c r="B69" s="66" t="s">
        <v>824</v>
      </c>
      <c r="C69" s="27">
        <f t="shared" ref="C69" si="64">SUM(D69:L69)</f>
        <v>6398</v>
      </c>
      <c r="D69" s="67">
        <v>0</v>
      </c>
      <c r="E69" s="11">
        <v>6398</v>
      </c>
      <c r="F69" s="67">
        <v>0</v>
      </c>
      <c r="G69" s="11">
        <v>0</v>
      </c>
      <c r="H69" s="67">
        <v>0</v>
      </c>
      <c r="I69" s="11">
        <v>0</v>
      </c>
      <c r="J69" s="67">
        <v>0</v>
      </c>
      <c r="K69" s="11">
        <v>0</v>
      </c>
      <c r="L69" s="67">
        <v>0</v>
      </c>
    </row>
    <row r="70" spans="1:12" ht="51" x14ac:dyDescent="0.25">
      <c r="A70" s="65" t="s">
        <v>393</v>
      </c>
      <c r="B70" s="66" t="s">
        <v>394</v>
      </c>
      <c r="C70" s="27">
        <f t="shared" si="52"/>
        <v>1358480</v>
      </c>
      <c r="D70" s="67">
        <v>605</v>
      </c>
      <c r="E70" s="11">
        <v>0</v>
      </c>
      <c r="F70" s="67">
        <v>0</v>
      </c>
      <c r="G70" s="11">
        <v>0</v>
      </c>
      <c r="H70" s="67">
        <v>1357875</v>
      </c>
      <c r="I70" s="11">
        <v>0</v>
      </c>
      <c r="J70" s="67">
        <v>0</v>
      </c>
      <c r="K70" s="11">
        <v>0</v>
      </c>
      <c r="L70" s="67">
        <v>0</v>
      </c>
    </row>
    <row r="71" spans="1:12" ht="25.5" x14ac:dyDescent="0.25">
      <c r="A71" s="63" t="s">
        <v>184</v>
      </c>
      <c r="B71" s="64" t="s">
        <v>187</v>
      </c>
      <c r="C71" s="23">
        <f t="shared" si="52"/>
        <v>514073</v>
      </c>
      <c r="D71" s="23">
        <f>SUM(D72:D73)</f>
        <v>125311</v>
      </c>
      <c r="E71" s="32">
        <f t="shared" ref="E71:L71" si="65">SUM(E72:E73)</f>
        <v>-80000</v>
      </c>
      <c r="F71" s="27">
        <f t="shared" si="65"/>
        <v>0</v>
      </c>
      <c r="G71" s="32">
        <f t="shared" si="65"/>
        <v>0</v>
      </c>
      <c r="H71" s="27">
        <f t="shared" si="65"/>
        <v>177752</v>
      </c>
      <c r="I71" s="32">
        <f t="shared" si="65"/>
        <v>272647</v>
      </c>
      <c r="J71" s="27">
        <f t="shared" si="65"/>
        <v>0</v>
      </c>
      <c r="K71" s="32">
        <f t="shared" si="65"/>
        <v>0</v>
      </c>
      <c r="L71" s="27">
        <f t="shared" si="65"/>
        <v>18363</v>
      </c>
    </row>
    <row r="72" spans="1:12" ht="76.5" x14ac:dyDescent="0.25">
      <c r="A72" s="68" t="s">
        <v>378</v>
      </c>
      <c r="B72" s="26" t="s">
        <v>410</v>
      </c>
      <c r="C72" s="106">
        <f t="shared" ref="C72" si="66">SUM(D72:L72)</f>
        <v>514073</v>
      </c>
      <c r="D72" s="107">
        <v>125311</v>
      </c>
      <c r="E72" s="108">
        <v>-80000</v>
      </c>
      <c r="F72" s="67">
        <v>0</v>
      </c>
      <c r="G72" s="108">
        <v>0</v>
      </c>
      <c r="H72" s="67">
        <f>173242+4510</f>
        <v>177752</v>
      </c>
      <c r="I72" s="108">
        <v>272647</v>
      </c>
      <c r="J72" s="67">
        <v>0</v>
      </c>
      <c r="K72" s="108">
        <v>0</v>
      </c>
      <c r="L72" s="74">
        <v>18363</v>
      </c>
    </row>
    <row r="73" spans="1:12" hidden="1" x14ac:dyDescent="0.25">
      <c r="A73" s="58"/>
      <c r="B73" s="59"/>
      <c r="C73" s="84">
        <f t="shared" si="52"/>
        <v>0</v>
      </c>
      <c r="D73" s="85"/>
      <c r="E73" s="109"/>
      <c r="F73" s="83"/>
      <c r="G73" s="109"/>
      <c r="H73" s="83"/>
      <c r="I73" s="109"/>
      <c r="J73" s="83"/>
      <c r="K73" s="109"/>
      <c r="L73" s="85"/>
    </row>
    <row r="74" spans="1:12" ht="25.5" x14ac:dyDescent="0.25">
      <c r="A74" s="95" t="s">
        <v>111</v>
      </c>
      <c r="B74" s="96" t="s">
        <v>120</v>
      </c>
      <c r="C74" s="103">
        <f>SUM(D74:L74)</f>
        <v>4267294</v>
      </c>
      <c r="D74" s="103">
        <f>D75+D77+D80</f>
        <v>3925530</v>
      </c>
      <c r="E74" s="104">
        <f t="shared" ref="E74:L74" si="67">E75+E77+E80</f>
        <v>-22748</v>
      </c>
      <c r="F74" s="103">
        <f t="shared" si="67"/>
        <v>74522</v>
      </c>
      <c r="G74" s="104">
        <f t="shared" si="67"/>
        <v>23835</v>
      </c>
      <c r="H74" s="103">
        <f t="shared" si="67"/>
        <v>320357</v>
      </c>
      <c r="I74" s="104">
        <f t="shared" si="67"/>
        <v>-320357</v>
      </c>
      <c r="J74" s="103">
        <f t="shared" si="67"/>
        <v>0</v>
      </c>
      <c r="K74" s="104">
        <f t="shared" si="67"/>
        <v>0</v>
      </c>
      <c r="L74" s="103">
        <f t="shared" si="67"/>
        <v>266155</v>
      </c>
    </row>
    <row r="75" spans="1:12" x14ac:dyDescent="0.25">
      <c r="A75" s="63" t="s">
        <v>494</v>
      </c>
      <c r="B75" s="64" t="s">
        <v>495</v>
      </c>
      <c r="C75" s="27">
        <f t="shared" ref="C75" si="68">SUM(D75:L75)</f>
        <v>462334</v>
      </c>
      <c r="D75" s="27">
        <f>D76</f>
        <v>673334</v>
      </c>
      <c r="E75" s="32">
        <f t="shared" ref="E75:L75" si="69">E76</f>
        <v>-211000</v>
      </c>
      <c r="F75" s="27">
        <f t="shared" si="69"/>
        <v>0</v>
      </c>
      <c r="G75" s="32">
        <f t="shared" si="69"/>
        <v>0</v>
      </c>
      <c r="H75" s="27">
        <f t="shared" si="69"/>
        <v>0</v>
      </c>
      <c r="I75" s="32">
        <f t="shared" si="69"/>
        <v>0</v>
      </c>
      <c r="J75" s="27">
        <f t="shared" si="69"/>
        <v>0</v>
      </c>
      <c r="K75" s="32">
        <f t="shared" si="69"/>
        <v>0</v>
      </c>
      <c r="L75" s="27">
        <f t="shared" si="69"/>
        <v>0</v>
      </c>
    </row>
    <row r="76" spans="1:12" ht="25.5" x14ac:dyDescent="0.25">
      <c r="A76" s="68" t="s">
        <v>190</v>
      </c>
      <c r="B76" s="26" t="s">
        <v>200</v>
      </c>
      <c r="C76" s="23">
        <f>SUM(D76:L76)</f>
        <v>462334</v>
      </c>
      <c r="D76" s="69">
        <v>673334</v>
      </c>
      <c r="E76" s="11">
        <v>-211000</v>
      </c>
      <c r="F76" s="67">
        <v>0</v>
      </c>
      <c r="G76" s="11">
        <v>0</v>
      </c>
      <c r="H76" s="67">
        <v>0</v>
      </c>
      <c r="I76" s="11">
        <v>0</v>
      </c>
      <c r="J76" s="67">
        <v>0</v>
      </c>
      <c r="K76" s="12">
        <v>0</v>
      </c>
      <c r="L76" s="67">
        <v>0</v>
      </c>
    </row>
    <row r="77" spans="1:12" x14ac:dyDescent="0.25">
      <c r="A77" s="63" t="s">
        <v>496</v>
      </c>
      <c r="B77" s="64" t="s">
        <v>198</v>
      </c>
      <c r="C77" s="27">
        <f t="shared" ref="C77" si="70">SUM(D77:L77)</f>
        <v>743774</v>
      </c>
      <c r="D77" s="27">
        <f>D78+D79</f>
        <v>654834</v>
      </c>
      <c r="E77" s="32">
        <f t="shared" ref="E77:L77" si="71">E78+E79</f>
        <v>88940</v>
      </c>
      <c r="F77" s="27">
        <f t="shared" si="71"/>
        <v>0</v>
      </c>
      <c r="G77" s="32">
        <f t="shared" si="71"/>
        <v>0</v>
      </c>
      <c r="H77" s="27">
        <f t="shared" si="71"/>
        <v>320357</v>
      </c>
      <c r="I77" s="32">
        <f t="shared" si="71"/>
        <v>-320357</v>
      </c>
      <c r="J77" s="27">
        <f t="shared" si="71"/>
        <v>0</v>
      </c>
      <c r="K77" s="32">
        <f t="shared" si="71"/>
        <v>0</v>
      </c>
      <c r="L77" s="27">
        <f t="shared" si="71"/>
        <v>0</v>
      </c>
    </row>
    <row r="78" spans="1:12" x14ac:dyDescent="0.25">
      <c r="A78" s="68" t="s">
        <v>191</v>
      </c>
      <c r="B78" s="26" t="s">
        <v>198</v>
      </c>
      <c r="C78" s="23">
        <f>SUM(D78:L78)</f>
        <v>675639</v>
      </c>
      <c r="D78" s="69">
        <v>654834</v>
      </c>
      <c r="E78" s="11">
        <v>20805</v>
      </c>
      <c r="F78" s="67">
        <v>0</v>
      </c>
      <c r="G78" s="11">
        <v>0</v>
      </c>
      <c r="H78" s="67">
        <v>0</v>
      </c>
      <c r="I78" s="11">
        <v>0</v>
      </c>
      <c r="J78" s="67">
        <v>0</v>
      </c>
      <c r="K78" s="12">
        <v>0</v>
      </c>
      <c r="L78" s="67">
        <v>0</v>
      </c>
    </row>
    <row r="79" spans="1:12" ht="64.5" customHeight="1" x14ac:dyDescent="0.25">
      <c r="A79" s="68" t="s">
        <v>497</v>
      </c>
      <c r="B79" s="26" t="s">
        <v>498</v>
      </c>
      <c r="C79" s="23">
        <f>SUM(D79:L79)</f>
        <v>68135</v>
      </c>
      <c r="D79" s="69">
        <v>0</v>
      </c>
      <c r="E79" s="11">
        <v>68135</v>
      </c>
      <c r="F79" s="67">
        <v>0</v>
      </c>
      <c r="G79" s="11">
        <v>0</v>
      </c>
      <c r="H79" s="67">
        <v>320357</v>
      </c>
      <c r="I79" s="11">
        <v>-320357</v>
      </c>
      <c r="J79" s="67">
        <v>0</v>
      </c>
      <c r="K79" s="12">
        <v>0</v>
      </c>
      <c r="L79" s="67">
        <v>0</v>
      </c>
    </row>
    <row r="80" spans="1:12" ht="27.75" customHeight="1" x14ac:dyDescent="0.25">
      <c r="A80" s="63" t="s">
        <v>192</v>
      </c>
      <c r="B80" s="64" t="s">
        <v>499</v>
      </c>
      <c r="C80" s="23">
        <f>SUM(D80:L80)</f>
        <v>3061186</v>
      </c>
      <c r="D80" s="23">
        <f>SUM(D81:D87)</f>
        <v>2597362</v>
      </c>
      <c r="E80" s="32">
        <f t="shared" ref="E80:L80" si="72">SUM(E81:E87)</f>
        <v>99312</v>
      </c>
      <c r="F80" s="27">
        <f t="shared" si="72"/>
        <v>74522</v>
      </c>
      <c r="G80" s="32">
        <f t="shared" si="72"/>
        <v>23835</v>
      </c>
      <c r="H80" s="27">
        <f t="shared" si="72"/>
        <v>0</v>
      </c>
      <c r="I80" s="32">
        <f t="shared" si="72"/>
        <v>0</v>
      </c>
      <c r="J80" s="23">
        <f t="shared" si="72"/>
        <v>0</v>
      </c>
      <c r="K80" s="24">
        <f t="shared" si="72"/>
        <v>0</v>
      </c>
      <c r="L80" s="23">
        <f t="shared" si="72"/>
        <v>266155</v>
      </c>
    </row>
    <row r="81" spans="1:12" ht="25.5" x14ac:dyDescent="0.25">
      <c r="A81" s="68" t="s">
        <v>193</v>
      </c>
      <c r="B81" s="26" t="s">
        <v>350</v>
      </c>
      <c r="C81" s="23">
        <f>SUM(D81:L81)</f>
        <v>916118</v>
      </c>
      <c r="D81" s="69">
        <f>795069+28494</f>
        <v>823563</v>
      </c>
      <c r="E81" s="11">
        <v>-5910</v>
      </c>
      <c r="F81" s="67">
        <f>109000-34478</f>
        <v>74522</v>
      </c>
      <c r="G81" s="11">
        <v>23835</v>
      </c>
      <c r="H81" s="67">
        <v>0</v>
      </c>
      <c r="I81" s="11">
        <v>0</v>
      </c>
      <c r="J81" s="67">
        <v>0</v>
      </c>
      <c r="K81" s="12">
        <v>0</v>
      </c>
      <c r="L81" s="69">
        <v>108</v>
      </c>
    </row>
    <row r="82" spans="1:12" ht="38.25" x14ac:dyDescent="0.25">
      <c r="A82" s="68" t="s">
        <v>194</v>
      </c>
      <c r="B82" s="26" t="s">
        <v>325</v>
      </c>
      <c r="C82" s="23">
        <f t="shared" ref="C82:C85" si="73">SUM(D82:L82)</f>
        <v>1411905</v>
      </c>
      <c r="D82" s="69">
        <f>1449971-4430</f>
        <v>1445541</v>
      </c>
      <c r="E82" s="11">
        <v>-33636</v>
      </c>
      <c r="F82" s="67">
        <v>0</v>
      </c>
      <c r="G82" s="11">
        <v>0</v>
      </c>
      <c r="H82" s="67">
        <v>0</v>
      </c>
      <c r="I82" s="11">
        <v>0</v>
      </c>
      <c r="J82" s="67">
        <v>0</v>
      </c>
      <c r="K82" s="12">
        <v>0</v>
      </c>
      <c r="L82" s="67">
        <v>0</v>
      </c>
    </row>
    <row r="83" spans="1:12" ht="25.5" x14ac:dyDescent="0.25">
      <c r="A83" s="68" t="s">
        <v>195</v>
      </c>
      <c r="B83" s="26" t="s">
        <v>500</v>
      </c>
      <c r="C83" s="23">
        <f t="shared" si="73"/>
        <v>337404</v>
      </c>
      <c r="D83" s="69">
        <f>8000</f>
        <v>8000</v>
      </c>
      <c r="E83" s="11">
        <v>78858</v>
      </c>
      <c r="F83" s="67">
        <v>0</v>
      </c>
      <c r="G83" s="11">
        <v>0</v>
      </c>
      <c r="H83" s="67">
        <v>0</v>
      </c>
      <c r="I83" s="11">
        <v>0</v>
      </c>
      <c r="J83" s="67">
        <v>0</v>
      </c>
      <c r="K83" s="12">
        <v>0</v>
      </c>
      <c r="L83" s="67">
        <v>250546</v>
      </c>
    </row>
    <row r="84" spans="1:12" ht="38.25" x14ac:dyDescent="0.25">
      <c r="A84" s="68" t="s">
        <v>196</v>
      </c>
      <c r="B84" s="26" t="s">
        <v>199</v>
      </c>
      <c r="C84" s="23">
        <f t="shared" si="73"/>
        <v>353150</v>
      </c>
      <c r="D84" s="69">
        <v>285758</v>
      </c>
      <c r="E84" s="11">
        <v>60000</v>
      </c>
      <c r="F84" s="67">
        <v>0</v>
      </c>
      <c r="G84" s="11">
        <v>0</v>
      </c>
      <c r="H84" s="67">
        <v>0</v>
      </c>
      <c r="I84" s="11">
        <v>0</v>
      </c>
      <c r="J84" s="67">
        <v>0</v>
      </c>
      <c r="K84" s="12">
        <v>0</v>
      </c>
      <c r="L84" s="69">
        <v>7392</v>
      </c>
    </row>
    <row r="85" spans="1:12" ht="38.25" x14ac:dyDescent="0.25">
      <c r="A85" s="68" t="s">
        <v>197</v>
      </c>
      <c r="B85" s="26" t="s">
        <v>326</v>
      </c>
      <c r="C85" s="23">
        <f t="shared" si="73"/>
        <v>19500</v>
      </c>
      <c r="D85" s="69">
        <v>19500</v>
      </c>
      <c r="E85" s="11">
        <v>0</v>
      </c>
      <c r="F85" s="67">
        <v>0</v>
      </c>
      <c r="G85" s="11">
        <v>0</v>
      </c>
      <c r="H85" s="67">
        <v>0</v>
      </c>
      <c r="I85" s="11">
        <v>0</v>
      </c>
      <c r="J85" s="67">
        <v>0</v>
      </c>
      <c r="K85" s="12">
        <v>0</v>
      </c>
      <c r="L85" s="67">
        <v>0</v>
      </c>
    </row>
    <row r="86" spans="1:12" ht="63.75" x14ac:dyDescent="0.25">
      <c r="A86" s="68" t="s">
        <v>341</v>
      </c>
      <c r="B86" s="26" t="s">
        <v>342</v>
      </c>
      <c r="C86" s="23">
        <f t="shared" ref="C86:C87" si="74">SUM(D86:L86)</f>
        <v>15000</v>
      </c>
      <c r="D86" s="69">
        <v>15000</v>
      </c>
      <c r="E86" s="11">
        <v>0</v>
      </c>
      <c r="F86" s="67">
        <v>0</v>
      </c>
      <c r="G86" s="11">
        <v>0</v>
      </c>
      <c r="H86" s="67">
        <v>0</v>
      </c>
      <c r="I86" s="12">
        <v>0</v>
      </c>
      <c r="J86" s="67">
        <v>0</v>
      </c>
      <c r="K86" s="12">
        <v>0</v>
      </c>
      <c r="L86" s="67">
        <v>0</v>
      </c>
    </row>
    <row r="87" spans="1:12" ht="51" x14ac:dyDescent="0.25">
      <c r="A87" s="68" t="s">
        <v>384</v>
      </c>
      <c r="B87" s="26" t="s">
        <v>413</v>
      </c>
      <c r="C87" s="23">
        <f t="shared" si="74"/>
        <v>8109</v>
      </c>
      <c r="D87" s="69">
        <v>0</v>
      </c>
      <c r="E87" s="11">
        <v>0</v>
      </c>
      <c r="F87" s="67">
        <v>0</v>
      </c>
      <c r="G87" s="11">
        <v>0</v>
      </c>
      <c r="H87" s="67">
        <v>0</v>
      </c>
      <c r="I87" s="12">
        <v>0</v>
      </c>
      <c r="J87" s="67">
        <v>0</v>
      </c>
      <c r="K87" s="12">
        <v>0</v>
      </c>
      <c r="L87" s="69">
        <v>8109</v>
      </c>
    </row>
    <row r="88" spans="1:12" x14ac:dyDescent="0.25">
      <c r="A88" s="95" t="s">
        <v>112</v>
      </c>
      <c r="B88" s="96" t="s">
        <v>121</v>
      </c>
      <c r="C88" s="103">
        <f>SUM(D88:L88)</f>
        <v>458796</v>
      </c>
      <c r="D88" s="103">
        <f t="shared" ref="D88:K88" si="75">SUM(D89:D94)</f>
        <v>134550</v>
      </c>
      <c r="E88" s="104">
        <f t="shared" si="75"/>
        <v>-15000</v>
      </c>
      <c r="F88" s="103">
        <f t="shared" si="75"/>
        <v>0</v>
      </c>
      <c r="G88" s="104">
        <f t="shared" si="75"/>
        <v>0</v>
      </c>
      <c r="H88" s="103">
        <f t="shared" si="75"/>
        <v>100431</v>
      </c>
      <c r="I88" s="104">
        <f t="shared" si="75"/>
        <v>111398</v>
      </c>
      <c r="J88" s="103">
        <f t="shared" si="75"/>
        <v>0</v>
      </c>
      <c r="K88" s="104">
        <f t="shared" si="75"/>
        <v>0</v>
      </c>
      <c r="L88" s="103">
        <f>SUM(L89:L94)</f>
        <v>127417</v>
      </c>
    </row>
    <row r="89" spans="1:12" x14ac:dyDescent="0.25">
      <c r="A89" s="68" t="s">
        <v>201</v>
      </c>
      <c r="B89" s="26" t="s">
        <v>205</v>
      </c>
      <c r="C89" s="23">
        <f>SUM(D89:L89)</f>
        <v>64900</v>
      </c>
      <c r="D89" s="69">
        <v>64900</v>
      </c>
      <c r="E89" s="11">
        <v>0</v>
      </c>
      <c r="F89" s="67">
        <v>0</v>
      </c>
      <c r="G89" s="11">
        <v>0</v>
      </c>
      <c r="H89" s="67">
        <v>0</v>
      </c>
      <c r="I89" s="11">
        <v>0</v>
      </c>
      <c r="J89" s="67">
        <v>0</v>
      </c>
      <c r="K89" s="11">
        <v>0</v>
      </c>
      <c r="L89" s="67">
        <v>0</v>
      </c>
    </row>
    <row r="90" spans="1:12" ht="25.5" x14ac:dyDescent="0.25">
      <c r="A90" s="68" t="s">
        <v>202</v>
      </c>
      <c r="B90" s="26" t="s">
        <v>206</v>
      </c>
      <c r="C90" s="23">
        <f t="shared" ref="C90:C94" si="76">SUM(D90:L90)</f>
        <v>12400</v>
      </c>
      <c r="D90" s="69">
        <v>12400</v>
      </c>
      <c r="E90" s="11">
        <v>0</v>
      </c>
      <c r="F90" s="67">
        <v>0</v>
      </c>
      <c r="G90" s="11">
        <v>0</v>
      </c>
      <c r="H90" s="67">
        <v>0</v>
      </c>
      <c r="I90" s="11">
        <v>0</v>
      </c>
      <c r="J90" s="67">
        <v>0</v>
      </c>
      <c r="K90" s="11">
        <v>0</v>
      </c>
      <c r="L90" s="67">
        <v>0</v>
      </c>
    </row>
    <row r="91" spans="1:12" x14ac:dyDescent="0.25">
      <c r="A91" s="68" t="s">
        <v>203</v>
      </c>
      <c r="B91" s="26" t="s">
        <v>207</v>
      </c>
      <c r="C91" s="23">
        <f t="shared" si="76"/>
        <v>37500</v>
      </c>
      <c r="D91" s="69">
        <v>37500</v>
      </c>
      <c r="E91" s="11">
        <v>0</v>
      </c>
      <c r="F91" s="67">
        <v>0</v>
      </c>
      <c r="G91" s="11">
        <v>0</v>
      </c>
      <c r="H91" s="67">
        <v>0</v>
      </c>
      <c r="I91" s="11">
        <v>0</v>
      </c>
      <c r="J91" s="67">
        <v>0</v>
      </c>
      <c r="K91" s="11">
        <v>0</v>
      </c>
      <c r="L91" s="67">
        <v>0</v>
      </c>
    </row>
    <row r="92" spans="1:12" x14ac:dyDescent="0.25">
      <c r="A92" s="68" t="s">
        <v>204</v>
      </c>
      <c r="B92" s="26" t="s">
        <v>208</v>
      </c>
      <c r="C92" s="23">
        <f t="shared" si="76"/>
        <v>4750</v>
      </c>
      <c r="D92" s="69">
        <v>4750</v>
      </c>
      <c r="E92" s="11">
        <v>0</v>
      </c>
      <c r="F92" s="67">
        <v>0</v>
      </c>
      <c r="G92" s="11">
        <v>0</v>
      </c>
      <c r="H92" s="67">
        <v>0</v>
      </c>
      <c r="I92" s="11">
        <v>0</v>
      </c>
      <c r="J92" s="67">
        <v>0</v>
      </c>
      <c r="K92" s="11">
        <v>0</v>
      </c>
      <c r="L92" s="67">
        <v>0</v>
      </c>
    </row>
    <row r="93" spans="1:12" ht="54" customHeight="1" x14ac:dyDescent="0.25">
      <c r="A93" s="68" t="s">
        <v>373</v>
      </c>
      <c r="B93" s="26" t="s">
        <v>406</v>
      </c>
      <c r="C93" s="23">
        <f t="shared" si="76"/>
        <v>326574</v>
      </c>
      <c r="D93" s="69">
        <v>15000</v>
      </c>
      <c r="E93" s="11">
        <v>-15000</v>
      </c>
      <c r="F93" s="67">
        <v>0</v>
      </c>
      <c r="G93" s="11">
        <v>0</v>
      </c>
      <c r="H93" s="67">
        <f>95000+5431</f>
        <v>100431</v>
      </c>
      <c r="I93" s="11">
        <v>111398</v>
      </c>
      <c r="J93" s="67">
        <v>0</v>
      </c>
      <c r="K93" s="11">
        <v>0</v>
      </c>
      <c r="L93" s="69">
        <v>114745</v>
      </c>
    </row>
    <row r="94" spans="1:12" ht="25.5" x14ac:dyDescent="0.25">
      <c r="A94" s="68" t="s">
        <v>418</v>
      </c>
      <c r="B94" s="26" t="s">
        <v>423</v>
      </c>
      <c r="C94" s="23">
        <f t="shared" si="76"/>
        <v>12672</v>
      </c>
      <c r="D94" s="69">
        <v>0</v>
      </c>
      <c r="E94" s="11">
        <v>0</v>
      </c>
      <c r="F94" s="67">
        <v>0</v>
      </c>
      <c r="G94" s="11">
        <v>0</v>
      </c>
      <c r="H94" s="67">
        <v>0</v>
      </c>
      <c r="I94" s="11">
        <v>0</v>
      </c>
      <c r="J94" s="67">
        <v>0</v>
      </c>
      <c r="K94" s="11">
        <v>0</v>
      </c>
      <c r="L94" s="69">
        <v>12672</v>
      </c>
    </row>
    <row r="95" spans="1:12" x14ac:dyDescent="0.25">
      <c r="A95" s="95" t="s">
        <v>24</v>
      </c>
      <c r="B95" s="96" t="s">
        <v>122</v>
      </c>
      <c r="C95" s="103">
        <f>SUM(D95:L95)</f>
        <v>8253073</v>
      </c>
      <c r="D95" s="103">
        <f>D96+D103+D121+D123</f>
        <v>6974898</v>
      </c>
      <c r="E95" s="104">
        <f t="shared" ref="E95:L95" si="77">E96+E103+E121+E123</f>
        <v>126775</v>
      </c>
      <c r="F95" s="103">
        <f t="shared" si="77"/>
        <v>570488</v>
      </c>
      <c r="G95" s="104">
        <f t="shared" si="77"/>
        <v>21940</v>
      </c>
      <c r="H95" s="103">
        <f t="shared" si="77"/>
        <v>197149</v>
      </c>
      <c r="I95" s="104">
        <f t="shared" si="77"/>
        <v>20611</v>
      </c>
      <c r="J95" s="103">
        <f t="shared" si="77"/>
        <v>19764</v>
      </c>
      <c r="K95" s="104">
        <f t="shared" si="77"/>
        <v>0</v>
      </c>
      <c r="L95" s="103">
        <f t="shared" si="77"/>
        <v>321448</v>
      </c>
    </row>
    <row r="96" spans="1:12" x14ac:dyDescent="0.25">
      <c r="A96" s="63" t="s">
        <v>209</v>
      </c>
      <c r="B96" s="64" t="s">
        <v>234</v>
      </c>
      <c r="C96" s="23">
        <f t="shared" ref="C96:C124" si="78">SUM(D96:L96)</f>
        <v>1769623</v>
      </c>
      <c r="D96" s="23">
        <f>SUM(D97:D102)</f>
        <v>1634284</v>
      </c>
      <c r="E96" s="24">
        <f t="shared" ref="E96:J96" si="79">SUM(E97:E102)</f>
        <v>18845</v>
      </c>
      <c r="F96" s="23">
        <f t="shared" si="79"/>
        <v>28148</v>
      </c>
      <c r="G96" s="24">
        <f t="shared" si="79"/>
        <v>3000</v>
      </c>
      <c r="H96" s="23">
        <f t="shared" si="79"/>
        <v>80000</v>
      </c>
      <c r="I96" s="24">
        <f t="shared" si="79"/>
        <v>0</v>
      </c>
      <c r="J96" s="23">
        <f t="shared" si="79"/>
        <v>0</v>
      </c>
      <c r="K96" s="24">
        <f t="shared" ref="K96" si="80">SUM(K97:K100)</f>
        <v>0</v>
      </c>
      <c r="L96" s="23">
        <f>SUM(L97:L102)</f>
        <v>5346</v>
      </c>
    </row>
    <row r="97" spans="1:12" ht="25.5" x14ac:dyDescent="0.25">
      <c r="A97" s="68" t="s">
        <v>210</v>
      </c>
      <c r="B97" s="26" t="s">
        <v>351</v>
      </c>
      <c r="C97" s="23">
        <f t="shared" si="78"/>
        <v>547946</v>
      </c>
      <c r="D97" s="67">
        <f>504067+1040</f>
        <v>505107</v>
      </c>
      <c r="E97" s="11">
        <v>14345</v>
      </c>
      <c r="F97" s="67">
        <v>28148</v>
      </c>
      <c r="G97" s="11">
        <v>0</v>
      </c>
      <c r="H97" s="67">
        <v>0</v>
      </c>
      <c r="I97" s="11">
        <v>0</v>
      </c>
      <c r="J97" s="67">
        <v>0</v>
      </c>
      <c r="K97" s="11">
        <v>0</v>
      </c>
      <c r="L97" s="67">
        <v>346</v>
      </c>
    </row>
    <row r="98" spans="1:12" x14ac:dyDescent="0.25">
      <c r="A98" s="68" t="s">
        <v>211</v>
      </c>
      <c r="B98" s="26" t="s">
        <v>235</v>
      </c>
      <c r="C98" s="23">
        <f t="shared" si="78"/>
        <v>923770</v>
      </c>
      <c r="D98" s="67">
        <v>836270</v>
      </c>
      <c r="E98" s="11">
        <f>-5500+10000</f>
        <v>4500</v>
      </c>
      <c r="F98" s="67">
        <v>0</v>
      </c>
      <c r="G98" s="11">
        <v>3000</v>
      </c>
      <c r="H98" s="67">
        <f>80000</f>
        <v>80000</v>
      </c>
      <c r="I98" s="11">
        <v>0</v>
      </c>
      <c r="J98" s="67">
        <v>0</v>
      </c>
      <c r="K98" s="11">
        <v>0</v>
      </c>
      <c r="L98" s="67">
        <v>0</v>
      </c>
    </row>
    <row r="99" spans="1:12" ht="25.5" x14ac:dyDescent="0.25">
      <c r="A99" s="68" t="s">
        <v>212</v>
      </c>
      <c r="B99" s="26" t="s">
        <v>501</v>
      </c>
      <c r="C99" s="23">
        <f t="shared" si="78"/>
        <v>5000</v>
      </c>
      <c r="D99" s="67">
        <v>0</v>
      </c>
      <c r="E99" s="11">
        <v>0</v>
      </c>
      <c r="F99" s="67">
        <v>0</v>
      </c>
      <c r="G99" s="11">
        <v>0</v>
      </c>
      <c r="H99" s="67">
        <v>0</v>
      </c>
      <c r="I99" s="11">
        <v>0</v>
      </c>
      <c r="J99" s="67">
        <v>0</v>
      </c>
      <c r="K99" s="11">
        <v>0</v>
      </c>
      <c r="L99" s="67">
        <v>5000</v>
      </c>
    </row>
    <row r="100" spans="1:12" ht="38.25" hidden="1" x14ac:dyDescent="0.25">
      <c r="A100" s="81" t="s">
        <v>416</v>
      </c>
      <c r="B100" s="82" t="s">
        <v>502</v>
      </c>
      <c r="C100" s="80">
        <f t="shared" ref="C100:C101" si="81">SUM(D100:L100)</f>
        <v>0</v>
      </c>
      <c r="D100" s="83"/>
      <c r="E100" s="94"/>
      <c r="F100" s="83"/>
      <c r="G100" s="94"/>
      <c r="H100" s="83"/>
      <c r="I100" s="94"/>
      <c r="J100" s="83"/>
      <c r="K100" s="94"/>
      <c r="L100" s="83"/>
    </row>
    <row r="101" spans="1:12" ht="52.5" customHeight="1" x14ac:dyDescent="0.25">
      <c r="A101" s="68" t="s">
        <v>424</v>
      </c>
      <c r="B101" s="26" t="s">
        <v>522</v>
      </c>
      <c r="C101" s="23">
        <f t="shared" si="81"/>
        <v>292907</v>
      </c>
      <c r="D101" s="67">
        <v>292907</v>
      </c>
      <c r="E101" s="11">
        <v>0</v>
      </c>
      <c r="F101" s="67">
        <v>0</v>
      </c>
      <c r="G101" s="11">
        <v>0</v>
      </c>
      <c r="H101" s="67">
        <v>0</v>
      </c>
      <c r="I101" s="11">
        <v>0</v>
      </c>
      <c r="J101" s="67">
        <v>0</v>
      </c>
      <c r="K101" s="11">
        <v>0</v>
      </c>
      <c r="L101" s="67">
        <v>0</v>
      </c>
    </row>
    <row r="102" spans="1:12" hidden="1" x14ac:dyDescent="0.25">
      <c r="A102" s="58"/>
      <c r="B102" s="59"/>
      <c r="C102" s="80">
        <f t="shared" si="78"/>
        <v>0</v>
      </c>
      <c r="D102" s="83"/>
      <c r="E102" s="94"/>
      <c r="F102" s="83"/>
      <c r="G102" s="94"/>
      <c r="H102" s="83"/>
      <c r="I102" s="94"/>
      <c r="J102" s="83"/>
      <c r="K102" s="94"/>
      <c r="L102" s="83"/>
    </row>
    <row r="103" spans="1:12" x14ac:dyDescent="0.25">
      <c r="A103" s="63" t="s">
        <v>213</v>
      </c>
      <c r="B103" s="64" t="s">
        <v>236</v>
      </c>
      <c r="C103" s="23">
        <f t="shared" si="78"/>
        <v>5805640</v>
      </c>
      <c r="D103" s="23">
        <f>D104+D108+D110+D113+D117</f>
        <v>4917425</v>
      </c>
      <c r="E103" s="32">
        <f t="shared" ref="E103:L103" si="82">E104+E108+E110+E113+E117</f>
        <v>106850</v>
      </c>
      <c r="F103" s="27">
        <f>F104+F108+F110+F113+F117</f>
        <v>542340</v>
      </c>
      <c r="G103" s="32">
        <f t="shared" si="82"/>
        <v>18940</v>
      </c>
      <c r="H103" s="27">
        <f t="shared" si="82"/>
        <v>117149</v>
      </c>
      <c r="I103" s="32">
        <f t="shared" si="82"/>
        <v>20611</v>
      </c>
      <c r="J103" s="27">
        <f t="shared" si="82"/>
        <v>19764</v>
      </c>
      <c r="K103" s="32">
        <f t="shared" si="82"/>
        <v>0</v>
      </c>
      <c r="L103" s="27">
        <f t="shared" si="82"/>
        <v>62561</v>
      </c>
    </row>
    <row r="104" spans="1:12" x14ac:dyDescent="0.25">
      <c r="A104" s="63" t="s">
        <v>214</v>
      </c>
      <c r="B104" s="64" t="s">
        <v>237</v>
      </c>
      <c r="C104" s="23">
        <f t="shared" si="78"/>
        <v>1121033</v>
      </c>
      <c r="D104" s="23">
        <f t="shared" ref="D104:L104" si="83">SUM(D105:D107)</f>
        <v>1014860</v>
      </c>
      <c r="E104" s="32">
        <f t="shared" si="83"/>
        <v>0</v>
      </c>
      <c r="F104" s="27">
        <f t="shared" si="83"/>
        <v>3000</v>
      </c>
      <c r="G104" s="32">
        <f t="shared" si="83"/>
        <v>0</v>
      </c>
      <c r="H104" s="27">
        <f t="shared" si="83"/>
        <v>61179</v>
      </c>
      <c r="I104" s="32">
        <f t="shared" si="83"/>
        <v>13483</v>
      </c>
      <c r="J104" s="27">
        <f t="shared" si="83"/>
        <v>19764</v>
      </c>
      <c r="K104" s="32">
        <f t="shared" si="83"/>
        <v>0</v>
      </c>
      <c r="L104" s="23">
        <f t="shared" si="83"/>
        <v>8747</v>
      </c>
    </row>
    <row r="105" spans="1:12" ht="25.5" x14ac:dyDescent="0.25">
      <c r="A105" s="68" t="s">
        <v>215</v>
      </c>
      <c r="B105" s="26" t="s">
        <v>352</v>
      </c>
      <c r="C105" s="23">
        <f t="shared" si="78"/>
        <v>890104</v>
      </c>
      <c r="D105" s="67">
        <f>873644-11804</f>
        <v>861840</v>
      </c>
      <c r="E105" s="11">
        <v>3720</v>
      </c>
      <c r="F105" s="67">
        <v>3000</v>
      </c>
      <c r="G105" s="11">
        <v>0</v>
      </c>
      <c r="H105" s="67">
        <v>0</v>
      </c>
      <c r="I105" s="11">
        <v>480</v>
      </c>
      <c r="J105" s="67">
        <v>19764</v>
      </c>
      <c r="K105" s="11">
        <v>0</v>
      </c>
      <c r="L105" s="67">
        <v>1300</v>
      </c>
    </row>
    <row r="106" spans="1:12" ht="63.75" x14ac:dyDescent="0.25">
      <c r="A106" s="68" t="s">
        <v>374</v>
      </c>
      <c r="B106" s="26" t="s">
        <v>503</v>
      </c>
      <c r="C106" s="23">
        <f t="shared" ref="C106" si="84">SUM(D106:L106)</f>
        <v>230929</v>
      </c>
      <c r="D106" s="67">
        <f>138216+14804</f>
        <v>153020</v>
      </c>
      <c r="E106" s="11">
        <v>-3720</v>
      </c>
      <c r="F106" s="67">
        <v>0</v>
      </c>
      <c r="G106" s="11">
        <v>0</v>
      </c>
      <c r="H106" s="67">
        <v>61179</v>
      </c>
      <c r="I106" s="11">
        <v>13003</v>
      </c>
      <c r="J106" s="67">
        <v>0</v>
      </c>
      <c r="K106" s="11">
        <v>0</v>
      </c>
      <c r="L106" s="67">
        <v>7447</v>
      </c>
    </row>
    <row r="107" spans="1:12" hidden="1" x14ac:dyDescent="0.25">
      <c r="A107" s="58"/>
      <c r="B107" s="59"/>
      <c r="C107" s="80">
        <f t="shared" si="78"/>
        <v>0</v>
      </c>
      <c r="D107" s="83"/>
      <c r="E107" s="94"/>
      <c r="F107" s="83"/>
      <c r="G107" s="94"/>
      <c r="H107" s="83"/>
      <c r="I107" s="94"/>
      <c r="J107" s="83"/>
      <c r="K107" s="94"/>
      <c r="L107" s="83"/>
    </row>
    <row r="108" spans="1:12" x14ac:dyDescent="0.25">
      <c r="A108" s="63" t="s">
        <v>216</v>
      </c>
      <c r="B108" s="64" t="s">
        <v>238</v>
      </c>
      <c r="C108" s="23">
        <f t="shared" si="78"/>
        <v>484488</v>
      </c>
      <c r="D108" s="27">
        <f>D109</f>
        <v>449426</v>
      </c>
      <c r="E108" s="32">
        <f t="shared" ref="E108:L108" si="85">E109</f>
        <v>0</v>
      </c>
      <c r="F108" s="27">
        <f t="shared" si="85"/>
        <v>10000</v>
      </c>
      <c r="G108" s="32">
        <f t="shared" si="85"/>
        <v>3120</v>
      </c>
      <c r="H108" s="27">
        <f t="shared" si="85"/>
        <v>2050</v>
      </c>
      <c r="I108" s="32">
        <f t="shared" si="85"/>
        <v>0</v>
      </c>
      <c r="J108" s="27">
        <f t="shared" si="85"/>
        <v>0</v>
      </c>
      <c r="K108" s="32">
        <f t="shared" si="85"/>
        <v>0</v>
      </c>
      <c r="L108" s="27">
        <f t="shared" si="85"/>
        <v>19892</v>
      </c>
    </row>
    <row r="109" spans="1:12" ht="38.25" x14ac:dyDescent="0.25">
      <c r="A109" s="68" t="s">
        <v>217</v>
      </c>
      <c r="B109" s="26" t="s">
        <v>353</v>
      </c>
      <c r="C109" s="23">
        <f t="shared" si="78"/>
        <v>484488</v>
      </c>
      <c r="D109" s="67">
        <f>447426+2000</f>
        <v>449426</v>
      </c>
      <c r="E109" s="11">
        <v>0</v>
      </c>
      <c r="F109" s="67">
        <v>10000</v>
      </c>
      <c r="G109" s="11">
        <v>3120</v>
      </c>
      <c r="H109" s="67">
        <f>1400+650</f>
        <v>2050</v>
      </c>
      <c r="I109" s="11">
        <v>0</v>
      </c>
      <c r="J109" s="67">
        <v>0</v>
      </c>
      <c r="K109" s="11">
        <v>0</v>
      </c>
      <c r="L109" s="67">
        <v>19892</v>
      </c>
    </row>
    <row r="110" spans="1:12" x14ac:dyDescent="0.25">
      <c r="A110" s="63" t="s">
        <v>218</v>
      </c>
      <c r="B110" s="64" t="s">
        <v>239</v>
      </c>
      <c r="C110" s="23">
        <f t="shared" si="78"/>
        <v>2461895</v>
      </c>
      <c r="D110" s="27">
        <f>D111+D112</f>
        <v>1767236</v>
      </c>
      <c r="E110" s="32">
        <f t="shared" ref="E110:L110" si="86">E111+E112</f>
        <v>69850</v>
      </c>
      <c r="F110" s="27">
        <f t="shared" si="86"/>
        <v>529340</v>
      </c>
      <c r="G110" s="32">
        <f t="shared" si="86"/>
        <v>15820</v>
      </c>
      <c r="H110" s="27">
        <f t="shared" si="86"/>
        <v>38600</v>
      </c>
      <c r="I110" s="32">
        <f t="shared" si="86"/>
        <v>7128</v>
      </c>
      <c r="J110" s="27">
        <f t="shared" si="86"/>
        <v>0</v>
      </c>
      <c r="K110" s="32">
        <f t="shared" si="86"/>
        <v>0</v>
      </c>
      <c r="L110" s="27">
        <f t="shared" si="86"/>
        <v>33921</v>
      </c>
    </row>
    <row r="111" spans="1:12" ht="25.5" x14ac:dyDescent="0.25">
      <c r="A111" s="68" t="s">
        <v>219</v>
      </c>
      <c r="B111" s="26" t="s">
        <v>354</v>
      </c>
      <c r="C111" s="23">
        <f t="shared" si="78"/>
        <v>1738782</v>
      </c>
      <c r="D111" s="67">
        <f>1179232+275464+6000</f>
        <v>1460696</v>
      </c>
      <c r="E111" s="11">
        <v>44877</v>
      </c>
      <c r="F111" s="67">
        <v>179340</v>
      </c>
      <c r="G111" s="11">
        <v>15820</v>
      </c>
      <c r="H111" s="67">
        <v>0</v>
      </c>
      <c r="I111" s="11">
        <v>4128</v>
      </c>
      <c r="J111" s="67">
        <v>0</v>
      </c>
      <c r="K111" s="11">
        <v>0</v>
      </c>
      <c r="L111" s="67">
        <v>33921</v>
      </c>
    </row>
    <row r="112" spans="1:12" x14ac:dyDescent="0.25">
      <c r="A112" s="68" t="s">
        <v>220</v>
      </c>
      <c r="B112" s="26" t="s">
        <v>355</v>
      </c>
      <c r="C112" s="23">
        <f t="shared" si="78"/>
        <v>723113</v>
      </c>
      <c r="D112" s="67">
        <v>306540</v>
      </c>
      <c r="E112" s="11">
        <v>24973</v>
      </c>
      <c r="F112" s="67">
        <v>350000</v>
      </c>
      <c r="G112" s="11">
        <v>0</v>
      </c>
      <c r="H112" s="67">
        <f>35000+3600</f>
        <v>38600</v>
      </c>
      <c r="I112" s="11">
        <v>3000</v>
      </c>
      <c r="J112" s="67">
        <v>0</v>
      </c>
      <c r="K112" s="11">
        <v>0</v>
      </c>
      <c r="L112" s="67">
        <v>0</v>
      </c>
    </row>
    <row r="113" spans="1:12" x14ac:dyDescent="0.25">
      <c r="A113" s="63" t="s">
        <v>221</v>
      </c>
      <c r="B113" s="64" t="s">
        <v>240</v>
      </c>
      <c r="C113" s="23">
        <f t="shared" si="78"/>
        <v>201886</v>
      </c>
      <c r="D113" s="27">
        <f>SUM(D114:D116)</f>
        <v>197885</v>
      </c>
      <c r="E113" s="32">
        <f t="shared" ref="E113:L113" si="87">SUM(E114:E116)</f>
        <v>4000</v>
      </c>
      <c r="F113" s="27">
        <f t="shared" si="87"/>
        <v>0</v>
      </c>
      <c r="G113" s="32">
        <f t="shared" si="87"/>
        <v>0</v>
      </c>
      <c r="H113" s="27">
        <f t="shared" si="87"/>
        <v>0</v>
      </c>
      <c r="I113" s="32">
        <f t="shared" si="87"/>
        <v>0</v>
      </c>
      <c r="J113" s="27">
        <f t="shared" si="87"/>
        <v>0</v>
      </c>
      <c r="K113" s="32">
        <f t="shared" si="87"/>
        <v>0</v>
      </c>
      <c r="L113" s="27">
        <f t="shared" si="87"/>
        <v>1</v>
      </c>
    </row>
    <row r="114" spans="1:12" ht="25.5" x14ac:dyDescent="0.25">
      <c r="A114" s="68" t="s">
        <v>222</v>
      </c>
      <c r="B114" s="26" t="s">
        <v>241</v>
      </c>
      <c r="C114" s="23">
        <f t="shared" si="78"/>
        <v>95001</v>
      </c>
      <c r="D114" s="67">
        <v>95000</v>
      </c>
      <c r="E114" s="11">
        <v>0</v>
      </c>
      <c r="F114" s="67">
        <v>0</v>
      </c>
      <c r="G114" s="11">
        <v>0</v>
      </c>
      <c r="H114" s="67">
        <v>0</v>
      </c>
      <c r="I114" s="11">
        <v>0</v>
      </c>
      <c r="J114" s="67">
        <v>0</v>
      </c>
      <c r="K114" s="11">
        <v>0</v>
      </c>
      <c r="L114" s="67">
        <v>1</v>
      </c>
    </row>
    <row r="115" spans="1:12" ht="25.5" x14ac:dyDescent="0.25">
      <c r="A115" s="68" t="s">
        <v>223</v>
      </c>
      <c r="B115" s="26" t="s">
        <v>327</v>
      </c>
      <c r="C115" s="23">
        <f t="shared" si="78"/>
        <v>85871</v>
      </c>
      <c r="D115" s="69">
        <f>79871+2000</f>
        <v>81871</v>
      </c>
      <c r="E115" s="11">
        <v>4000</v>
      </c>
      <c r="F115" s="67">
        <v>0</v>
      </c>
      <c r="G115" s="11">
        <v>0</v>
      </c>
      <c r="H115" s="67">
        <v>0</v>
      </c>
      <c r="I115" s="11">
        <v>0</v>
      </c>
      <c r="J115" s="67">
        <v>0</v>
      </c>
      <c r="K115" s="11">
        <v>0</v>
      </c>
      <c r="L115" s="69">
        <v>0</v>
      </c>
    </row>
    <row r="116" spans="1:12" ht="25.5" x14ac:dyDescent="0.25">
      <c r="A116" s="68" t="s">
        <v>224</v>
      </c>
      <c r="B116" s="26" t="s">
        <v>242</v>
      </c>
      <c r="C116" s="23">
        <f t="shared" si="78"/>
        <v>21014</v>
      </c>
      <c r="D116" s="69">
        <v>21014</v>
      </c>
      <c r="E116" s="11">
        <v>0</v>
      </c>
      <c r="F116" s="67">
        <v>0</v>
      </c>
      <c r="G116" s="11">
        <v>0</v>
      </c>
      <c r="H116" s="67">
        <v>0</v>
      </c>
      <c r="I116" s="11">
        <v>0</v>
      </c>
      <c r="J116" s="67">
        <v>0</v>
      </c>
      <c r="K116" s="11">
        <v>0</v>
      </c>
      <c r="L116" s="69">
        <v>0</v>
      </c>
    </row>
    <row r="117" spans="1:12" x14ac:dyDescent="0.25">
      <c r="A117" s="63" t="s">
        <v>225</v>
      </c>
      <c r="B117" s="64" t="s">
        <v>243</v>
      </c>
      <c r="C117" s="23">
        <f t="shared" si="78"/>
        <v>1536338</v>
      </c>
      <c r="D117" s="23">
        <f>SUM(D118:D120)</f>
        <v>1488018</v>
      </c>
      <c r="E117" s="32">
        <f t="shared" ref="E117:L117" si="88">SUM(E118:E120)</f>
        <v>33000</v>
      </c>
      <c r="F117" s="27">
        <f t="shared" si="88"/>
        <v>0</v>
      </c>
      <c r="G117" s="32">
        <f t="shared" si="88"/>
        <v>0</v>
      </c>
      <c r="H117" s="27">
        <f t="shared" si="88"/>
        <v>15320</v>
      </c>
      <c r="I117" s="32">
        <f t="shared" si="88"/>
        <v>0</v>
      </c>
      <c r="J117" s="23">
        <f t="shared" si="88"/>
        <v>0</v>
      </c>
      <c r="K117" s="24">
        <f t="shared" si="88"/>
        <v>0</v>
      </c>
      <c r="L117" s="23">
        <f t="shared" si="88"/>
        <v>0</v>
      </c>
    </row>
    <row r="118" spans="1:12" ht="25.5" x14ac:dyDescent="0.25">
      <c r="A118" s="68" t="s">
        <v>226</v>
      </c>
      <c r="B118" s="26" t="s">
        <v>244</v>
      </c>
      <c r="C118" s="23">
        <f t="shared" si="78"/>
        <v>403612</v>
      </c>
      <c r="D118" s="69">
        <f>375936+10356</f>
        <v>386292</v>
      </c>
      <c r="E118" s="11">
        <v>2000</v>
      </c>
      <c r="F118" s="67">
        <v>0</v>
      </c>
      <c r="G118" s="11">
        <v>0</v>
      </c>
      <c r="H118" s="67">
        <f>18384-3064</f>
        <v>15320</v>
      </c>
      <c r="I118" s="11">
        <v>0</v>
      </c>
      <c r="J118" s="67">
        <v>0</v>
      </c>
      <c r="K118" s="11">
        <v>0</v>
      </c>
      <c r="L118" s="67">
        <v>0</v>
      </c>
    </row>
    <row r="119" spans="1:12" x14ac:dyDescent="0.25">
      <c r="A119" s="68" t="s">
        <v>227</v>
      </c>
      <c r="B119" s="26" t="s">
        <v>245</v>
      </c>
      <c r="C119" s="23">
        <f t="shared" si="78"/>
        <v>546750</v>
      </c>
      <c r="D119" s="69">
        <f>515490+260</f>
        <v>515750</v>
      </c>
      <c r="E119" s="11">
        <v>31000</v>
      </c>
      <c r="F119" s="67">
        <v>0</v>
      </c>
      <c r="G119" s="11">
        <v>0</v>
      </c>
      <c r="H119" s="67">
        <v>0</v>
      </c>
      <c r="I119" s="11">
        <v>0</v>
      </c>
      <c r="J119" s="67">
        <v>0</v>
      </c>
      <c r="K119" s="11">
        <v>0</v>
      </c>
      <c r="L119" s="67">
        <v>0</v>
      </c>
    </row>
    <row r="120" spans="1:12" ht="38.25" x14ac:dyDescent="0.25">
      <c r="A120" s="68" t="s">
        <v>386</v>
      </c>
      <c r="B120" s="26" t="s">
        <v>417</v>
      </c>
      <c r="C120" s="23">
        <f t="shared" si="78"/>
        <v>585976</v>
      </c>
      <c r="D120" s="69">
        <v>585976</v>
      </c>
      <c r="E120" s="11">
        <v>0</v>
      </c>
      <c r="F120" s="67">
        <v>0</v>
      </c>
      <c r="G120" s="11">
        <v>0</v>
      </c>
      <c r="H120" s="67">
        <v>0</v>
      </c>
      <c r="I120" s="11">
        <v>0</v>
      </c>
      <c r="J120" s="67">
        <v>0</v>
      </c>
      <c r="K120" s="11">
        <v>0</v>
      </c>
      <c r="L120" s="67">
        <v>0</v>
      </c>
    </row>
    <row r="121" spans="1:12" x14ac:dyDescent="0.25">
      <c r="A121" s="63" t="s">
        <v>504</v>
      </c>
      <c r="B121" s="64" t="s">
        <v>505</v>
      </c>
      <c r="C121" s="23">
        <f t="shared" ref="C121" si="89">SUM(D121:L121)</f>
        <v>394918</v>
      </c>
      <c r="D121" s="23">
        <f>D122</f>
        <v>394918</v>
      </c>
      <c r="E121" s="24">
        <f t="shared" ref="E121:L121" si="90">E122</f>
        <v>0</v>
      </c>
      <c r="F121" s="23">
        <f t="shared" si="90"/>
        <v>0</v>
      </c>
      <c r="G121" s="24">
        <f t="shared" si="90"/>
        <v>0</v>
      </c>
      <c r="H121" s="23">
        <f t="shared" si="90"/>
        <v>0</v>
      </c>
      <c r="I121" s="24">
        <f t="shared" si="90"/>
        <v>0</v>
      </c>
      <c r="J121" s="23">
        <f t="shared" si="90"/>
        <v>0</v>
      </c>
      <c r="K121" s="24">
        <f t="shared" si="90"/>
        <v>0</v>
      </c>
      <c r="L121" s="23">
        <f t="shared" si="90"/>
        <v>0</v>
      </c>
    </row>
    <row r="122" spans="1:12" ht="25.5" x14ac:dyDescent="0.25">
      <c r="A122" s="68" t="s">
        <v>228</v>
      </c>
      <c r="B122" s="26" t="s">
        <v>356</v>
      </c>
      <c r="C122" s="23">
        <f t="shared" si="78"/>
        <v>394918</v>
      </c>
      <c r="D122" s="69">
        <v>394918</v>
      </c>
      <c r="E122" s="11">
        <v>0</v>
      </c>
      <c r="F122" s="67">
        <v>0</v>
      </c>
      <c r="G122" s="11">
        <v>0</v>
      </c>
      <c r="H122" s="67">
        <v>0</v>
      </c>
      <c r="I122" s="11">
        <v>0</v>
      </c>
      <c r="J122" s="67">
        <v>0</v>
      </c>
      <c r="K122" s="11">
        <v>0</v>
      </c>
      <c r="L122" s="67">
        <v>0</v>
      </c>
    </row>
    <row r="123" spans="1:12" ht="28.5" customHeight="1" x14ac:dyDescent="0.25">
      <c r="A123" s="63" t="s">
        <v>229</v>
      </c>
      <c r="B123" s="64" t="s">
        <v>246</v>
      </c>
      <c r="C123" s="23">
        <f t="shared" si="78"/>
        <v>282892</v>
      </c>
      <c r="D123" s="23">
        <f>SUM(D124:D127)</f>
        <v>28271</v>
      </c>
      <c r="E123" s="32">
        <f t="shared" ref="E123:L123" si="91">SUM(E124:E127)</f>
        <v>1080</v>
      </c>
      <c r="F123" s="27">
        <f t="shared" si="91"/>
        <v>0</v>
      </c>
      <c r="G123" s="32">
        <f t="shared" si="91"/>
        <v>0</v>
      </c>
      <c r="H123" s="27">
        <f t="shared" si="91"/>
        <v>0</v>
      </c>
      <c r="I123" s="32">
        <f t="shared" si="91"/>
        <v>0</v>
      </c>
      <c r="J123" s="27">
        <f t="shared" si="91"/>
        <v>0</v>
      </c>
      <c r="K123" s="24">
        <f t="shared" si="91"/>
        <v>0</v>
      </c>
      <c r="L123" s="23">
        <f t="shared" si="91"/>
        <v>253541</v>
      </c>
    </row>
    <row r="124" spans="1:12" ht="25.5" x14ac:dyDescent="0.25">
      <c r="A124" s="68" t="s">
        <v>230</v>
      </c>
      <c r="B124" s="26" t="s">
        <v>247</v>
      </c>
      <c r="C124" s="23">
        <f t="shared" si="78"/>
        <v>158701</v>
      </c>
      <c r="D124" s="69">
        <f>5921</f>
        <v>5921</v>
      </c>
      <c r="E124" s="11">
        <v>1080</v>
      </c>
      <c r="F124" s="67">
        <v>0</v>
      </c>
      <c r="G124" s="11">
        <v>0</v>
      </c>
      <c r="H124" s="67">
        <v>0</v>
      </c>
      <c r="I124" s="11">
        <v>0</v>
      </c>
      <c r="J124" s="67">
        <v>0</v>
      </c>
      <c r="K124" s="11">
        <v>0</v>
      </c>
      <c r="L124" s="67">
        <v>151700</v>
      </c>
    </row>
    <row r="125" spans="1:12" ht="25.5" x14ac:dyDescent="0.25">
      <c r="A125" s="68" t="s">
        <v>231</v>
      </c>
      <c r="B125" s="26" t="s">
        <v>248</v>
      </c>
      <c r="C125" s="23">
        <f t="shared" ref="C125:C127" si="92">SUM(D125:L125)</f>
        <v>22350</v>
      </c>
      <c r="D125" s="69">
        <v>22350</v>
      </c>
      <c r="E125" s="11">
        <v>0</v>
      </c>
      <c r="F125" s="67">
        <v>0</v>
      </c>
      <c r="G125" s="11">
        <v>0</v>
      </c>
      <c r="H125" s="67">
        <v>0</v>
      </c>
      <c r="I125" s="11">
        <v>0</v>
      </c>
      <c r="J125" s="67">
        <v>0</v>
      </c>
      <c r="K125" s="11">
        <v>0</v>
      </c>
      <c r="L125" s="67">
        <v>0</v>
      </c>
    </row>
    <row r="126" spans="1:12" ht="25.5" x14ac:dyDescent="0.25">
      <c r="A126" s="68" t="s">
        <v>232</v>
      </c>
      <c r="B126" s="26" t="s">
        <v>506</v>
      </c>
      <c r="C126" s="23">
        <f t="shared" si="92"/>
        <v>4300</v>
      </c>
      <c r="D126" s="67">
        <v>0</v>
      </c>
      <c r="E126" s="11">
        <v>0</v>
      </c>
      <c r="F126" s="67">
        <v>0</v>
      </c>
      <c r="G126" s="11">
        <v>0</v>
      </c>
      <c r="H126" s="67">
        <v>0</v>
      </c>
      <c r="I126" s="11">
        <v>0</v>
      </c>
      <c r="J126" s="67">
        <v>0</v>
      </c>
      <c r="K126" s="11">
        <v>0</v>
      </c>
      <c r="L126" s="67">
        <v>4300</v>
      </c>
    </row>
    <row r="127" spans="1:12" ht="25.5" x14ac:dyDescent="0.25">
      <c r="A127" s="68" t="s">
        <v>233</v>
      </c>
      <c r="B127" s="26" t="s">
        <v>507</v>
      </c>
      <c r="C127" s="23">
        <f t="shared" si="92"/>
        <v>97541</v>
      </c>
      <c r="D127" s="67">
        <v>0</v>
      </c>
      <c r="E127" s="11">
        <v>0</v>
      </c>
      <c r="F127" s="67">
        <v>0</v>
      </c>
      <c r="G127" s="11">
        <v>0</v>
      </c>
      <c r="H127" s="67">
        <v>0</v>
      </c>
      <c r="I127" s="11">
        <v>0</v>
      </c>
      <c r="J127" s="67">
        <v>0</v>
      </c>
      <c r="K127" s="11">
        <v>0</v>
      </c>
      <c r="L127" s="67">
        <v>97541</v>
      </c>
    </row>
    <row r="128" spans="1:12" x14ac:dyDescent="0.25">
      <c r="A128" s="95" t="s">
        <v>25</v>
      </c>
      <c r="B128" s="96" t="s">
        <v>123</v>
      </c>
      <c r="C128" s="103">
        <f t="shared" ref="C128:C134" si="93">SUM(D128:L128)</f>
        <v>48020710</v>
      </c>
      <c r="D128" s="103">
        <f>D129+D132+D144+D151+D154+D159+D163</f>
        <v>23702468</v>
      </c>
      <c r="E128" s="104">
        <f t="shared" ref="E128:L128" si="94">E129+E132+E144+E151+E154+E159+E163</f>
        <v>217343</v>
      </c>
      <c r="F128" s="103">
        <f t="shared" si="94"/>
        <v>802845</v>
      </c>
      <c r="G128" s="104">
        <f t="shared" si="94"/>
        <v>14805</v>
      </c>
      <c r="H128" s="103">
        <f t="shared" si="94"/>
        <v>15203608</v>
      </c>
      <c r="I128" s="104">
        <f t="shared" si="94"/>
        <v>5457256</v>
      </c>
      <c r="J128" s="103">
        <f t="shared" si="94"/>
        <v>0</v>
      </c>
      <c r="K128" s="104">
        <f t="shared" si="94"/>
        <v>0</v>
      </c>
      <c r="L128" s="103">
        <f t="shared" si="94"/>
        <v>2622385</v>
      </c>
    </row>
    <row r="129" spans="1:12" x14ac:dyDescent="0.25">
      <c r="A129" s="63" t="s">
        <v>249</v>
      </c>
      <c r="B129" s="64" t="s">
        <v>250</v>
      </c>
      <c r="C129" s="23">
        <f t="shared" si="93"/>
        <v>8462417</v>
      </c>
      <c r="D129" s="23">
        <f>D130+D131</f>
        <v>7081286</v>
      </c>
      <c r="E129" s="24">
        <f t="shared" ref="E129:L129" si="95">E130+E131</f>
        <v>-105566</v>
      </c>
      <c r="F129" s="23">
        <f t="shared" si="95"/>
        <v>145750</v>
      </c>
      <c r="G129" s="24">
        <f t="shared" si="95"/>
        <v>-15588</v>
      </c>
      <c r="H129" s="23">
        <f t="shared" si="95"/>
        <v>1009091</v>
      </c>
      <c r="I129" s="24">
        <f t="shared" si="95"/>
        <v>339284</v>
      </c>
      <c r="J129" s="23">
        <f t="shared" si="95"/>
        <v>0</v>
      </c>
      <c r="K129" s="24">
        <f t="shared" si="95"/>
        <v>0</v>
      </c>
      <c r="L129" s="23">
        <f t="shared" si="95"/>
        <v>8160</v>
      </c>
    </row>
    <row r="130" spans="1:12" ht="25.5" x14ac:dyDescent="0.25">
      <c r="A130" s="68" t="s">
        <v>270</v>
      </c>
      <c r="B130" s="26" t="s">
        <v>279</v>
      </c>
      <c r="C130" s="23">
        <f t="shared" si="93"/>
        <v>7910819</v>
      </c>
      <c r="D130" s="67">
        <v>6855788</v>
      </c>
      <c r="E130" s="11">
        <v>-76674</v>
      </c>
      <c r="F130" s="67">
        <v>145750</v>
      </c>
      <c r="G130" s="11">
        <v>-15588</v>
      </c>
      <c r="H130" s="67">
        <v>654099</v>
      </c>
      <c r="I130" s="11">
        <v>339284</v>
      </c>
      <c r="J130" s="67">
        <v>0</v>
      </c>
      <c r="K130" s="11">
        <v>0</v>
      </c>
      <c r="L130" s="67">
        <v>8160</v>
      </c>
    </row>
    <row r="131" spans="1:12" ht="63.75" x14ac:dyDescent="0.25">
      <c r="A131" s="65" t="s">
        <v>399</v>
      </c>
      <c r="B131" s="66" t="s">
        <v>400</v>
      </c>
      <c r="C131" s="27">
        <f t="shared" si="93"/>
        <v>551598</v>
      </c>
      <c r="D131" s="67">
        <f>479566-254068</f>
        <v>225498</v>
      </c>
      <c r="E131" s="11">
        <v>-28892</v>
      </c>
      <c r="F131" s="67">
        <v>0</v>
      </c>
      <c r="G131" s="11">
        <v>0</v>
      </c>
      <c r="H131" s="67">
        <v>354992</v>
      </c>
      <c r="I131" s="11">
        <v>0</v>
      </c>
      <c r="J131" s="67">
        <v>0</v>
      </c>
      <c r="K131" s="11">
        <v>0</v>
      </c>
      <c r="L131" s="67">
        <v>0</v>
      </c>
    </row>
    <row r="132" spans="1:12" ht="25.5" x14ac:dyDescent="0.25">
      <c r="A132" s="71" t="s">
        <v>251</v>
      </c>
      <c r="B132" s="72" t="s">
        <v>274</v>
      </c>
      <c r="C132" s="27">
        <f t="shared" si="93"/>
        <v>30339802</v>
      </c>
      <c r="D132" s="27">
        <f>D133+D140</f>
        <v>10641996</v>
      </c>
      <c r="E132" s="32">
        <f t="shared" ref="E132:L132" si="96">E133+E140</f>
        <v>303500</v>
      </c>
      <c r="F132" s="27">
        <f t="shared" si="96"/>
        <v>286562</v>
      </c>
      <c r="G132" s="32">
        <f t="shared" si="96"/>
        <v>-22204</v>
      </c>
      <c r="H132" s="27">
        <f t="shared" si="96"/>
        <v>12498005</v>
      </c>
      <c r="I132" s="32">
        <f t="shared" si="96"/>
        <v>4244782</v>
      </c>
      <c r="J132" s="27">
        <f t="shared" si="96"/>
        <v>0</v>
      </c>
      <c r="K132" s="32">
        <f t="shared" si="96"/>
        <v>0</v>
      </c>
      <c r="L132" s="27">
        <f t="shared" si="96"/>
        <v>2387161</v>
      </c>
    </row>
    <row r="133" spans="1:12" x14ac:dyDescent="0.25">
      <c r="A133" s="70" t="s">
        <v>252</v>
      </c>
      <c r="B133" s="64" t="s">
        <v>508</v>
      </c>
      <c r="C133" s="23">
        <f t="shared" si="93"/>
        <v>24389420</v>
      </c>
      <c r="D133" s="23">
        <f>SUM(D134:D139)</f>
        <v>8430692</v>
      </c>
      <c r="E133" s="32">
        <f t="shared" ref="E133:L133" si="97">SUM(E134:E139)</f>
        <v>290007</v>
      </c>
      <c r="F133" s="27">
        <f t="shared" si="97"/>
        <v>241640</v>
      </c>
      <c r="G133" s="32">
        <f t="shared" si="97"/>
        <v>-22204</v>
      </c>
      <c r="H133" s="27">
        <f t="shared" si="97"/>
        <v>9413961</v>
      </c>
      <c r="I133" s="32">
        <f t="shared" si="97"/>
        <v>3903904</v>
      </c>
      <c r="J133" s="27">
        <f t="shared" si="97"/>
        <v>0</v>
      </c>
      <c r="K133" s="24">
        <f t="shared" si="97"/>
        <v>0</v>
      </c>
      <c r="L133" s="23">
        <f t="shared" si="97"/>
        <v>2131420</v>
      </c>
    </row>
    <row r="134" spans="1:12" ht="25.5" x14ac:dyDescent="0.25">
      <c r="A134" s="68" t="s">
        <v>253</v>
      </c>
      <c r="B134" s="26" t="s">
        <v>368</v>
      </c>
      <c r="C134" s="27">
        <f t="shared" si="93"/>
        <v>13616072</v>
      </c>
      <c r="D134" s="67">
        <f>4432963+22635+6988+4500+50000</f>
        <v>4517086</v>
      </c>
      <c r="E134" s="11">
        <v>260532</v>
      </c>
      <c r="F134" s="67">
        <f>214579+1360</f>
        <v>215939</v>
      </c>
      <c r="G134" s="11">
        <v>-28065</v>
      </c>
      <c r="H134" s="67">
        <f>5464742+5712+17414</f>
        <v>5487868</v>
      </c>
      <c r="I134" s="11">
        <v>3030571</v>
      </c>
      <c r="J134" s="67">
        <v>0</v>
      </c>
      <c r="K134" s="11">
        <v>0</v>
      </c>
      <c r="L134" s="67">
        <v>132141</v>
      </c>
    </row>
    <row r="135" spans="1:12" ht="38.25" x14ac:dyDescent="0.25">
      <c r="A135" s="68" t="s">
        <v>254</v>
      </c>
      <c r="B135" s="26" t="s">
        <v>819</v>
      </c>
      <c r="C135" s="27">
        <f t="shared" ref="C135:C164" si="98">SUM(D135:L135)</f>
        <v>2130735</v>
      </c>
      <c r="D135" s="67">
        <v>73396</v>
      </c>
      <c r="E135" s="11">
        <v>11216</v>
      </c>
      <c r="F135" s="67">
        <v>25648</v>
      </c>
      <c r="G135" s="11">
        <v>5861</v>
      </c>
      <c r="H135" s="67">
        <f>1305592+9392</f>
        <v>1314984</v>
      </c>
      <c r="I135" s="11">
        <v>673709</v>
      </c>
      <c r="J135" s="67">
        <v>0</v>
      </c>
      <c r="K135" s="11">
        <v>0</v>
      </c>
      <c r="L135" s="67">
        <v>25921</v>
      </c>
    </row>
    <row r="136" spans="1:12" ht="25.5" x14ac:dyDescent="0.25">
      <c r="A136" s="68" t="s">
        <v>255</v>
      </c>
      <c r="B136" s="26" t="s">
        <v>271</v>
      </c>
      <c r="C136" s="23">
        <f t="shared" si="98"/>
        <v>337447</v>
      </c>
      <c r="D136" s="69">
        <v>0</v>
      </c>
      <c r="E136" s="11">
        <v>18259</v>
      </c>
      <c r="F136" s="67">
        <f>53</f>
        <v>53</v>
      </c>
      <c r="G136" s="11">
        <v>0</v>
      </c>
      <c r="H136" s="67">
        <f>71711+18351</f>
        <v>90062</v>
      </c>
      <c r="I136" s="11">
        <v>144970</v>
      </c>
      <c r="J136" s="67">
        <v>0</v>
      </c>
      <c r="K136" s="11">
        <v>0</v>
      </c>
      <c r="L136" s="67">
        <v>84103</v>
      </c>
    </row>
    <row r="137" spans="1:12" ht="51" x14ac:dyDescent="0.25">
      <c r="A137" s="68" t="s">
        <v>343</v>
      </c>
      <c r="B137" s="26" t="s">
        <v>419</v>
      </c>
      <c r="C137" s="23">
        <f t="shared" si="98"/>
        <v>7690637</v>
      </c>
      <c r="D137" s="69">
        <f>1826089+1558975</f>
        <v>3385064</v>
      </c>
      <c r="E137" s="11">
        <v>0</v>
      </c>
      <c r="F137" s="67">
        <v>0</v>
      </c>
      <c r="G137" s="11">
        <v>0</v>
      </c>
      <c r="H137" s="67">
        <f>2264751+163213</f>
        <v>2427964</v>
      </c>
      <c r="I137" s="11">
        <v>0</v>
      </c>
      <c r="J137" s="67">
        <v>0</v>
      </c>
      <c r="K137" s="11">
        <v>0</v>
      </c>
      <c r="L137" s="67">
        <v>1877609</v>
      </c>
    </row>
    <row r="138" spans="1:12" ht="76.5" x14ac:dyDescent="0.25">
      <c r="A138" s="65" t="s">
        <v>432</v>
      </c>
      <c r="B138" s="66" t="s">
        <v>509</v>
      </c>
      <c r="C138" s="27">
        <f t="shared" si="98"/>
        <v>614529</v>
      </c>
      <c r="D138" s="67">
        <f>448449+6697</f>
        <v>455146</v>
      </c>
      <c r="E138" s="11">
        <v>0</v>
      </c>
      <c r="F138" s="67">
        <v>0</v>
      </c>
      <c r="G138" s="11">
        <v>0</v>
      </c>
      <c r="H138" s="67">
        <v>93083</v>
      </c>
      <c r="I138" s="11">
        <v>54654</v>
      </c>
      <c r="J138" s="67">
        <v>0</v>
      </c>
      <c r="K138" s="11">
        <v>0</v>
      </c>
      <c r="L138" s="67">
        <v>11646</v>
      </c>
    </row>
    <row r="139" spans="1:12" hidden="1" x14ac:dyDescent="0.25">
      <c r="A139" s="58"/>
      <c r="B139" s="59"/>
      <c r="C139" s="80">
        <f t="shared" ref="C139" si="99">SUM(D139:L139)</f>
        <v>0</v>
      </c>
      <c r="D139" s="83"/>
      <c r="E139" s="94"/>
      <c r="F139" s="83"/>
      <c r="G139" s="94"/>
      <c r="H139" s="83"/>
      <c r="I139" s="94"/>
      <c r="J139" s="83"/>
      <c r="K139" s="94"/>
      <c r="L139" s="83"/>
    </row>
    <row r="140" spans="1:12" x14ac:dyDescent="0.25">
      <c r="A140" s="70" t="s">
        <v>275</v>
      </c>
      <c r="B140" s="64" t="s">
        <v>272</v>
      </c>
      <c r="C140" s="23">
        <f>SUM(D140:L140)</f>
        <v>5950382</v>
      </c>
      <c r="D140" s="23">
        <f t="shared" ref="D140:L140" si="100">SUM(D141:D143)</f>
        <v>2211304</v>
      </c>
      <c r="E140" s="32">
        <f t="shared" si="100"/>
        <v>13493</v>
      </c>
      <c r="F140" s="27">
        <f t="shared" si="100"/>
        <v>44922</v>
      </c>
      <c r="G140" s="32">
        <f t="shared" si="100"/>
        <v>0</v>
      </c>
      <c r="H140" s="27">
        <f t="shared" si="100"/>
        <v>3084044</v>
      </c>
      <c r="I140" s="32">
        <f t="shared" si="100"/>
        <v>340878</v>
      </c>
      <c r="J140" s="27">
        <f t="shared" si="100"/>
        <v>0</v>
      </c>
      <c r="K140" s="32">
        <f t="shared" si="100"/>
        <v>0</v>
      </c>
      <c r="L140" s="23">
        <f t="shared" si="100"/>
        <v>255741</v>
      </c>
    </row>
    <row r="141" spans="1:12" ht="25.5" x14ac:dyDescent="0.25">
      <c r="A141" s="68" t="s">
        <v>256</v>
      </c>
      <c r="B141" s="26" t="s">
        <v>369</v>
      </c>
      <c r="C141" s="23">
        <f t="shared" si="98"/>
        <v>935538</v>
      </c>
      <c r="D141" s="69">
        <f>408096+12000</f>
        <v>420096</v>
      </c>
      <c r="E141" s="11">
        <v>7860</v>
      </c>
      <c r="F141" s="67">
        <v>16489</v>
      </c>
      <c r="G141" s="11">
        <v>0</v>
      </c>
      <c r="H141" s="67">
        <v>287000</v>
      </c>
      <c r="I141" s="11">
        <v>201144</v>
      </c>
      <c r="J141" s="67">
        <v>0</v>
      </c>
      <c r="K141" s="11">
        <v>0</v>
      </c>
      <c r="L141" s="69">
        <v>2949</v>
      </c>
    </row>
    <row r="142" spans="1:12" ht="25.5" x14ac:dyDescent="0.25">
      <c r="A142" s="68" t="s">
        <v>257</v>
      </c>
      <c r="B142" s="26" t="s">
        <v>276</v>
      </c>
      <c r="C142" s="23">
        <f t="shared" si="98"/>
        <v>929375</v>
      </c>
      <c r="D142" s="69">
        <v>0</v>
      </c>
      <c r="E142" s="11">
        <v>5633</v>
      </c>
      <c r="F142" s="67">
        <f>27941+492</f>
        <v>28433</v>
      </c>
      <c r="G142" s="11">
        <v>0</v>
      </c>
      <c r="H142" s="67">
        <f>555639+5633</f>
        <v>561272</v>
      </c>
      <c r="I142" s="11">
        <v>139734</v>
      </c>
      <c r="J142" s="67">
        <v>0</v>
      </c>
      <c r="K142" s="11">
        <v>0</v>
      </c>
      <c r="L142" s="69">
        <v>194303</v>
      </c>
    </row>
    <row r="143" spans="1:12" ht="54" customHeight="1" x14ac:dyDescent="0.25">
      <c r="A143" s="65" t="s">
        <v>401</v>
      </c>
      <c r="B143" s="66" t="s">
        <v>433</v>
      </c>
      <c r="C143" s="27">
        <f t="shared" si="98"/>
        <v>4085469</v>
      </c>
      <c r="D143" s="67">
        <v>1791208</v>
      </c>
      <c r="E143" s="11">
        <v>0</v>
      </c>
      <c r="F143" s="67">
        <v>0</v>
      </c>
      <c r="G143" s="11">
        <v>0</v>
      </c>
      <c r="H143" s="67">
        <v>2235772</v>
      </c>
      <c r="I143" s="11">
        <v>0</v>
      </c>
      <c r="J143" s="67">
        <v>0</v>
      </c>
      <c r="K143" s="11">
        <v>0</v>
      </c>
      <c r="L143" s="67">
        <v>58489</v>
      </c>
    </row>
    <row r="144" spans="1:12" ht="25.5" x14ac:dyDescent="0.25">
      <c r="A144" s="63" t="s">
        <v>258</v>
      </c>
      <c r="B144" s="64" t="s">
        <v>273</v>
      </c>
      <c r="C144" s="23">
        <f>SUM(D144:L144)</f>
        <v>6061417</v>
      </c>
      <c r="D144" s="23">
        <f t="shared" ref="D144:L144" si="101">SUM(D145:D150)</f>
        <v>4398643</v>
      </c>
      <c r="E144" s="32">
        <f t="shared" si="101"/>
        <v>2241</v>
      </c>
      <c r="F144" s="27">
        <f t="shared" si="101"/>
        <v>182301</v>
      </c>
      <c r="G144" s="32">
        <f t="shared" si="101"/>
        <v>6109</v>
      </c>
      <c r="H144" s="27">
        <f t="shared" si="101"/>
        <v>1189884</v>
      </c>
      <c r="I144" s="32">
        <f t="shared" si="101"/>
        <v>252402</v>
      </c>
      <c r="J144" s="27">
        <f t="shared" si="101"/>
        <v>0</v>
      </c>
      <c r="K144" s="32">
        <f t="shared" si="101"/>
        <v>0</v>
      </c>
      <c r="L144" s="23">
        <f t="shared" si="101"/>
        <v>29837</v>
      </c>
    </row>
    <row r="145" spans="1:12" ht="51" x14ac:dyDescent="0.25">
      <c r="A145" s="68" t="s">
        <v>37</v>
      </c>
      <c r="B145" s="26" t="s">
        <v>510</v>
      </c>
      <c r="C145" s="23">
        <f t="shared" si="98"/>
        <v>1448648</v>
      </c>
      <c r="D145" s="69">
        <v>821829</v>
      </c>
      <c r="E145" s="11">
        <v>-3005</v>
      </c>
      <c r="F145" s="67">
        <v>61239</v>
      </c>
      <c r="G145" s="11">
        <v>6109</v>
      </c>
      <c r="H145" s="67">
        <v>367789</v>
      </c>
      <c r="I145" s="11">
        <v>193678</v>
      </c>
      <c r="J145" s="67">
        <v>0</v>
      </c>
      <c r="K145" s="11">
        <v>0</v>
      </c>
      <c r="L145" s="69">
        <v>1009</v>
      </c>
    </row>
    <row r="146" spans="1:12" ht="25.5" x14ac:dyDescent="0.25">
      <c r="A146" s="68" t="s">
        <v>39</v>
      </c>
      <c r="B146" s="26" t="s">
        <v>370</v>
      </c>
      <c r="C146" s="23">
        <f t="shared" si="98"/>
        <v>251496</v>
      </c>
      <c r="D146" s="69">
        <v>139937</v>
      </c>
      <c r="E146" s="11">
        <v>2241</v>
      </c>
      <c r="F146" s="67">
        <v>14156</v>
      </c>
      <c r="G146" s="11">
        <v>0</v>
      </c>
      <c r="H146" s="67">
        <v>61344</v>
      </c>
      <c r="I146" s="11">
        <v>33033</v>
      </c>
      <c r="J146" s="67">
        <v>0</v>
      </c>
      <c r="K146" s="11">
        <v>0</v>
      </c>
      <c r="L146" s="69">
        <v>785</v>
      </c>
    </row>
    <row r="147" spans="1:12" ht="25.5" x14ac:dyDescent="0.25">
      <c r="A147" s="68" t="s">
        <v>259</v>
      </c>
      <c r="B147" s="26" t="s">
        <v>371</v>
      </c>
      <c r="C147" s="23">
        <f t="shared" si="98"/>
        <v>2284693</v>
      </c>
      <c r="D147" s="69">
        <v>1653534</v>
      </c>
      <c r="E147" s="11">
        <v>0</v>
      </c>
      <c r="F147" s="67">
        <v>106906</v>
      </c>
      <c r="G147" s="11">
        <v>0</v>
      </c>
      <c r="H147" s="67">
        <v>491639</v>
      </c>
      <c r="I147" s="11">
        <v>11066</v>
      </c>
      <c r="J147" s="67">
        <v>0</v>
      </c>
      <c r="K147" s="11">
        <v>0</v>
      </c>
      <c r="L147" s="69">
        <v>21548</v>
      </c>
    </row>
    <row r="148" spans="1:12" ht="38.25" x14ac:dyDescent="0.25">
      <c r="A148" s="65" t="s">
        <v>260</v>
      </c>
      <c r="B148" s="66" t="s">
        <v>277</v>
      </c>
      <c r="C148" s="27">
        <f t="shared" si="98"/>
        <v>9959</v>
      </c>
      <c r="D148" s="67">
        <v>0</v>
      </c>
      <c r="E148" s="11">
        <v>3005</v>
      </c>
      <c r="F148" s="67">
        <v>0</v>
      </c>
      <c r="G148" s="11">
        <v>0</v>
      </c>
      <c r="H148" s="67">
        <v>3382</v>
      </c>
      <c r="I148" s="11">
        <v>0</v>
      </c>
      <c r="J148" s="67">
        <v>0</v>
      </c>
      <c r="K148" s="11">
        <v>0</v>
      </c>
      <c r="L148" s="67">
        <v>3572</v>
      </c>
    </row>
    <row r="149" spans="1:12" ht="76.5" x14ac:dyDescent="0.25">
      <c r="A149" s="65" t="s">
        <v>396</v>
      </c>
      <c r="B149" s="66" t="s">
        <v>395</v>
      </c>
      <c r="C149" s="27">
        <f t="shared" ref="C149:C150" si="102">SUM(D149:L149)</f>
        <v>1174064</v>
      </c>
      <c r="D149" s="67">
        <f>866395+157669+150000</f>
        <v>1174064</v>
      </c>
      <c r="E149" s="11">
        <v>0</v>
      </c>
      <c r="F149" s="67">
        <v>0</v>
      </c>
      <c r="G149" s="11">
        <v>0</v>
      </c>
      <c r="H149" s="67">
        <v>0</v>
      </c>
      <c r="I149" s="11">
        <v>0</v>
      </c>
      <c r="J149" s="67">
        <v>0</v>
      </c>
      <c r="K149" s="11">
        <v>0</v>
      </c>
      <c r="L149" s="67">
        <v>0</v>
      </c>
    </row>
    <row r="150" spans="1:12" ht="51" x14ac:dyDescent="0.25">
      <c r="A150" s="65" t="s">
        <v>398</v>
      </c>
      <c r="B150" s="66" t="s">
        <v>397</v>
      </c>
      <c r="C150" s="27">
        <f t="shared" si="102"/>
        <v>892557</v>
      </c>
      <c r="D150" s="67">
        <f>706704-97425</f>
        <v>609279</v>
      </c>
      <c r="E150" s="11">
        <v>0</v>
      </c>
      <c r="F150" s="67">
        <v>0</v>
      </c>
      <c r="G150" s="11">
        <v>0</v>
      </c>
      <c r="H150" s="67">
        <f>175049+90681</f>
        <v>265730</v>
      </c>
      <c r="I150" s="11">
        <v>14625</v>
      </c>
      <c r="J150" s="67">
        <v>0</v>
      </c>
      <c r="K150" s="11">
        <v>0</v>
      </c>
      <c r="L150" s="67">
        <v>2923</v>
      </c>
    </row>
    <row r="151" spans="1:12" ht="51" x14ac:dyDescent="0.25">
      <c r="A151" s="63" t="s">
        <v>264</v>
      </c>
      <c r="B151" s="64" t="s">
        <v>512</v>
      </c>
      <c r="C151" s="23">
        <f>SUM(D151:L151)</f>
        <v>7300</v>
      </c>
      <c r="D151" s="23">
        <f>SUM(D152:D153)</f>
        <v>0</v>
      </c>
      <c r="E151" s="32">
        <f t="shared" ref="E151:L151" si="103">SUM(E152:E153)</f>
        <v>0</v>
      </c>
      <c r="F151" s="27">
        <f t="shared" si="103"/>
        <v>0</v>
      </c>
      <c r="G151" s="32">
        <f t="shared" si="103"/>
        <v>0</v>
      </c>
      <c r="H151" s="27">
        <f t="shared" si="103"/>
        <v>0</v>
      </c>
      <c r="I151" s="32">
        <f t="shared" si="103"/>
        <v>0</v>
      </c>
      <c r="J151" s="27">
        <f t="shared" si="103"/>
        <v>0</v>
      </c>
      <c r="K151" s="32">
        <f t="shared" si="103"/>
        <v>0</v>
      </c>
      <c r="L151" s="23">
        <f t="shared" si="103"/>
        <v>7300</v>
      </c>
    </row>
    <row r="152" spans="1:12" ht="25.5" x14ac:dyDescent="0.25">
      <c r="A152" s="68" t="s">
        <v>43</v>
      </c>
      <c r="B152" s="26" t="s">
        <v>511</v>
      </c>
      <c r="C152" s="23">
        <f t="shared" si="98"/>
        <v>6000</v>
      </c>
      <c r="D152" s="69">
        <v>0</v>
      </c>
      <c r="E152" s="11">
        <v>0</v>
      </c>
      <c r="F152" s="67">
        <v>0</v>
      </c>
      <c r="G152" s="11">
        <v>0</v>
      </c>
      <c r="H152" s="67">
        <v>0</v>
      </c>
      <c r="I152" s="11">
        <v>0</v>
      </c>
      <c r="J152" s="67">
        <v>0</v>
      </c>
      <c r="K152" s="11">
        <v>0</v>
      </c>
      <c r="L152" s="69">
        <v>6000</v>
      </c>
    </row>
    <row r="153" spans="1:12" ht="25.5" x14ac:dyDescent="0.25">
      <c r="A153" s="68" t="s">
        <v>265</v>
      </c>
      <c r="B153" s="26" t="s">
        <v>803</v>
      </c>
      <c r="C153" s="23">
        <f t="shared" si="98"/>
        <v>1300</v>
      </c>
      <c r="D153" s="69">
        <v>0</v>
      </c>
      <c r="E153" s="11">
        <v>0</v>
      </c>
      <c r="F153" s="67">
        <v>0</v>
      </c>
      <c r="G153" s="11">
        <v>0</v>
      </c>
      <c r="H153" s="67">
        <v>0</v>
      </c>
      <c r="I153" s="11">
        <v>0</v>
      </c>
      <c r="J153" s="67">
        <v>0</v>
      </c>
      <c r="K153" s="11">
        <v>0</v>
      </c>
      <c r="L153" s="69">
        <v>1300</v>
      </c>
    </row>
    <row r="154" spans="1:12" ht="25.5" x14ac:dyDescent="0.25">
      <c r="A154" s="63" t="s">
        <v>261</v>
      </c>
      <c r="B154" s="64" t="s">
        <v>513</v>
      </c>
      <c r="C154" s="23">
        <f>SUM(D154:L154)</f>
        <v>1443442</v>
      </c>
      <c r="D154" s="23">
        <f t="shared" ref="D154:L154" si="104">SUM(D155:D158)</f>
        <v>815679</v>
      </c>
      <c r="E154" s="32">
        <f t="shared" si="104"/>
        <v>-4374</v>
      </c>
      <c r="F154" s="27">
        <f t="shared" si="104"/>
        <v>185792</v>
      </c>
      <c r="G154" s="32">
        <f t="shared" si="104"/>
        <v>46488</v>
      </c>
      <c r="H154" s="27">
        <f t="shared" si="104"/>
        <v>130485</v>
      </c>
      <c r="I154" s="32">
        <f t="shared" si="104"/>
        <v>187678</v>
      </c>
      <c r="J154" s="27">
        <f t="shared" si="104"/>
        <v>0</v>
      </c>
      <c r="K154" s="32">
        <f t="shared" si="104"/>
        <v>0</v>
      </c>
      <c r="L154" s="23">
        <f t="shared" si="104"/>
        <v>81694</v>
      </c>
    </row>
    <row r="155" spans="1:12" ht="38.25" x14ac:dyDescent="0.25">
      <c r="A155" s="68" t="s">
        <v>262</v>
      </c>
      <c r="B155" s="26" t="s">
        <v>357</v>
      </c>
      <c r="C155" s="23">
        <f t="shared" si="98"/>
        <v>998145</v>
      </c>
      <c r="D155" s="69">
        <v>775622</v>
      </c>
      <c r="E155" s="11">
        <f>-11374+7000</f>
        <v>-4374</v>
      </c>
      <c r="F155" s="67">
        <f>148861+22668</f>
        <v>171529</v>
      </c>
      <c r="G155" s="11">
        <v>26592</v>
      </c>
      <c r="H155" s="67">
        <v>0</v>
      </c>
      <c r="I155" s="11">
        <v>0</v>
      </c>
      <c r="J155" s="67">
        <v>0</v>
      </c>
      <c r="K155" s="11">
        <v>0</v>
      </c>
      <c r="L155" s="69">
        <v>28776</v>
      </c>
    </row>
    <row r="156" spans="1:12" ht="38.25" x14ac:dyDescent="0.25">
      <c r="A156" s="68" t="s">
        <v>263</v>
      </c>
      <c r="B156" s="26" t="s">
        <v>358</v>
      </c>
      <c r="C156" s="23">
        <f t="shared" si="98"/>
        <v>336786</v>
      </c>
      <c r="D156" s="69">
        <v>32057</v>
      </c>
      <c r="E156" s="11">
        <v>0</v>
      </c>
      <c r="F156" s="67">
        <v>14263</v>
      </c>
      <c r="G156" s="11">
        <v>19896</v>
      </c>
      <c r="H156" s="67">
        <f>40000+25000</f>
        <v>65000</v>
      </c>
      <c r="I156" s="11">
        <v>156920</v>
      </c>
      <c r="J156" s="67">
        <v>0</v>
      </c>
      <c r="K156" s="11">
        <v>0</v>
      </c>
      <c r="L156" s="69">
        <v>48650</v>
      </c>
    </row>
    <row r="157" spans="1:12" x14ac:dyDescent="0.25">
      <c r="A157" s="68" t="s">
        <v>332</v>
      </c>
      <c r="B157" s="26" t="s">
        <v>408</v>
      </c>
      <c r="C157" s="23">
        <f t="shared" ref="C157:C158" si="105">SUM(D157:L157)</f>
        <v>106955</v>
      </c>
      <c r="D157" s="69">
        <v>8000</v>
      </c>
      <c r="E157" s="11">
        <v>0</v>
      </c>
      <c r="F157" s="67">
        <v>0</v>
      </c>
      <c r="G157" s="11">
        <v>0</v>
      </c>
      <c r="H157" s="67">
        <v>65485</v>
      </c>
      <c r="I157" s="11">
        <v>29202</v>
      </c>
      <c r="J157" s="67">
        <v>0</v>
      </c>
      <c r="K157" s="11">
        <v>0</v>
      </c>
      <c r="L157" s="69">
        <v>4268</v>
      </c>
    </row>
    <row r="158" spans="1:12" ht="38.25" x14ac:dyDescent="0.25">
      <c r="A158" s="65" t="s">
        <v>825</v>
      </c>
      <c r="B158" s="66" t="s">
        <v>826</v>
      </c>
      <c r="C158" s="27">
        <f t="shared" si="105"/>
        <v>1556</v>
      </c>
      <c r="D158" s="67">
        <v>0</v>
      </c>
      <c r="E158" s="11">
        <v>0</v>
      </c>
      <c r="F158" s="67">
        <v>0</v>
      </c>
      <c r="G158" s="11">
        <v>0</v>
      </c>
      <c r="H158" s="67">
        <v>0</v>
      </c>
      <c r="I158" s="11">
        <v>1556</v>
      </c>
      <c r="J158" s="67">
        <v>0</v>
      </c>
      <c r="K158" s="11">
        <v>0</v>
      </c>
      <c r="L158" s="67">
        <v>0</v>
      </c>
    </row>
    <row r="159" spans="1:12" x14ac:dyDescent="0.25">
      <c r="A159" s="63" t="s">
        <v>266</v>
      </c>
      <c r="B159" s="64" t="s">
        <v>278</v>
      </c>
      <c r="C159" s="23">
        <f>SUM(D159:L159)</f>
        <v>1703912</v>
      </c>
      <c r="D159" s="23">
        <f>SUM(D160:D162)</f>
        <v>764864</v>
      </c>
      <c r="E159" s="32">
        <f t="shared" ref="E159:L159" si="106">SUM(E160:E162)</f>
        <v>21192</v>
      </c>
      <c r="F159" s="27">
        <f t="shared" si="106"/>
        <v>2440</v>
      </c>
      <c r="G159" s="32">
        <f t="shared" si="106"/>
        <v>0</v>
      </c>
      <c r="H159" s="27">
        <f t="shared" si="106"/>
        <v>376143</v>
      </c>
      <c r="I159" s="32">
        <f t="shared" si="106"/>
        <v>431040</v>
      </c>
      <c r="J159" s="27">
        <f t="shared" si="106"/>
        <v>0</v>
      </c>
      <c r="K159" s="32">
        <f t="shared" si="106"/>
        <v>0</v>
      </c>
      <c r="L159" s="23">
        <f t="shared" si="106"/>
        <v>108233</v>
      </c>
    </row>
    <row r="160" spans="1:12" ht="25.5" x14ac:dyDescent="0.25">
      <c r="A160" s="68" t="s">
        <v>267</v>
      </c>
      <c r="B160" s="26" t="s">
        <v>359</v>
      </c>
      <c r="C160" s="23">
        <f t="shared" si="98"/>
        <v>714468</v>
      </c>
      <c r="D160" s="69">
        <v>693572</v>
      </c>
      <c r="E160" s="11">
        <v>19518</v>
      </c>
      <c r="F160" s="67">
        <v>0</v>
      </c>
      <c r="G160" s="11">
        <v>0</v>
      </c>
      <c r="H160" s="67">
        <v>0</v>
      </c>
      <c r="I160" s="11">
        <v>0</v>
      </c>
      <c r="J160" s="67">
        <v>0</v>
      </c>
      <c r="K160" s="11">
        <v>0</v>
      </c>
      <c r="L160" s="69">
        <v>1378</v>
      </c>
    </row>
    <row r="161" spans="1:12" ht="25.5" x14ac:dyDescent="0.25">
      <c r="A161" s="65" t="s">
        <v>268</v>
      </c>
      <c r="B161" s="66" t="s">
        <v>360</v>
      </c>
      <c r="C161" s="27">
        <f t="shared" si="98"/>
        <v>912317</v>
      </c>
      <c r="D161" s="67">
        <v>0</v>
      </c>
      <c r="E161" s="11">
        <v>0</v>
      </c>
      <c r="F161" s="67">
        <v>0</v>
      </c>
      <c r="G161" s="11">
        <v>0</v>
      </c>
      <c r="H161" s="67">
        <v>376143</v>
      </c>
      <c r="I161" s="11">
        <v>431040</v>
      </c>
      <c r="J161" s="67">
        <v>0</v>
      </c>
      <c r="K161" s="11">
        <v>0</v>
      </c>
      <c r="L161" s="67">
        <v>105134</v>
      </c>
    </row>
    <row r="162" spans="1:12" ht="38.25" x14ac:dyDescent="0.25">
      <c r="A162" s="68" t="s">
        <v>269</v>
      </c>
      <c r="B162" s="26" t="s">
        <v>361</v>
      </c>
      <c r="C162" s="23">
        <f t="shared" si="98"/>
        <v>77127</v>
      </c>
      <c r="D162" s="69">
        <v>71292</v>
      </c>
      <c r="E162" s="11">
        <v>1674</v>
      </c>
      <c r="F162" s="67">
        <v>2440</v>
      </c>
      <c r="G162" s="11">
        <v>0</v>
      </c>
      <c r="H162" s="67">
        <v>0</v>
      </c>
      <c r="I162" s="11">
        <v>0</v>
      </c>
      <c r="J162" s="67">
        <v>0</v>
      </c>
      <c r="K162" s="11">
        <v>0</v>
      </c>
      <c r="L162" s="69">
        <v>1721</v>
      </c>
    </row>
    <row r="163" spans="1:12" ht="25.5" x14ac:dyDescent="0.25">
      <c r="A163" s="63" t="s">
        <v>827</v>
      </c>
      <c r="B163" s="64" t="s">
        <v>830</v>
      </c>
      <c r="C163" s="23">
        <f>SUM(D163:L163)</f>
        <v>2420</v>
      </c>
      <c r="D163" s="23">
        <f t="shared" ref="D163:L163" si="107">D164</f>
        <v>0</v>
      </c>
      <c r="E163" s="32">
        <f t="shared" si="107"/>
        <v>350</v>
      </c>
      <c r="F163" s="27">
        <f t="shared" si="107"/>
        <v>0</v>
      </c>
      <c r="G163" s="32">
        <f t="shared" si="107"/>
        <v>0</v>
      </c>
      <c r="H163" s="27">
        <f t="shared" si="107"/>
        <v>0</v>
      </c>
      <c r="I163" s="32">
        <f t="shared" si="107"/>
        <v>2070</v>
      </c>
      <c r="J163" s="27">
        <f t="shared" si="107"/>
        <v>0</v>
      </c>
      <c r="K163" s="32">
        <f t="shared" si="107"/>
        <v>0</v>
      </c>
      <c r="L163" s="23">
        <f t="shared" si="107"/>
        <v>0</v>
      </c>
    </row>
    <row r="164" spans="1:12" x14ac:dyDescent="0.25">
      <c r="A164" s="68" t="s">
        <v>828</v>
      </c>
      <c r="B164" s="26" t="s">
        <v>829</v>
      </c>
      <c r="C164" s="23">
        <f t="shared" si="98"/>
        <v>2420</v>
      </c>
      <c r="D164" s="69">
        <v>0</v>
      </c>
      <c r="E164" s="11">
        <v>350</v>
      </c>
      <c r="F164" s="67">
        <v>0</v>
      </c>
      <c r="G164" s="11">
        <v>0</v>
      </c>
      <c r="H164" s="67">
        <v>0</v>
      </c>
      <c r="I164" s="11">
        <v>2070</v>
      </c>
      <c r="J164" s="67">
        <v>0</v>
      </c>
      <c r="K164" s="11">
        <v>0</v>
      </c>
      <c r="L164" s="69">
        <v>0</v>
      </c>
    </row>
    <row r="165" spans="1:12" x14ac:dyDescent="0.25">
      <c r="A165" s="95" t="s">
        <v>50</v>
      </c>
      <c r="B165" s="96" t="s">
        <v>124</v>
      </c>
      <c r="C165" s="103">
        <f>SUM(D165:L165)</f>
        <v>4875084</v>
      </c>
      <c r="D165" s="103">
        <f>D166+D175+D178+D182+D184+D186+D193</f>
        <v>4806862</v>
      </c>
      <c r="E165" s="104">
        <f t="shared" ref="E165:L165" si="108">E166+E175+E178+E183+E185+E186+E193</f>
        <v>-670000</v>
      </c>
      <c r="F165" s="103">
        <f t="shared" si="108"/>
        <v>43676</v>
      </c>
      <c r="G165" s="104">
        <f t="shared" si="108"/>
        <v>1336</v>
      </c>
      <c r="H165" s="103">
        <f t="shared" si="108"/>
        <v>545905</v>
      </c>
      <c r="I165" s="104">
        <f t="shared" si="108"/>
        <v>50004</v>
      </c>
      <c r="J165" s="103">
        <f t="shared" si="108"/>
        <v>7199</v>
      </c>
      <c r="K165" s="104">
        <f t="shared" si="108"/>
        <v>0</v>
      </c>
      <c r="L165" s="103">
        <f t="shared" si="108"/>
        <v>90102</v>
      </c>
    </row>
    <row r="166" spans="1:12" ht="25.5" x14ac:dyDescent="0.25">
      <c r="A166" s="63" t="s">
        <v>280</v>
      </c>
      <c r="B166" s="64" t="s">
        <v>318</v>
      </c>
      <c r="C166" s="23">
        <f>SUM(D166:L166)</f>
        <v>992497</v>
      </c>
      <c r="D166" s="23">
        <f t="shared" ref="D166:L166" si="109">SUM(D167:D174)</f>
        <v>408088</v>
      </c>
      <c r="E166" s="24">
        <f t="shared" si="109"/>
        <v>-32822</v>
      </c>
      <c r="F166" s="23">
        <f t="shared" si="109"/>
        <v>26438</v>
      </c>
      <c r="G166" s="24">
        <f t="shared" si="109"/>
        <v>0</v>
      </c>
      <c r="H166" s="23">
        <f t="shared" si="109"/>
        <v>484333</v>
      </c>
      <c r="I166" s="24">
        <f t="shared" si="109"/>
        <v>48000</v>
      </c>
      <c r="J166" s="23">
        <f t="shared" si="109"/>
        <v>7024</v>
      </c>
      <c r="K166" s="24">
        <f t="shared" si="109"/>
        <v>0</v>
      </c>
      <c r="L166" s="23">
        <f t="shared" si="109"/>
        <v>51436</v>
      </c>
    </row>
    <row r="167" spans="1:12" ht="38.25" x14ac:dyDescent="0.25">
      <c r="A167" s="68" t="s">
        <v>281</v>
      </c>
      <c r="B167" s="26" t="s">
        <v>367</v>
      </c>
      <c r="C167" s="23">
        <f>SUM(D167:L167)</f>
        <v>418719</v>
      </c>
      <c r="D167" s="69">
        <v>108370</v>
      </c>
      <c r="E167" s="11">
        <v>4678</v>
      </c>
      <c r="F167" s="67">
        <v>0</v>
      </c>
      <c r="G167" s="11">
        <v>0</v>
      </c>
      <c r="H167" s="67">
        <v>305100</v>
      </c>
      <c r="I167" s="11">
        <v>0</v>
      </c>
      <c r="J167" s="69">
        <v>0</v>
      </c>
      <c r="K167" s="11">
        <v>0</v>
      </c>
      <c r="L167" s="69">
        <v>571</v>
      </c>
    </row>
    <row r="168" spans="1:12" x14ac:dyDescent="0.25">
      <c r="A168" s="68" t="s">
        <v>282</v>
      </c>
      <c r="B168" s="26" t="s">
        <v>425</v>
      </c>
      <c r="C168" s="23">
        <f t="shared" ref="C168:C181" si="110">SUM(D168:L168)</f>
        <v>89101</v>
      </c>
      <c r="D168" s="69">
        <v>73177</v>
      </c>
      <c r="E168" s="11">
        <v>0</v>
      </c>
      <c r="F168" s="67">
        <v>6443</v>
      </c>
      <c r="G168" s="11">
        <v>0</v>
      </c>
      <c r="H168" s="67">
        <v>0</v>
      </c>
      <c r="I168" s="11">
        <v>0</v>
      </c>
      <c r="J168" s="69">
        <v>7024</v>
      </c>
      <c r="K168" s="11">
        <v>0</v>
      </c>
      <c r="L168" s="69">
        <v>2457</v>
      </c>
    </row>
    <row r="169" spans="1:12" x14ac:dyDescent="0.25">
      <c r="A169" s="68" t="s">
        <v>283</v>
      </c>
      <c r="B169" s="26" t="s">
        <v>302</v>
      </c>
      <c r="C169" s="23">
        <f t="shared" si="110"/>
        <v>76015</v>
      </c>
      <c r="D169" s="69">
        <v>65666</v>
      </c>
      <c r="E169" s="11">
        <v>0</v>
      </c>
      <c r="F169" s="67">
        <v>7394</v>
      </c>
      <c r="G169" s="11">
        <v>0</v>
      </c>
      <c r="H169" s="67">
        <v>0</v>
      </c>
      <c r="I169" s="11">
        <v>0</v>
      </c>
      <c r="J169" s="69">
        <v>0</v>
      </c>
      <c r="K169" s="11">
        <v>0</v>
      </c>
      <c r="L169" s="69">
        <v>2955</v>
      </c>
    </row>
    <row r="170" spans="1:12" x14ac:dyDescent="0.25">
      <c r="A170" s="68" t="s">
        <v>284</v>
      </c>
      <c r="B170" s="26" t="s">
        <v>303</v>
      </c>
      <c r="C170" s="23">
        <f t="shared" si="110"/>
        <v>68757</v>
      </c>
      <c r="D170" s="69">
        <v>54878</v>
      </c>
      <c r="E170" s="11">
        <v>0</v>
      </c>
      <c r="F170" s="67">
        <v>7426</v>
      </c>
      <c r="G170" s="11">
        <v>0</v>
      </c>
      <c r="H170" s="67">
        <v>0</v>
      </c>
      <c r="I170" s="11">
        <v>0</v>
      </c>
      <c r="J170" s="69">
        <v>0</v>
      </c>
      <c r="K170" s="11">
        <v>0</v>
      </c>
      <c r="L170" s="69">
        <v>6453</v>
      </c>
    </row>
    <row r="171" spans="1:12" x14ac:dyDescent="0.25">
      <c r="A171" s="68" t="s">
        <v>285</v>
      </c>
      <c r="B171" s="26" t="s">
        <v>304</v>
      </c>
      <c r="C171" s="23">
        <f t="shared" si="110"/>
        <v>107204</v>
      </c>
      <c r="D171" s="69">
        <f>53593-7596</f>
        <v>45997</v>
      </c>
      <c r="E171" s="11">
        <v>0</v>
      </c>
      <c r="F171" s="67">
        <v>5175</v>
      </c>
      <c r="G171" s="11">
        <v>0</v>
      </c>
      <c r="H171" s="67">
        <f>44355+9446</f>
        <v>53801</v>
      </c>
      <c r="I171" s="11">
        <v>0</v>
      </c>
      <c r="J171" s="67">
        <v>0</v>
      </c>
      <c r="K171" s="11">
        <v>0</v>
      </c>
      <c r="L171" s="69">
        <v>2231</v>
      </c>
    </row>
    <row r="172" spans="1:12" ht="25.5" x14ac:dyDescent="0.25">
      <c r="A172" s="68" t="s">
        <v>333</v>
      </c>
      <c r="B172" s="26" t="s">
        <v>407</v>
      </c>
      <c r="C172" s="23">
        <f t="shared" ref="C172:C173" si="111">SUM(D172:L172)</f>
        <v>110461</v>
      </c>
      <c r="D172" s="69">
        <v>60000</v>
      </c>
      <c r="E172" s="11">
        <v>-40000</v>
      </c>
      <c r="F172" s="67">
        <v>0</v>
      </c>
      <c r="G172" s="11">
        <v>0</v>
      </c>
      <c r="H172" s="67">
        <f>30585+17410</f>
        <v>47995</v>
      </c>
      <c r="I172" s="11">
        <v>10000</v>
      </c>
      <c r="J172" s="67">
        <v>0</v>
      </c>
      <c r="K172" s="11">
        <v>0</v>
      </c>
      <c r="L172" s="69">
        <v>32466</v>
      </c>
    </row>
    <row r="173" spans="1:12" ht="51" x14ac:dyDescent="0.25">
      <c r="A173" s="68" t="s">
        <v>420</v>
      </c>
      <c r="B173" s="26" t="s">
        <v>669</v>
      </c>
      <c r="C173" s="23">
        <f t="shared" si="111"/>
        <v>81740</v>
      </c>
      <c r="D173" s="69">
        <v>0</v>
      </c>
      <c r="E173" s="11">
        <v>0</v>
      </c>
      <c r="F173" s="67">
        <v>0</v>
      </c>
      <c r="G173" s="11">
        <v>0</v>
      </c>
      <c r="H173" s="67">
        <v>77437</v>
      </c>
      <c r="I173" s="11">
        <v>0</v>
      </c>
      <c r="J173" s="67">
        <v>0</v>
      </c>
      <c r="K173" s="11">
        <v>0</v>
      </c>
      <c r="L173" s="69">
        <v>4303</v>
      </c>
    </row>
    <row r="174" spans="1:12" ht="76.5" x14ac:dyDescent="0.25">
      <c r="A174" s="68" t="s">
        <v>831</v>
      </c>
      <c r="B174" s="26" t="s">
        <v>832</v>
      </c>
      <c r="C174" s="23">
        <f t="shared" ref="C174" si="112">SUM(D174:L174)</f>
        <v>40500</v>
      </c>
      <c r="D174" s="69">
        <v>0</v>
      </c>
      <c r="E174" s="11">
        <v>2500</v>
      </c>
      <c r="F174" s="67">
        <v>0</v>
      </c>
      <c r="G174" s="11">
        <v>0</v>
      </c>
      <c r="H174" s="67">
        <v>0</v>
      </c>
      <c r="I174" s="11">
        <v>38000</v>
      </c>
      <c r="J174" s="67">
        <v>0</v>
      </c>
      <c r="K174" s="11">
        <v>0</v>
      </c>
      <c r="L174" s="69">
        <v>0</v>
      </c>
    </row>
    <row r="175" spans="1:12" x14ac:dyDescent="0.25">
      <c r="A175" s="63" t="s">
        <v>286</v>
      </c>
      <c r="B175" s="64" t="s">
        <v>328</v>
      </c>
      <c r="C175" s="23">
        <f>SUM(D175:L175)</f>
        <v>495475</v>
      </c>
      <c r="D175" s="23">
        <f>SUM(D176:D177)</f>
        <v>492996</v>
      </c>
      <c r="E175" s="32">
        <f t="shared" ref="E175:L175" si="113">SUM(E176:E177)</f>
        <v>-7107</v>
      </c>
      <c r="F175" s="27">
        <f t="shared" si="113"/>
        <v>0</v>
      </c>
      <c r="G175" s="32">
        <f t="shared" si="113"/>
        <v>0</v>
      </c>
      <c r="H175" s="27">
        <f t="shared" si="113"/>
        <v>0</v>
      </c>
      <c r="I175" s="32">
        <f t="shared" si="113"/>
        <v>0</v>
      </c>
      <c r="J175" s="27">
        <f t="shared" si="113"/>
        <v>0</v>
      </c>
      <c r="K175" s="24">
        <f t="shared" si="113"/>
        <v>0</v>
      </c>
      <c r="L175" s="23">
        <f t="shared" si="113"/>
        <v>9586</v>
      </c>
    </row>
    <row r="176" spans="1:12" ht="22.5" customHeight="1" x14ac:dyDescent="0.25">
      <c r="A176" s="68" t="s">
        <v>287</v>
      </c>
      <c r="B176" s="26" t="s">
        <v>305</v>
      </c>
      <c r="C176" s="23">
        <f t="shared" si="110"/>
        <v>228305</v>
      </c>
      <c r="D176" s="69">
        <v>225379</v>
      </c>
      <c r="E176" s="11">
        <v>0</v>
      </c>
      <c r="F176" s="67">
        <v>0</v>
      </c>
      <c r="G176" s="11">
        <v>0</v>
      </c>
      <c r="H176" s="67">
        <v>0</v>
      </c>
      <c r="I176" s="11">
        <v>0</v>
      </c>
      <c r="J176" s="67">
        <v>0</v>
      </c>
      <c r="K176" s="11">
        <v>0</v>
      </c>
      <c r="L176" s="69">
        <v>2926</v>
      </c>
    </row>
    <row r="177" spans="1:12" x14ac:dyDescent="0.25">
      <c r="A177" s="68" t="s">
        <v>288</v>
      </c>
      <c r="B177" s="26" t="s">
        <v>306</v>
      </c>
      <c r="C177" s="23">
        <f t="shared" si="110"/>
        <v>267170</v>
      </c>
      <c r="D177" s="69">
        <v>267617</v>
      </c>
      <c r="E177" s="11">
        <v>-7107</v>
      </c>
      <c r="F177" s="67">
        <v>0</v>
      </c>
      <c r="G177" s="11">
        <v>0</v>
      </c>
      <c r="H177" s="67">
        <v>0</v>
      </c>
      <c r="I177" s="11">
        <v>0</v>
      </c>
      <c r="J177" s="67">
        <v>0</v>
      </c>
      <c r="K177" s="11">
        <v>0</v>
      </c>
      <c r="L177" s="69">
        <v>6660</v>
      </c>
    </row>
    <row r="178" spans="1:12" x14ac:dyDescent="0.25">
      <c r="A178" s="63" t="s">
        <v>289</v>
      </c>
      <c r="B178" s="64" t="s">
        <v>307</v>
      </c>
      <c r="C178" s="23">
        <f>SUM(D178:L178)</f>
        <v>1060385</v>
      </c>
      <c r="D178" s="23">
        <f>SUM(D179:D181)</f>
        <v>951480</v>
      </c>
      <c r="E178" s="32">
        <f t="shared" ref="E178:L178" si="114">SUM(E179:E181)</f>
        <v>65577</v>
      </c>
      <c r="F178" s="27">
        <f t="shared" si="114"/>
        <v>4398</v>
      </c>
      <c r="G178" s="32">
        <f t="shared" si="114"/>
        <v>1336</v>
      </c>
      <c r="H178" s="27">
        <f t="shared" si="114"/>
        <v>31345</v>
      </c>
      <c r="I178" s="32">
        <f t="shared" si="114"/>
        <v>1030</v>
      </c>
      <c r="J178" s="27">
        <f t="shared" si="114"/>
        <v>0</v>
      </c>
      <c r="K178" s="24">
        <f t="shared" si="114"/>
        <v>0</v>
      </c>
      <c r="L178" s="23">
        <f t="shared" si="114"/>
        <v>5219</v>
      </c>
    </row>
    <row r="179" spans="1:12" ht="38.25" x14ac:dyDescent="0.25">
      <c r="A179" s="68" t="s">
        <v>290</v>
      </c>
      <c r="B179" s="26" t="s">
        <v>308</v>
      </c>
      <c r="C179" s="23">
        <f t="shared" si="110"/>
        <v>874825</v>
      </c>
      <c r="D179" s="69">
        <f>762405+7596</f>
        <v>770001</v>
      </c>
      <c r="E179" s="11">
        <v>61577</v>
      </c>
      <c r="F179" s="67">
        <v>4398</v>
      </c>
      <c r="G179" s="11">
        <v>1336</v>
      </c>
      <c r="H179" s="67">
        <f>30058+1287</f>
        <v>31345</v>
      </c>
      <c r="I179" s="11">
        <v>1030</v>
      </c>
      <c r="J179" s="67">
        <v>0</v>
      </c>
      <c r="K179" s="11">
        <v>0</v>
      </c>
      <c r="L179" s="69">
        <v>5138</v>
      </c>
    </row>
    <row r="180" spans="1:12" ht="25.5" x14ac:dyDescent="0.25">
      <c r="A180" s="68" t="s">
        <v>291</v>
      </c>
      <c r="B180" s="26" t="s">
        <v>362</v>
      </c>
      <c r="C180" s="23">
        <f t="shared" si="110"/>
        <v>185560</v>
      </c>
      <c r="D180" s="69">
        <v>181479</v>
      </c>
      <c r="E180" s="11">
        <v>4000</v>
      </c>
      <c r="F180" s="67">
        <v>0</v>
      </c>
      <c r="G180" s="11">
        <v>0</v>
      </c>
      <c r="H180" s="67">
        <v>0</v>
      </c>
      <c r="I180" s="11">
        <v>0</v>
      </c>
      <c r="J180" s="67">
        <v>0</v>
      </c>
      <c r="K180" s="11">
        <v>0</v>
      </c>
      <c r="L180" s="69">
        <v>81</v>
      </c>
    </row>
    <row r="181" spans="1:12" hidden="1" x14ac:dyDescent="0.25">
      <c r="A181" s="58"/>
      <c r="B181" s="59"/>
      <c r="C181" s="80">
        <f t="shared" si="110"/>
        <v>0</v>
      </c>
      <c r="D181" s="83"/>
      <c r="E181" s="94"/>
      <c r="F181" s="83"/>
      <c r="G181" s="94"/>
      <c r="H181" s="83"/>
      <c r="I181" s="94"/>
      <c r="J181" s="83"/>
      <c r="K181" s="94"/>
      <c r="L181" s="83"/>
    </row>
    <row r="182" spans="1:12" x14ac:dyDescent="0.25">
      <c r="A182" s="63" t="s">
        <v>514</v>
      </c>
      <c r="B182" s="64" t="s">
        <v>309</v>
      </c>
      <c r="C182" s="23">
        <f>SUM(D182:L182)</f>
        <v>52686</v>
      </c>
      <c r="D182" s="23">
        <f>D183</f>
        <v>23000</v>
      </c>
      <c r="E182" s="24">
        <f t="shared" ref="E182:L182" si="115">E183</f>
        <v>0</v>
      </c>
      <c r="F182" s="23">
        <f t="shared" si="115"/>
        <v>0</v>
      </c>
      <c r="G182" s="24">
        <f t="shared" si="115"/>
        <v>0</v>
      </c>
      <c r="H182" s="23">
        <f t="shared" si="115"/>
        <v>29686</v>
      </c>
      <c r="I182" s="24">
        <f t="shared" si="115"/>
        <v>0</v>
      </c>
      <c r="J182" s="23">
        <f t="shared" si="115"/>
        <v>0</v>
      </c>
      <c r="K182" s="24">
        <f t="shared" si="115"/>
        <v>0</v>
      </c>
      <c r="L182" s="23">
        <f t="shared" si="115"/>
        <v>0</v>
      </c>
    </row>
    <row r="183" spans="1:12" x14ac:dyDescent="0.25">
      <c r="A183" s="68" t="s">
        <v>292</v>
      </c>
      <c r="B183" s="26" t="s">
        <v>309</v>
      </c>
      <c r="C183" s="23">
        <f>SUM(D183:L183)</f>
        <v>52686</v>
      </c>
      <c r="D183" s="69">
        <v>23000</v>
      </c>
      <c r="E183" s="11">
        <v>0</v>
      </c>
      <c r="F183" s="67">
        <v>0</v>
      </c>
      <c r="G183" s="11">
        <v>0</v>
      </c>
      <c r="H183" s="67">
        <v>29686</v>
      </c>
      <c r="I183" s="11">
        <v>0</v>
      </c>
      <c r="J183" s="67">
        <v>0</v>
      </c>
      <c r="K183" s="11">
        <v>0</v>
      </c>
      <c r="L183" s="69">
        <v>0</v>
      </c>
    </row>
    <row r="184" spans="1:12" x14ac:dyDescent="0.25">
      <c r="A184" s="63" t="s">
        <v>515</v>
      </c>
      <c r="B184" s="64" t="s">
        <v>516</v>
      </c>
      <c r="C184" s="23">
        <f>SUM(D184:L184)</f>
        <v>295000</v>
      </c>
      <c r="D184" s="23">
        <f>D185</f>
        <v>345000</v>
      </c>
      <c r="E184" s="24">
        <f t="shared" ref="E184:L184" si="116">E185</f>
        <v>-50000</v>
      </c>
      <c r="F184" s="23">
        <f t="shared" si="116"/>
        <v>0</v>
      </c>
      <c r="G184" s="24">
        <f t="shared" si="116"/>
        <v>0</v>
      </c>
      <c r="H184" s="23">
        <f t="shared" si="116"/>
        <v>0</v>
      </c>
      <c r="I184" s="24">
        <f t="shared" si="116"/>
        <v>0</v>
      </c>
      <c r="J184" s="23">
        <f t="shared" si="116"/>
        <v>0</v>
      </c>
      <c r="K184" s="24">
        <f t="shared" si="116"/>
        <v>0</v>
      </c>
      <c r="L184" s="23">
        <f t="shared" si="116"/>
        <v>0</v>
      </c>
    </row>
    <row r="185" spans="1:12" ht="35.25" customHeight="1" x14ac:dyDescent="0.25">
      <c r="A185" s="68" t="s">
        <v>293</v>
      </c>
      <c r="B185" s="26" t="s">
        <v>310</v>
      </c>
      <c r="C185" s="23">
        <f>SUM(D185:L185)</f>
        <v>295000</v>
      </c>
      <c r="D185" s="69">
        <v>345000</v>
      </c>
      <c r="E185" s="11">
        <v>-50000</v>
      </c>
      <c r="F185" s="67">
        <v>0</v>
      </c>
      <c r="G185" s="11">
        <v>0</v>
      </c>
      <c r="H185" s="67">
        <v>0</v>
      </c>
      <c r="I185" s="11">
        <v>0</v>
      </c>
      <c r="J185" s="67">
        <v>0</v>
      </c>
      <c r="K185" s="11">
        <v>0</v>
      </c>
      <c r="L185" s="69">
        <v>0</v>
      </c>
    </row>
    <row r="186" spans="1:12" ht="27.75" customHeight="1" x14ac:dyDescent="0.25">
      <c r="A186" s="63" t="s">
        <v>294</v>
      </c>
      <c r="B186" s="64" t="s">
        <v>311</v>
      </c>
      <c r="C186" s="23">
        <f>SUM(D186:L186)</f>
        <v>661999</v>
      </c>
      <c r="D186" s="23">
        <f>SUM(D187:D192)</f>
        <v>1302229</v>
      </c>
      <c r="E186" s="32">
        <f t="shared" ref="E186:L186" si="117">SUM(E187:E192)</f>
        <v>-660398</v>
      </c>
      <c r="F186" s="27">
        <f t="shared" si="117"/>
        <v>12740</v>
      </c>
      <c r="G186" s="32">
        <f t="shared" si="117"/>
        <v>0</v>
      </c>
      <c r="H186" s="27">
        <f t="shared" si="117"/>
        <v>541</v>
      </c>
      <c r="I186" s="32">
        <f t="shared" si="117"/>
        <v>974</v>
      </c>
      <c r="J186" s="27">
        <f t="shared" si="117"/>
        <v>175</v>
      </c>
      <c r="K186" s="24">
        <f t="shared" si="117"/>
        <v>0</v>
      </c>
      <c r="L186" s="23">
        <f t="shared" si="117"/>
        <v>5738</v>
      </c>
    </row>
    <row r="187" spans="1:12" x14ac:dyDescent="0.25">
      <c r="A187" s="68" t="s">
        <v>295</v>
      </c>
      <c r="B187" s="26" t="s">
        <v>312</v>
      </c>
      <c r="C187" s="23">
        <f t="shared" ref="C187:C197" si="118">SUM(D187:L187)</f>
        <v>15677</v>
      </c>
      <c r="D187" s="69">
        <v>15677</v>
      </c>
      <c r="E187" s="11">
        <v>0</v>
      </c>
      <c r="F187" s="67">
        <v>0</v>
      </c>
      <c r="G187" s="11">
        <v>0</v>
      </c>
      <c r="H187" s="67">
        <v>0</v>
      </c>
      <c r="I187" s="11">
        <v>0</v>
      </c>
      <c r="J187" s="67">
        <v>0</v>
      </c>
      <c r="K187" s="11">
        <v>0</v>
      </c>
      <c r="L187" s="69">
        <v>0</v>
      </c>
    </row>
    <row r="188" spans="1:12" ht="53.25" customHeight="1" x14ac:dyDescent="0.25">
      <c r="A188" s="68" t="s">
        <v>296</v>
      </c>
      <c r="B188" s="26" t="s">
        <v>366</v>
      </c>
      <c r="C188" s="23">
        <f t="shared" si="118"/>
        <v>68309</v>
      </c>
      <c r="D188" s="69">
        <v>66794</v>
      </c>
      <c r="E188" s="11">
        <v>0</v>
      </c>
      <c r="F188" s="67">
        <v>0</v>
      </c>
      <c r="G188" s="11">
        <v>0</v>
      </c>
      <c r="H188" s="67">
        <f>541</f>
        <v>541</v>
      </c>
      <c r="I188" s="11">
        <v>974</v>
      </c>
      <c r="J188" s="67">
        <v>0</v>
      </c>
      <c r="K188" s="11">
        <v>0</v>
      </c>
      <c r="L188" s="69">
        <v>0</v>
      </c>
    </row>
    <row r="189" spans="1:12" x14ac:dyDescent="0.25">
      <c r="A189" s="68" t="s">
        <v>297</v>
      </c>
      <c r="B189" s="26" t="s">
        <v>313</v>
      </c>
      <c r="C189" s="23">
        <f t="shared" si="118"/>
        <v>89649</v>
      </c>
      <c r="D189" s="69">
        <v>81040</v>
      </c>
      <c r="E189" s="11">
        <v>0</v>
      </c>
      <c r="F189" s="67">
        <v>6640</v>
      </c>
      <c r="G189" s="11">
        <v>0</v>
      </c>
      <c r="H189" s="67">
        <v>0</v>
      </c>
      <c r="I189" s="11">
        <v>0</v>
      </c>
      <c r="J189" s="67">
        <v>175</v>
      </c>
      <c r="K189" s="11">
        <v>0</v>
      </c>
      <c r="L189" s="69">
        <v>1794</v>
      </c>
    </row>
    <row r="190" spans="1:12" x14ac:dyDescent="0.25">
      <c r="A190" s="68" t="s">
        <v>298</v>
      </c>
      <c r="B190" s="26" t="s">
        <v>314</v>
      </c>
      <c r="C190" s="23">
        <f t="shared" ref="C190" si="119">SUM(D190:L190)</f>
        <v>15240</v>
      </c>
      <c r="D190" s="69">
        <v>12240</v>
      </c>
      <c r="E190" s="11">
        <v>0</v>
      </c>
      <c r="F190" s="67">
        <v>3000</v>
      </c>
      <c r="G190" s="11">
        <v>0</v>
      </c>
      <c r="H190" s="67">
        <v>0</v>
      </c>
      <c r="I190" s="11">
        <v>0</v>
      </c>
      <c r="J190" s="67">
        <v>0</v>
      </c>
      <c r="K190" s="11">
        <v>0</v>
      </c>
      <c r="L190" s="69">
        <v>0</v>
      </c>
    </row>
    <row r="191" spans="1:12" ht="25.5" x14ac:dyDescent="0.25">
      <c r="A191" s="68" t="s">
        <v>517</v>
      </c>
      <c r="B191" s="26" t="s">
        <v>518</v>
      </c>
      <c r="C191" s="23">
        <f t="shared" si="118"/>
        <v>273124</v>
      </c>
      <c r="D191" s="69">
        <v>326478</v>
      </c>
      <c r="E191" s="11">
        <v>-60398</v>
      </c>
      <c r="F191" s="67">
        <v>3100</v>
      </c>
      <c r="G191" s="11">
        <v>0</v>
      </c>
      <c r="H191" s="67">
        <v>0</v>
      </c>
      <c r="I191" s="11">
        <v>0</v>
      </c>
      <c r="J191" s="67">
        <v>0</v>
      </c>
      <c r="K191" s="11">
        <v>0</v>
      </c>
      <c r="L191" s="69">
        <v>3944</v>
      </c>
    </row>
    <row r="192" spans="1:12" ht="38.25" x14ac:dyDescent="0.25">
      <c r="A192" s="68" t="s">
        <v>519</v>
      </c>
      <c r="B192" s="26" t="s">
        <v>520</v>
      </c>
      <c r="C192" s="23">
        <f t="shared" si="118"/>
        <v>200000</v>
      </c>
      <c r="D192" s="69">
        <f>200000+600000</f>
        <v>800000</v>
      </c>
      <c r="E192" s="11">
        <v>-600000</v>
      </c>
      <c r="F192" s="67">
        <v>0</v>
      </c>
      <c r="G192" s="11">
        <v>0</v>
      </c>
      <c r="H192" s="67">
        <v>0</v>
      </c>
      <c r="I192" s="11">
        <v>0</v>
      </c>
      <c r="J192" s="67">
        <v>0</v>
      </c>
      <c r="K192" s="11">
        <v>0</v>
      </c>
      <c r="L192" s="69">
        <v>0</v>
      </c>
    </row>
    <row r="193" spans="1:12" ht="25.5" x14ac:dyDescent="0.25">
      <c r="A193" s="63" t="s">
        <v>299</v>
      </c>
      <c r="B193" s="64" t="s">
        <v>315</v>
      </c>
      <c r="C193" s="23">
        <f>SUM(D193:L193)</f>
        <v>1317042</v>
      </c>
      <c r="D193" s="23">
        <f>SUM(D194:D197)</f>
        <v>1284069</v>
      </c>
      <c r="E193" s="32">
        <f t="shared" ref="E193:L193" si="120">SUM(E194:E197)</f>
        <v>14750</v>
      </c>
      <c r="F193" s="27">
        <f t="shared" si="120"/>
        <v>100</v>
      </c>
      <c r="G193" s="32">
        <f t="shared" si="120"/>
        <v>0</v>
      </c>
      <c r="H193" s="27">
        <f t="shared" si="120"/>
        <v>0</v>
      </c>
      <c r="I193" s="32">
        <f t="shared" si="120"/>
        <v>0</v>
      </c>
      <c r="J193" s="27">
        <f t="shared" si="120"/>
        <v>0</v>
      </c>
      <c r="K193" s="24">
        <f t="shared" si="120"/>
        <v>0</v>
      </c>
      <c r="L193" s="23">
        <f t="shared" si="120"/>
        <v>18123</v>
      </c>
    </row>
    <row r="194" spans="1:12" ht="38.25" x14ac:dyDescent="0.25">
      <c r="A194" s="68" t="s">
        <v>316</v>
      </c>
      <c r="B194" s="26" t="s">
        <v>363</v>
      </c>
      <c r="C194" s="23">
        <f t="shared" si="118"/>
        <v>1059842</v>
      </c>
      <c r="D194" s="69">
        <v>1037725</v>
      </c>
      <c r="E194" s="11">
        <v>14750</v>
      </c>
      <c r="F194" s="67">
        <v>100</v>
      </c>
      <c r="G194" s="11">
        <v>0</v>
      </c>
      <c r="H194" s="67">
        <v>0</v>
      </c>
      <c r="I194" s="11">
        <v>0</v>
      </c>
      <c r="J194" s="67">
        <v>0</v>
      </c>
      <c r="K194" s="11">
        <v>0</v>
      </c>
      <c r="L194" s="69">
        <v>7267</v>
      </c>
    </row>
    <row r="195" spans="1:12" ht="25.5" x14ac:dyDescent="0.25">
      <c r="A195" s="68" t="s">
        <v>300</v>
      </c>
      <c r="B195" s="26" t="s">
        <v>329</v>
      </c>
      <c r="C195" s="23">
        <f t="shared" ref="C195:C196" si="121">SUM(D195:L195)</f>
        <v>7200</v>
      </c>
      <c r="D195" s="69">
        <v>7200</v>
      </c>
      <c r="E195" s="11">
        <v>0</v>
      </c>
      <c r="F195" s="67">
        <v>0</v>
      </c>
      <c r="G195" s="11">
        <v>0</v>
      </c>
      <c r="H195" s="67">
        <v>0</v>
      </c>
      <c r="I195" s="11">
        <v>0</v>
      </c>
      <c r="J195" s="67">
        <v>0</v>
      </c>
      <c r="K195" s="11">
        <v>0</v>
      </c>
      <c r="L195" s="69">
        <v>0</v>
      </c>
    </row>
    <row r="196" spans="1:12" ht="38.25" x14ac:dyDescent="0.25">
      <c r="A196" s="68" t="s">
        <v>301</v>
      </c>
      <c r="B196" s="26" t="s">
        <v>317</v>
      </c>
      <c r="C196" s="23">
        <f t="shared" si="121"/>
        <v>250000</v>
      </c>
      <c r="D196" s="69">
        <v>239144</v>
      </c>
      <c r="E196" s="11">
        <v>0</v>
      </c>
      <c r="F196" s="69">
        <v>0</v>
      </c>
      <c r="G196" s="11">
        <v>0</v>
      </c>
      <c r="H196" s="69">
        <v>0</v>
      </c>
      <c r="I196" s="11">
        <v>0</v>
      </c>
      <c r="J196" s="69">
        <v>0</v>
      </c>
      <c r="K196" s="11">
        <v>0</v>
      </c>
      <c r="L196" s="69">
        <v>10856</v>
      </c>
    </row>
    <row r="197" spans="1:12" hidden="1" x14ac:dyDescent="0.25">
      <c r="A197" s="58"/>
      <c r="B197" s="59"/>
      <c r="C197" s="80">
        <f t="shared" si="118"/>
        <v>0</v>
      </c>
      <c r="D197" s="83"/>
      <c r="E197" s="94"/>
      <c r="F197" s="83"/>
      <c r="G197" s="94"/>
      <c r="H197" s="83"/>
      <c r="I197" s="94"/>
      <c r="J197" s="83"/>
      <c r="K197" s="94"/>
      <c r="L197" s="83"/>
    </row>
    <row r="198" spans="1:12" x14ac:dyDescent="0.25">
      <c r="A198" s="88"/>
      <c r="B198" s="31" t="s">
        <v>113</v>
      </c>
      <c r="C198" s="29">
        <f>SUM(D198:L198)</f>
        <v>6929533</v>
      </c>
      <c r="D198" s="29">
        <f>D199+D200+D206</f>
        <v>1271178</v>
      </c>
      <c r="E198" s="29">
        <f t="shared" ref="E198:L198" si="122">E199+E200+E206</f>
        <v>-162640</v>
      </c>
      <c r="F198" s="29">
        <f t="shared" si="122"/>
        <v>0</v>
      </c>
      <c r="G198" s="29">
        <f t="shared" si="122"/>
        <v>0</v>
      </c>
      <c r="H198" s="29">
        <f t="shared" si="122"/>
        <v>4811757</v>
      </c>
      <c r="I198" s="29">
        <f t="shared" si="122"/>
        <v>149930</v>
      </c>
      <c r="J198" s="29">
        <f t="shared" si="122"/>
        <v>0</v>
      </c>
      <c r="K198" s="29">
        <f t="shared" si="122"/>
        <v>0</v>
      </c>
      <c r="L198" s="29">
        <f t="shared" si="122"/>
        <v>859308</v>
      </c>
    </row>
    <row r="199" spans="1:12" ht="25.5" x14ac:dyDescent="0.25">
      <c r="A199" s="63" t="s">
        <v>114</v>
      </c>
      <c r="B199" s="64" t="s">
        <v>125</v>
      </c>
      <c r="C199" s="23">
        <f>SUM(D199:L199)</f>
        <v>5312240</v>
      </c>
      <c r="D199" s="23">
        <v>0</v>
      </c>
      <c r="E199" s="11">
        <v>0</v>
      </c>
      <c r="F199" s="27">
        <v>0</v>
      </c>
      <c r="G199" s="11">
        <v>0</v>
      </c>
      <c r="H199" s="27">
        <v>4303002</v>
      </c>
      <c r="I199" s="11">
        <v>149930</v>
      </c>
      <c r="J199" s="27">
        <v>0</v>
      </c>
      <c r="K199" s="11">
        <v>0</v>
      </c>
      <c r="L199" s="23">
        <v>859308</v>
      </c>
    </row>
    <row r="200" spans="1:12" ht="25.5" x14ac:dyDescent="0.25">
      <c r="A200" s="63" t="s">
        <v>115</v>
      </c>
      <c r="B200" s="64" t="s">
        <v>126</v>
      </c>
      <c r="C200" s="23">
        <f>SUM(D200:L200)</f>
        <v>1271178</v>
      </c>
      <c r="D200" s="23">
        <f>SUM(D201:D205)</f>
        <v>1271178</v>
      </c>
      <c r="E200" s="32">
        <f t="shared" ref="E200:L200" si="123">SUM(E201:E205)</f>
        <v>0</v>
      </c>
      <c r="F200" s="27">
        <f t="shared" si="123"/>
        <v>0</v>
      </c>
      <c r="G200" s="32">
        <f t="shared" si="123"/>
        <v>0</v>
      </c>
      <c r="H200" s="27">
        <f t="shared" si="123"/>
        <v>0</v>
      </c>
      <c r="I200" s="32">
        <f t="shared" si="123"/>
        <v>0</v>
      </c>
      <c r="J200" s="27">
        <f t="shared" si="123"/>
        <v>0</v>
      </c>
      <c r="K200" s="24">
        <f t="shared" si="123"/>
        <v>0</v>
      </c>
      <c r="L200" s="23">
        <f t="shared" si="123"/>
        <v>0</v>
      </c>
    </row>
    <row r="201" spans="1:12" ht="25.5" hidden="1" x14ac:dyDescent="0.25">
      <c r="A201" s="75"/>
      <c r="B201" s="26" t="s">
        <v>364</v>
      </c>
      <c r="C201" s="23">
        <f t="shared" ref="C201:C205" si="124">SUM(D201:L201)</f>
        <v>0</v>
      </c>
      <c r="D201" s="69">
        <v>0</v>
      </c>
      <c r="E201" s="11">
        <v>0</v>
      </c>
      <c r="F201" s="69">
        <v>0</v>
      </c>
      <c r="G201" s="12">
        <v>0</v>
      </c>
      <c r="H201" s="69">
        <v>0</v>
      </c>
      <c r="I201" s="12">
        <v>0</v>
      </c>
      <c r="J201" s="69">
        <v>0</v>
      </c>
      <c r="K201" s="12">
        <v>0</v>
      </c>
      <c r="L201" s="110">
        <v>0</v>
      </c>
    </row>
    <row r="202" spans="1:12" x14ac:dyDescent="0.25">
      <c r="A202" s="75"/>
      <c r="B202" s="26" t="s">
        <v>340</v>
      </c>
      <c r="C202" s="23">
        <f t="shared" si="124"/>
        <v>720697</v>
      </c>
      <c r="D202" s="69">
        <v>720697</v>
      </c>
      <c r="E202" s="11">
        <v>0</v>
      </c>
      <c r="F202" s="69">
        <v>0</v>
      </c>
      <c r="G202" s="12">
        <v>0</v>
      </c>
      <c r="H202" s="69">
        <v>0</v>
      </c>
      <c r="I202" s="12">
        <v>0</v>
      </c>
      <c r="J202" s="69">
        <v>0</v>
      </c>
      <c r="K202" s="12">
        <v>0</v>
      </c>
      <c r="L202" s="110">
        <v>0</v>
      </c>
    </row>
    <row r="203" spans="1:12" ht="16.5" customHeight="1" x14ac:dyDescent="0.25">
      <c r="A203" s="75"/>
      <c r="B203" s="26" t="s">
        <v>339</v>
      </c>
      <c r="C203" s="23">
        <f t="shared" si="124"/>
        <v>550481</v>
      </c>
      <c r="D203" s="69">
        <v>550481</v>
      </c>
      <c r="E203" s="11">
        <v>0</v>
      </c>
      <c r="F203" s="67">
        <v>0</v>
      </c>
      <c r="G203" s="11">
        <v>0</v>
      </c>
      <c r="H203" s="67">
        <v>0</v>
      </c>
      <c r="I203" s="12">
        <v>0</v>
      </c>
      <c r="J203" s="69">
        <v>0</v>
      </c>
      <c r="K203" s="12">
        <v>0</v>
      </c>
      <c r="L203" s="110">
        <v>0</v>
      </c>
    </row>
    <row r="204" spans="1:12" hidden="1" x14ac:dyDescent="0.25">
      <c r="A204" s="75"/>
      <c r="B204" s="26" t="s">
        <v>337</v>
      </c>
      <c r="C204" s="23">
        <f t="shared" si="124"/>
        <v>0</v>
      </c>
      <c r="D204" s="69">
        <v>0</v>
      </c>
      <c r="E204" s="11">
        <v>0</v>
      </c>
      <c r="F204" s="67">
        <v>0</v>
      </c>
      <c r="G204" s="11">
        <v>0</v>
      </c>
      <c r="H204" s="67">
        <v>0</v>
      </c>
      <c r="I204" s="12">
        <v>0</v>
      </c>
      <c r="J204" s="69">
        <v>0</v>
      </c>
      <c r="K204" s="12">
        <v>0</v>
      </c>
      <c r="L204" s="110">
        <v>0</v>
      </c>
    </row>
    <row r="205" spans="1:12" hidden="1" x14ac:dyDescent="0.25">
      <c r="A205" s="75"/>
      <c r="B205" s="26" t="s">
        <v>336</v>
      </c>
      <c r="C205" s="23">
        <f t="shared" si="124"/>
        <v>0</v>
      </c>
      <c r="D205" s="69">
        <v>0</v>
      </c>
      <c r="E205" s="11">
        <v>0</v>
      </c>
      <c r="F205" s="67">
        <v>0</v>
      </c>
      <c r="G205" s="11">
        <v>0</v>
      </c>
      <c r="H205" s="67">
        <v>0</v>
      </c>
      <c r="I205" s="12">
        <v>0</v>
      </c>
      <c r="J205" s="69">
        <v>0</v>
      </c>
      <c r="K205" s="12">
        <v>0</v>
      </c>
      <c r="L205" s="110">
        <v>0</v>
      </c>
    </row>
    <row r="206" spans="1:12" ht="25.5" x14ac:dyDescent="0.25">
      <c r="A206" s="63" t="s">
        <v>94</v>
      </c>
      <c r="B206" s="64" t="s">
        <v>128</v>
      </c>
      <c r="C206" s="23">
        <f>SUM(D206:L206)</f>
        <v>346115</v>
      </c>
      <c r="D206" s="106">
        <f>233311+31280-268252+3661</f>
        <v>0</v>
      </c>
      <c r="E206" s="124">
        <f>-145640-7000-10000</f>
        <v>-162640</v>
      </c>
      <c r="F206" s="118">
        <v>0</v>
      </c>
      <c r="G206" s="124">
        <v>0</v>
      </c>
      <c r="H206" s="118">
        <f>1013342-500926-3661</f>
        <v>508755</v>
      </c>
      <c r="I206" s="124">
        <v>0</v>
      </c>
      <c r="J206" s="106">
        <v>0</v>
      </c>
      <c r="K206" s="111">
        <v>0</v>
      </c>
      <c r="L206" s="106">
        <v>0</v>
      </c>
    </row>
    <row r="207" spans="1:12" x14ac:dyDescent="0.25">
      <c r="A207" s="60"/>
      <c r="B207" s="114" t="s">
        <v>319</v>
      </c>
      <c r="C207" s="112">
        <f>C11+C198</f>
        <v>117235510</v>
      </c>
      <c r="D207" s="112">
        <f>D11+D198</f>
        <v>65449427</v>
      </c>
      <c r="E207" s="113">
        <f>E11+E198</f>
        <v>-3198546</v>
      </c>
      <c r="F207" s="112">
        <f t="shared" ref="F207:L207" si="125">F11+F198</f>
        <v>1854983</v>
      </c>
      <c r="G207" s="113">
        <f t="shared" si="125"/>
        <v>91916</v>
      </c>
      <c r="H207" s="112">
        <f t="shared" si="125"/>
        <v>31924207</v>
      </c>
      <c r="I207" s="113">
        <f t="shared" si="125"/>
        <v>11942990</v>
      </c>
      <c r="J207" s="112">
        <f t="shared" si="125"/>
        <v>706635</v>
      </c>
      <c r="K207" s="113">
        <f t="shared" si="125"/>
        <v>0</v>
      </c>
      <c r="L207" s="112">
        <f t="shared" si="125"/>
        <v>8463898</v>
      </c>
    </row>
    <row r="208" spans="1:12" x14ac:dyDescent="0.25">
      <c r="A208" s="9"/>
      <c r="B208" s="8"/>
      <c r="C208" s="17"/>
      <c r="D208" s="9"/>
      <c r="E208" s="90"/>
      <c r="F208" s="9"/>
      <c r="G208" s="90"/>
      <c r="H208" s="9"/>
      <c r="I208" s="90"/>
      <c r="J208" s="9"/>
      <c r="K208" s="90"/>
    </row>
    <row r="209" spans="1:12" ht="18.75" x14ac:dyDescent="0.3">
      <c r="A209" s="381" t="s">
        <v>103</v>
      </c>
      <c r="B209" s="381"/>
      <c r="C209" s="33"/>
      <c r="D209" s="7"/>
      <c r="E209" s="91"/>
      <c r="F209" s="7"/>
      <c r="G209" s="92"/>
      <c r="H209" s="7"/>
      <c r="I209" s="92"/>
      <c r="J209" s="7"/>
      <c r="K209" s="382" t="s">
        <v>104</v>
      </c>
      <c r="L209" s="382"/>
    </row>
    <row r="210" spans="1:12" x14ac:dyDescent="0.25">
      <c r="A210" s="9"/>
      <c r="B210" s="8"/>
      <c r="C210" s="17"/>
      <c r="D210" s="9"/>
      <c r="E210" s="90"/>
      <c r="F210" s="9"/>
      <c r="G210" s="90"/>
      <c r="H210" s="9"/>
      <c r="I210" s="90"/>
      <c r="J210" s="9"/>
      <c r="K210" s="90"/>
    </row>
    <row r="211" spans="1:12" x14ac:dyDescent="0.25">
      <c r="A211" s="9"/>
      <c r="B211" s="8"/>
      <c r="C211" s="17"/>
      <c r="D211" s="9"/>
      <c r="E211" s="280"/>
      <c r="F211" s="9"/>
      <c r="G211" s="90"/>
      <c r="H211" s="9"/>
      <c r="I211" s="90"/>
      <c r="J211" s="9"/>
      <c r="K211" s="90"/>
    </row>
    <row r="212" spans="1:12" x14ac:dyDescent="0.25">
      <c r="A212" s="9"/>
      <c r="C212" s="17"/>
      <c r="D212" s="9"/>
      <c r="E212" s="90"/>
      <c r="F212" s="9"/>
      <c r="G212" s="90"/>
      <c r="H212" s="9"/>
      <c r="I212" s="90"/>
      <c r="J212" s="9"/>
      <c r="K212" s="90"/>
    </row>
    <row r="213" spans="1:12" x14ac:dyDescent="0.25">
      <c r="A213" s="9"/>
      <c r="C213" s="17"/>
      <c r="D213" s="9"/>
      <c r="E213" s="90"/>
      <c r="F213" s="9"/>
      <c r="G213" s="90"/>
      <c r="H213" s="9"/>
      <c r="I213" s="90"/>
      <c r="J213" s="9"/>
      <c r="K213" s="90"/>
    </row>
    <row r="214" spans="1:12" x14ac:dyDescent="0.25">
      <c r="A214" s="9"/>
      <c r="C214" s="17"/>
      <c r="D214" s="9"/>
      <c r="E214" s="90"/>
      <c r="F214" s="9"/>
      <c r="G214" s="90"/>
      <c r="H214" s="9"/>
      <c r="I214" s="90"/>
      <c r="J214" s="9"/>
      <c r="K214" s="90"/>
    </row>
    <row r="215" spans="1:12" x14ac:dyDescent="0.25">
      <c r="A215" s="9"/>
      <c r="C215" s="17"/>
      <c r="D215" s="9"/>
      <c r="E215" s="90"/>
      <c r="F215" s="9"/>
      <c r="G215" s="90"/>
      <c r="H215" s="9"/>
      <c r="I215" s="90"/>
      <c r="J215" s="9"/>
      <c r="K215" s="90"/>
    </row>
    <row r="216" spans="1:12" x14ac:dyDescent="0.25">
      <c r="A216" s="9"/>
      <c r="C216" s="17"/>
      <c r="D216" s="9"/>
      <c r="E216" s="90"/>
      <c r="F216" s="9"/>
      <c r="G216" s="90"/>
      <c r="H216" s="9"/>
      <c r="I216" s="90"/>
      <c r="J216" s="9"/>
      <c r="K216" s="90"/>
    </row>
    <row r="217" spans="1:12" x14ac:dyDescent="0.25">
      <c r="A217" s="9"/>
      <c r="B217" s="8"/>
      <c r="C217" s="17"/>
      <c r="D217" s="9"/>
      <c r="E217" s="90"/>
      <c r="F217" s="9"/>
      <c r="G217" s="90"/>
      <c r="H217" s="9"/>
      <c r="I217" s="90"/>
      <c r="J217" s="9"/>
      <c r="K217" s="90"/>
    </row>
    <row r="218" spans="1:12" x14ac:dyDescent="0.25">
      <c r="A218" s="9"/>
      <c r="B218" s="8"/>
      <c r="C218" s="17"/>
      <c r="D218" s="9"/>
      <c r="E218" s="90"/>
      <c r="F218" s="9"/>
      <c r="G218" s="90"/>
      <c r="H218" s="9"/>
      <c r="I218" s="90"/>
      <c r="J218" s="9"/>
      <c r="K218" s="90"/>
    </row>
    <row r="219" spans="1:12" x14ac:dyDescent="0.25">
      <c r="A219" s="9"/>
      <c r="B219" s="8"/>
      <c r="C219" s="17"/>
      <c r="D219" s="9"/>
      <c r="E219" s="90"/>
      <c r="F219" s="9"/>
      <c r="G219" s="90"/>
      <c r="H219" s="9"/>
      <c r="I219" s="90"/>
      <c r="J219" s="9"/>
      <c r="K219" s="90"/>
    </row>
    <row r="220" spans="1:12" x14ac:dyDescent="0.25">
      <c r="A220" s="9"/>
      <c r="B220" s="8"/>
      <c r="C220" s="17"/>
      <c r="D220" s="9"/>
      <c r="E220" s="90"/>
      <c r="F220" s="9"/>
      <c r="G220" s="90"/>
      <c r="H220" s="9"/>
      <c r="I220" s="90"/>
      <c r="J220" s="9"/>
      <c r="K220" s="90"/>
    </row>
    <row r="221" spans="1:12" x14ac:dyDescent="0.25">
      <c r="A221" s="9"/>
      <c r="B221" s="8"/>
      <c r="C221" s="17"/>
      <c r="D221" s="9"/>
      <c r="E221" s="90"/>
      <c r="F221" s="9"/>
      <c r="G221" s="90"/>
      <c r="H221" s="9"/>
      <c r="I221" s="90"/>
      <c r="J221" s="9"/>
      <c r="K221" s="90"/>
    </row>
    <row r="222" spans="1:12" x14ac:dyDescent="0.25">
      <c r="A222" s="9"/>
      <c r="B222" s="8"/>
      <c r="C222" s="17"/>
      <c r="D222" s="9"/>
      <c r="E222" s="90"/>
      <c r="F222" s="9"/>
      <c r="G222" s="90"/>
      <c r="H222" s="9"/>
      <c r="I222" s="90"/>
      <c r="J222" s="9"/>
      <c r="K222" s="90"/>
    </row>
    <row r="223" spans="1:12" x14ac:dyDescent="0.25">
      <c r="A223" s="9"/>
      <c r="B223" s="8"/>
      <c r="C223" s="17"/>
      <c r="D223" s="9"/>
      <c r="E223" s="90"/>
      <c r="F223" s="9"/>
      <c r="G223" s="90"/>
      <c r="H223" s="9"/>
      <c r="I223" s="90"/>
      <c r="J223" s="9"/>
      <c r="K223" s="90"/>
    </row>
    <row r="224" spans="1:12" x14ac:dyDescent="0.25">
      <c r="A224" s="9"/>
      <c r="B224" s="8"/>
      <c r="C224" s="17"/>
      <c r="D224" s="9"/>
      <c r="E224" s="90"/>
      <c r="F224" s="9"/>
      <c r="G224" s="90"/>
      <c r="H224" s="9"/>
      <c r="I224" s="90"/>
      <c r="J224" s="9"/>
      <c r="K224" s="90"/>
    </row>
    <row r="225" spans="1:11" x14ac:dyDescent="0.25">
      <c r="A225" s="9"/>
      <c r="B225" s="8"/>
      <c r="C225" s="17"/>
      <c r="D225" s="9"/>
      <c r="E225" s="90"/>
      <c r="F225" s="9"/>
      <c r="G225" s="90"/>
      <c r="H225" s="9"/>
      <c r="I225" s="90"/>
      <c r="J225" s="9"/>
      <c r="K225" s="90"/>
    </row>
    <row r="226" spans="1:11" x14ac:dyDescent="0.25">
      <c r="A226" s="9"/>
      <c r="B226" s="8"/>
      <c r="C226" s="17"/>
      <c r="D226" s="9"/>
      <c r="E226" s="90"/>
      <c r="F226" s="9"/>
      <c r="G226" s="90"/>
      <c r="H226" s="9"/>
      <c r="I226" s="90"/>
      <c r="J226" s="9"/>
      <c r="K226" s="90"/>
    </row>
    <row r="227" spans="1:11" x14ac:dyDescent="0.25">
      <c r="A227" s="9"/>
      <c r="B227" s="8"/>
      <c r="C227" s="17"/>
      <c r="D227" s="9"/>
      <c r="E227" s="90"/>
      <c r="F227" s="9"/>
      <c r="G227" s="90"/>
      <c r="H227" s="9"/>
      <c r="I227" s="90"/>
      <c r="J227" s="9"/>
      <c r="K227" s="90"/>
    </row>
    <row r="228" spans="1:11" x14ac:dyDescent="0.25">
      <c r="A228" s="9"/>
      <c r="B228" s="8"/>
      <c r="C228" s="17"/>
      <c r="D228" s="9"/>
      <c r="E228" s="90"/>
      <c r="F228" s="9"/>
      <c r="G228" s="90"/>
      <c r="H228" s="9"/>
      <c r="I228" s="90"/>
      <c r="J228" s="9"/>
      <c r="K228" s="90"/>
    </row>
    <row r="229" spans="1:11" x14ac:dyDescent="0.25">
      <c r="A229" s="9"/>
      <c r="B229" s="8"/>
      <c r="C229" s="17"/>
      <c r="D229" s="9"/>
      <c r="E229" s="90"/>
      <c r="F229" s="9"/>
      <c r="G229" s="90"/>
      <c r="H229" s="9"/>
      <c r="I229" s="90"/>
      <c r="J229" s="9"/>
      <c r="K229" s="90"/>
    </row>
    <row r="230" spans="1:11" x14ac:dyDescent="0.25">
      <c r="A230" s="9"/>
      <c r="B230" s="8"/>
      <c r="C230" s="17"/>
      <c r="D230" s="9"/>
      <c r="E230" s="90"/>
      <c r="F230" s="9"/>
      <c r="G230" s="90"/>
      <c r="H230" s="9"/>
      <c r="I230" s="90"/>
      <c r="J230" s="9"/>
      <c r="K230" s="90"/>
    </row>
    <row r="231" spans="1:11" x14ac:dyDescent="0.25">
      <c r="A231" s="9"/>
      <c r="B231" s="8"/>
      <c r="C231" s="17"/>
      <c r="D231" s="9"/>
      <c r="E231" s="90"/>
      <c r="F231" s="9"/>
      <c r="G231" s="90"/>
      <c r="H231" s="9"/>
      <c r="I231" s="90"/>
      <c r="J231" s="9"/>
      <c r="K231" s="90"/>
    </row>
    <row r="232" spans="1:11" x14ac:dyDescent="0.25">
      <c r="A232" s="9"/>
      <c r="B232" s="8"/>
      <c r="C232" s="17"/>
      <c r="D232" s="9"/>
      <c r="E232" s="90"/>
      <c r="F232" s="9"/>
      <c r="G232" s="90"/>
      <c r="H232" s="9"/>
      <c r="I232" s="90"/>
      <c r="J232" s="9"/>
      <c r="K232" s="90"/>
    </row>
    <row r="233" spans="1:11" x14ac:dyDescent="0.25">
      <c r="A233" s="9"/>
      <c r="B233" s="8"/>
      <c r="C233" s="17"/>
      <c r="D233" s="9"/>
      <c r="E233" s="90"/>
      <c r="F233" s="9"/>
      <c r="G233" s="90"/>
      <c r="H233" s="9"/>
      <c r="I233" s="90"/>
      <c r="J233" s="9"/>
      <c r="K233" s="90"/>
    </row>
    <row r="234" spans="1:11" x14ac:dyDescent="0.25">
      <c r="A234" s="9"/>
      <c r="B234" s="8"/>
      <c r="C234" s="17"/>
      <c r="D234" s="9"/>
      <c r="E234" s="90"/>
      <c r="F234" s="9"/>
      <c r="G234" s="90"/>
      <c r="H234" s="9"/>
      <c r="I234" s="90"/>
      <c r="J234" s="9"/>
      <c r="K234" s="90"/>
    </row>
    <row r="235" spans="1:11" x14ac:dyDescent="0.25">
      <c r="A235" s="9"/>
      <c r="B235" s="8"/>
      <c r="C235" s="17"/>
      <c r="D235" s="9"/>
      <c r="E235" s="90"/>
      <c r="F235" s="9"/>
      <c r="G235" s="90"/>
      <c r="H235" s="9"/>
      <c r="I235" s="90"/>
      <c r="J235" s="9"/>
      <c r="K235" s="90"/>
    </row>
    <row r="236" spans="1:11" x14ac:dyDescent="0.25">
      <c r="A236" s="9"/>
      <c r="B236" s="8"/>
      <c r="C236" s="17"/>
      <c r="D236" s="9"/>
      <c r="E236" s="90"/>
      <c r="F236" s="9"/>
      <c r="G236" s="90"/>
      <c r="H236" s="9"/>
      <c r="I236" s="90"/>
      <c r="J236" s="9"/>
      <c r="K236" s="90"/>
    </row>
    <row r="237" spans="1:11" x14ac:dyDescent="0.25">
      <c r="A237" s="9"/>
      <c r="B237" s="8"/>
      <c r="C237" s="17"/>
      <c r="D237" s="9"/>
      <c r="E237" s="90"/>
      <c r="F237" s="9"/>
      <c r="G237" s="90"/>
      <c r="H237" s="9"/>
      <c r="I237" s="90"/>
      <c r="J237" s="9"/>
      <c r="K237" s="90"/>
    </row>
    <row r="238" spans="1:11" x14ac:dyDescent="0.25">
      <c r="A238" s="9"/>
      <c r="B238" s="8"/>
      <c r="C238" s="17"/>
      <c r="D238" s="9"/>
      <c r="E238" s="90"/>
      <c r="F238" s="9"/>
      <c r="G238" s="90"/>
      <c r="H238" s="9"/>
      <c r="I238" s="90"/>
      <c r="J238" s="9"/>
      <c r="K238" s="90"/>
    </row>
    <row r="239" spans="1:11" x14ac:dyDescent="0.25">
      <c r="A239" s="9"/>
      <c r="B239" s="8"/>
      <c r="C239" s="17"/>
      <c r="D239" s="9"/>
      <c r="E239" s="90"/>
      <c r="F239" s="9"/>
      <c r="G239" s="90"/>
      <c r="H239" s="9"/>
      <c r="I239" s="90"/>
      <c r="J239" s="9"/>
      <c r="K239" s="90"/>
    </row>
  </sheetData>
  <mergeCells count="10">
    <mergeCell ref="A209:B209"/>
    <mergeCell ref="K209:L209"/>
    <mergeCell ref="K1:L1"/>
    <mergeCell ref="A5:L5"/>
    <mergeCell ref="A6:L6"/>
    <mergeCell ref="A8:A9"/>
    <mergeCell ref="B8:B9"/>
    <mergeCell ref="C8:C9"/>
    <mergeCell ref="D8:L8"/>
    <mergeCell ref="H2:L2"/>
  </mergeCells>
  <printOptions horizontalCentered="1"/>
  <pageMargins left="0.39370078740157483" right="0.39370078740157483" top="0.59055118110236227" bottom="0.59055118110236227" header="0.19685039370078741" footer="0.19685039370078741"/>
  <pageSetup paperSize="9" scale="92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794"/>
  <sheetViews>
    <sheetView showGridLines="0" workbookViewId="0">
      <selection activeCell="G5" sqref="G5"/>
    </sheetView>
  </sheetViews>
  <sheetFormatPr defaultRowHeight="12.75" x14ac:dyDescent="0.2"/>
  <cols>
    <col min="1" max="1" width="5.140625" style="356" customWidth="1"/>
    <col min="2" max="2" width="59.7109375" style="356" customWidth="1"/>
    <col min="3" max="3" width="13.7109375" style="356" customWidth="1"/>
    <col min="4" max="4" width="14.28515625" style="356" customWidth="1"/>
    <col min="5" max="5" width="18" style="356" customWidth="1"/>
    <col min="6" max="16384" width="9.140625" style="356"/>
  </cols>
  <sheetData>
    <row r="1" spans="1:5" s="282" customFormat="1" ht="15" x14ac:dyDescent="0.25">
      <c r="A1" s="125"/>
      <c r="B1" s="125"/>
      <c r="C1" s="126"/>
      <c r="D1" s="376" t="s">
        <v>523</v>
      </c>
      <c r="E1" s="376"/>
    </row>
    <row r="2" spans="1:5" s="282" customFormat="1" ht="15" x14ac:dyDescent="0.25">
      <c r="A2" s="125"/>
      <c r="B2" s="125"/>
      <c r="C2" s="386" t="s">
        <v>881</v>
      </c>
      <c r="D2" s="386"/>
      <c r="E2" s="386"/>
    </row>
    <row r="3" spans="1:5" s="282" customFormat="1" ht="15" customHeight="1" x14ac:dyDescent="0.25">
      <c r="A3" s="125"/>
      <c r="B3" s="125"/>
      <c r="C3" s="393" t="s">
        <v>882</v>
      </c>
      <c r="D3" s="394"/>
      <c r="E3" s="394"/>
    </row>
    <row r="4" spans="1:5" ht="15.75" x14ac:dyDescent="0.2">
      <c r="C4" s="395"/>
      <c r="D4" s="395"/>
      <c r="E4" s="395"/>
    </row>
    <row r="5" spans="1:5" ht="39" customHeight="1" x14ac:dyDescent="0.2">
      <c r="A5" s="396" t="s">
        <v>668</v>
      </c>
      <c r="B5" s="397"/>
      <c r="C5" s="397"/>
      <c r="D5" s="397"/>
      <c r="E5" s="397"/>
    </row>
    <row r="6" spans="1:5" s="282" customFormat="1" ht="28.5" customHeight="1" x14ac:dyDescent="0.2">
      <c r="A6" s="398" t="s">
        <v>421</v>
      </c>
      <c r="B6" s="399"/>
      <c r="C6" s="360" t="s">
        <v>666</v>
      </c>
      <c r="D6" s="360" t="s">
        <v>667</v>
      </c>
      <c r="E6" s="360" t="s">
        <v>820</v>
      </c>
    </row>
    <row r="8" spans="1:5" ht="15.75" customHeight="1" x14ac:dyDescent="0.2">
      <c r="A8" s="389" t="s">
        <v>524</v>
      </c>
      <c r="B8" s="392"/>
      <c r="C8" s="392"/>
      <c r="D8" s="392"/>
      <c r="E8" s="392"/>
    </row>
    <row r="9" spans="1:5" ht="15" x14ac:dyDescent="0.2">
      <c r="A9" s="361"/>
      <c r="B9" s="364" t="s">
        <v>525</v>
      </c>
      <c r="C9" s="365">
        <v>43109103</v>
      </c>
      <c r="D9" s="365">
        <v>2690916</v>
      </c>
      <c r="E9" s="365">
        <v>45800019</v>
      </c>
    </row>
    <row r="10" spans="1:5" ht="15" x14ac:dyDescent="0.2">
      <c r="A10" s="361"/>
      <c r="B10" s="364" t="s">
        <v>526</v>
      </c>
      <c r="C10" s="365">
        <v>3529709</v>
      </c>
      <c r="D10" s="365">
        <f>56785-1900</f>
        <v>54885</v>
      </c>
      <c r="E10" s="365">
        <f>3586494-1900</f>
        <v>3584594</v>
      </c>
    </row>
    <row r="11" spans="1:5" ht="15" x14ac:dyDescent="0.2">
      <c r="A11" s="361"/>
      <c r="B11" s="364" t="s">
        <v>527</v>
      </c>
      <c r="C11" s="365">
        <v>2256049</v>
      </c>
      <c r="D11" s="365">
        <f>236846</f>
        <v>236846</v>
      </c>
      <c r="E11" s="365">
        <v>2492895</v>
      </c>
    </row>
    <row r="12" spans="1:5" ht="15" x14ac:dyDescent="0.2">
      <c r="A12" s="361"/>
      <c r="B12" s="364" t="s">
        <v>528</v>
      </c>
      <c r="C12" s="365">
        <v>78000</v>
      </c>
      <c r="D12" s="365">
        <v>14000</v>
      </c>
      <c r="E12" s="365">
        <v>92000</v>
      </c>
    </row>
    <row r="13" spans="1:5" ht="15" x14ac:dyDescent="0.2">
      <c r="A13" s="361"/>
      <c r="B13" s="364" t="s">
        <v>529</v>
      </c>
      <c r="C13" s="365">
        <v>36898730</v>
      </c>
      <c r="D13" s="365">
        <f>2019546+1900</f>
        <v>2021446</v>
      </c>
      <c r="E13" s="365">
        <f>38918276+1900</f>
        <v>38920176</v>
      </c>
    </row>
    <row r="14" spans="1:5" ht="15" x14ac:dyDescent="0.2">
      <c r="A14" s="361"/>
      <c r="B14" s="364" t="s">
        <v>587</v>
      </c>
      <c r="C14" s="365">
        <v>0</v>
      </c>
      <c r="D14" s="365">
        <v>4135</v>
      </c>
      <c r="E14" s="365">
        <v>4135</v>
      </c>
    </row>
    <row r="15" spans="1:5" ht="30" x14ac:dyDescent="0.2">
      <c r="A15" s="361"/>
      <c r="B15" s="364" t="s">
        <v>530</v>
      </c>
      <c r="C15" s="365">
        <v>346615</v>
      </c>
      <c r="D15" s="365">
        <v>359604</v>
      </c>
      <c r="E15" s="365">
        <v>706219</v>
      </c>
    </row>
    <row r="17" spans="1:5" ht="15.75" customHeight="1" x14ac:dyDescent="0.2">
      <c r="A17" s="387" t="s">
        <v>531</v>
      </c>
      <c r="B17" s="388"/>
      <c r="C17" s="388"/>
      <c r="D17" s="388"/>
      <c r="E17" s="388"/>
    </row>
    <row r="18" spans="1:5" s="361" customFormat="1" ht="14.25" x14ac:dyDescent="0.2">
      <c r="B18" s="362" t="s">
        <v>525</v>
      </c>
      <c r="C18" s="363">
        <v>3906465</v>
      </c>
      <c r="D18" s="363">
        <v>110000</v>
      </c>
      <c r="E18" s="363">
        <v>4016465</v>
      </c>
    </row>
    <row r="19" spans="1:5" ht="15" x14ac:dyDescent="0.2">
      <c r="B19" s="359" t="s">
        <v>526</v>
      </c>
      <c r="C19" s="357">
        <v>3268192</v>
      </c>
      <c r="D19" s="357">
        <v>30000</v>
      </c>
      <c r="E19" s="357">
        <v>3298192</v>
      </c>
    </row>
    <row r="20" spans="1:5" ht="15" x14ac:dyDescent="0.2">
      <c r="B20" s="359" t="s">
        <v>527</v>
      </c>
      <c r="C20" s="357">
        <v>638273</v>
      </c>
      <c r="D20" s="357">
        <v>54000</v>
      </c>
      <c r="E20" s="357">
        <v>692273</v>
      </c>
    </row>
    <row r="21" spans="1:5" ht="15" x14ac:dyDescent="0.2">
      <c r="B21" s="359" t="s">
        <v>529</v>
      </c>
      <c r="C21" s="357">
        <v>0</v>
      </c>
      <c r="D21" s="357">
        <v>26000</v>
      </c>
      <c r="E21" s="357">
        <v>26000</v>
      </c>
    </row>
    <row r="23" spans="1:5" ht="15.75" customHeight="1" x14ac:dyDescent="0.2">
      <c r="A23" s="387" t="s">
        <v>532</v>
      </c>
      <c r="B23" s="388"/>
      <c r="C23" s="388"/>
      <c r="D23" s="388"/>
      <c r="E23" s="388"/>
    </row>
    <row r="24" spans="1:5" s="361" customFormat="1" ht="14.25" x14ac:dyDescent="0.2">
      <c r="B24" s="362" t="s">
        <v>525</v>
      </c>
      <c r="C24" s="363">
        <v>102364</v>
      </c>
      <c r="D24" s="363">
        <v>0</v>
      </c>
      <c r="E24" s="363">
        <v>102364</v>
      </c>
    </row>
    <row r="25" spans="1:5" ht="15" x14ac:dyDescent="0.2">
      <c r="B25" s="359" t="s">
        <v>526</v>
      </c>
      <c r="C25" s="357">
        <v>11553</v>
      </c>
      <c r="D25" s="357">
        <v>0</v>
      </c>
      <c r="E25" s="357">
        <v>11553</v>
      </c>
    </row>
    <row r="26" spans="1:5" ht="15" x14ac:dyDescent="0.2">
      <c r="B26" s="359" t="s">
        <v>527</v>
      </c>
      <c r="C26" s="357">
        <v>35223</v>
      </c>
      <c r="D26" s="357">
        <v>-6600</v>
      </c>
      <c r="E26" s="357">
        <v>28623</v>
      </c>
    </row>
    <row r="27" spans="1:5" ht="30" x14ac:dyDescent="0.2">
      <c r="B27" s="359" t="s">
        <v>530</v>
      </c>
      <c r="C27" s="357">
        <v>55588</v>
      </c>
      <c r="D27" s="357">
        <v>6600</v>
      </c>
      <c r="E27" s="357">
        <v>62188</v>
      </c>
    </row>
    <row r="29" spans="1:5" ht="31.5" customHeight="1" x14ac:dyDescent="0.2">
      <c r="A29" s="387" t="s">
        <v>868</v>
      </c>
      <c r="B29" s="388"/>
      <c r="C29" s="388"/>
      <c r="D29" s="388"/>
      <c r="E29" s="388"/>
    </row>
    <row r="30" spans="1:5" s="361" customFormat="1" ht="14.25" x14ac:dyDescent="0.2">
      <c r="B30" s="362" t="s">
        <v>525</v>
      </c>
      <c r="C30" s="363">
        <v>0</v>
      </c>
      <c r="D30" s="363">
        <v>0</v>
      </c>
      <c r="E30" s="363">
        <v>0</v>
      </c>
    </row>
    <row r="31" spans="1:5" ht="15" x14ac:dyDescent="0.2">
      <c r="B31" s="359" t="s">
        <v>527</v>
      </c>
      <c r="C31" s="357">
        <v>0</v>
      </c>
      <c r="D31" s="357">
        <v>0</v>
      </c>
      <c r="E31" s="357">
        <v>0</v>
      </c>
    </row>
    <row r="33" spans="1:5" ht="31.5" customHeight="1" x14ac:dyDescent="0.2">
      <c r="A33" s="387" t="s">
        <v>533</v>
      </c>
      <c r="B33" s="388"/>
      <c r="C33" s="388"/>
      <c r="D33" s="388"/>
      <c r="E33" s="388"/>
    </row>
    <row r="34" spans="1:5" s="361" customFormat="1" ht="14.25" x14ac:dyDescent="0.2">
      <c r="B34" s="362" t="s">
        <v>525</v>
      </c>
      <c r="C34" s="363">
        <v>30334</v>
      </c>
      <c r="D34" s="363">
        <v>17000</v>
      </c>
      <c r="E34" s="363">
        <v>47334</v>
      </c>
    </row>
    <row r="35" spans="1:5" ht="15" x14ac:dyDescent="0.2">
      <c r="B35" s="359" t="s">
        <v>526</v>
      </c>
      <c r="C35" s="357">
        <v>29634</v>
      </c>
      <c r="D35" s="357">
        <v>11421</v>
      </c>
      <c r="E35" s="357">
        <v>41055</v>
      </c>
    </row>
    <row r="36" spans="1:5" ht="15" x14ac:dyDescent="0.2">
      <c r="B36" s="359" t="s">
        <v>527</v>
      </c>
      <c r="C36" s="357">
        <v>700</v>
      </c>
      <c r="D36" s="357">
        <v>5579</v>
      </c>
      <c r="E36" s="357">
        <v>6279</v>
      </c>
    </row>
    <row r="38" spans="1:5" ht="15.75" customHeight="1" x14ac:dyDescent="0.2">
      <c r="A38" s="387" t="s">
        <v>534</v>
      </c>
      <c r="B38" s="388"/>
      <c r="C38" s="388"/>
      <c r="D38" s="388"/>
      <c r="E38" s="388"/>
    </row>
    <row r="39" spans="1:5" s="361" customFormat="1" ht="14.25" x14ac:dyDescent="0.2">
      <c r="B39" s="362" t="s">
        <v>525</v>
      </c>
      <c r="C39" s="363">
        <v>93475</v>
      </c>
      <c r="D39" s="363">
        <v>0</v>
      </c>
      <c r="E39" s="363">
        <v>93475</v>
      </c>
    </row>
    <row r="40" spans="1:5" ht="15" x14ac:dyDescent="0.2">
      <c r="B40" s="359" t="s">
        <v>527</v>
      </c>
      <c r="C40" s="357">
        <v>89781</v>
      </c>
      <c r="D40" s="357">
        <v>3694</v>
      </c>
      <c r="E40" s="357">
        <v>93475</v>
      </c>
    </row>
    <row r="41" spans="1:5" ht="15" x14ac:dyDescent="0.2">
      <c r="B41" s="359" t="s">
        <v>529</v>
      </c>
      <c r="C41" s="357">
        <v>3694</v>
      </c>
      <c r="D41" s="357">
        <v>-3694</v>
      </c>
      <c r="E41" s="357">
        <v>0</v>
      </c>
    </row>
    <row r="43" spans="1:5" ht="15.75" customHeight="1" x14ac:dyDescent="0.2">
      <c r="A43" s="387" t="s">
        <v>535</v>
      </c>
      <c r="B43" s="388"/>
      <c r="C43" s="388"/>
      <c r="D43" s="388"/>
      <c r="E43" s="388"/>
    </row>
    <row r="44" spans="1:5" s="361" customFormat="1" ht="14.25" x14ac:dyDescent="0.2">
      <c r="B44" s="362" t="s">
        <v>525</v>
      </c>
      <c r="C44" s="363">
        <v>578910</v>
      </c>
      <c r="D44" s="363">
        <v>21500</v>
      </c>
      <c r="E44" s="363">
        <v>600410</v>
      </c>
    </row>
    <row r="45" spans="1:5" ht="15" x14ac:dyDescent="0.2">
      <c r="B45" s="359" t="s">
        <v>527</v>
      </c>
      <c r="C45" s="357">
        <v>373480</v>
      </c>
      <c r="D45" s="357">
        <v>-20270</v>
      </c>
      <c r="E45" s="357">
        <v>353210</v>
      </c>
    </row>
    <row r="46" spans="1:5" ht="15" x14ac:dyDescent="0.2">
      <c r="B46" s="359" t="s">
        <v>529</v>
      </c>
      <c r="C46" s="357">
        <v>205430</v>
      </c>
      <c r="D46" s="357">
        <v>41770</v>
      </c>
      <c r="E46" s="357">
        <v>247200</v>
      </c>
    </row>
    <row r="48" spans="1:5" ht="31.5" customHeight="1" x14ac:dyDescent="0.2">
      <c r="A48" s="387" t="s">
        <v>536</v>
      </c>
      <c r="B48" s="388"/>
      <c r="C48" s="388"/>
      <c r="D48" s="388"/>
      <c r="E48" s="388"/>
    </row>
    <row r="49" spans="1:5" s="361" customFormat="1" ht="14.25" x14ac:dyDescent="0.2">
      <c r="B49" s="362" t="s">
        <v>525</v>
      </c>
      <c r="C49" s="363">
        <v>185693</v>
      </c>
      <c r="D49" s="363">
        <v>-30002</v>
      </c>
      <c r="E49" s="363">
        <v>155691</v>
      </c>
    </row>
    <row r="50" spans="1:5" ht="15" x14ac:dyDescent="0.2">
      <c r="B50" s="359" t="s">
        <v>527</v>
      </c>
      <c r="C50" s="357">
        <v>36973</v>
      </c>
      <c r="D50" s="357">
        <v>0</v>
      </c>
      <c r="E50" s="357">
        <v>36973</v>
      </c>
    </row>
    <row r="51" spans="1:5" ht="15" x14ac:dyDescent="0.2">
      <c r="B51" s="359" t="s">
        <v>529</v>
      </c>
      <c r="C51" s="357">
        <v>139301</v>
      </c>
      <c r="D51" s="357">
        <v>-30002</v>
      </c>
      <c r="E51" s="357">
        <v>109299</v>
      </c>
    </row>
    <row r="52" spans="1:5" ht="30" x14ac:dyDescent="0.2">
      <c r="B52" s="359" t="s">
        <v>530</v>
      </c>
      <c r="C52" s="357">
        <v>9419</v>
      </c>
      <c r="D52" s="357">
        <v>0</v>
      </c>
      <c r="E52" s="357">
        <v>9419</v>
      </c>
    </row>
    <row r="54" spans="1:5" ht="15.75" customHeight="1" x14ac:dyDescent="0.2">
      <c r="A54" s="387" t="s">
        <v>537</v>
      </c>
      <c r="B54" s="388"/>
      <c r="C54" s="388"/>
      <c r="D54" s="388"/>
      <c r="E54" s="388"/>
    </row>
    <row r="55" spans="1:5" s="361" customFormat="1" ht="14.25" x14ac:dyDescent="0.2">
      <c r="B55" s="362" t="s">
        <v>525</v>
      </c>
      <c r="C55" s="363">
        <v>43056</v>
      </c>
      <c r="D55" s="363">
        <v>0</v>
      </c>
      <c r="E55" s="363">
        <v>43056</v>
      </c>
    </row>
    <row r="56" spans="1:5" ht="15" x14ac:dyDescent="0.2">
      <c r="B56" s="359" t="s">
        <v>526</v>
      </c>
      <c r="C56" s="357">
        <v>38551</v>
      </c>
      <c r="D56" s="357">
        <v>-685</v>
      </c>
      <c r="E56" s="357">
        <v>37866</v>
      </c>
    </row>
    <row r="57" spans="1:5" ht="15" x14ac:dyDescent="0.2">
      <c r="B57" s="359" t="s">
        <v>527</v>
      </c>
      <c r="C57" s="357">
        <v>4505</v>
      </c>
      <c r="D57" s="357">
        <v>685</v>
      </c>
      <c r="E57" s="357">
        <v>5190</v>
      </c>
    </row>
    <row r="59" spans="1:5" ht="31.5" customHeight="1" x14ac:dyDescent="0.2">
      <c r="A59" s="387" t="s">
        <v>538</v>
      </c>
      <c r="B59" s="388"/>
      <c r="C59" s="388"/>
      <c r="D59" s="388"/>
      <c r="E59" s="388"/>
    </row>
    <row r="60" spans="1:5" s="361" customFormat="1" ht="14.25" x14ac:dyDescent="0.2">
      <c r="B60" s="362" t="s">
        <v>525</v>
      </c>
      <c r="C60" s="363">
        <v>8940194</v>
      </c>
      <c r="D60" s="363">
        <v>2551229</v>
      </c>
      <c r="E60" s="363">
        <v>11491423</v>
      </c>
    </row>
    <row r="61" spans="1:5" ht="15" x14ac:dyDescent="0.2">
      <c r="B61" s="359" t="s">
        <v>529</v>
      </c>
      <c r="C61" s="357">
        <v>8940194</v>
      </c>
      <c r="D61" s="357">
        <v>2551229</v>
      </c>
      <c r="E61" s="357">
        <v>11491423</v>
      </c>
    </row>
    <row r="63" spans="1:5" ht="31.5" customHeight="1" x14ac:dyDescent="0.2">
      <c r="A63" s="387" t="s">
        <v>539</v>
      </c>
      <c r="B63" s="388"/>
      <c r="C63" s="388"/>
      <c r="D63" s="388"/>
      <c r="E63" s="388"/>
    </row>
    <row r="64" spans="1:5" s="361" customFormat="1" ht="14.25" x14ac:dyDescent="0.2">
      <c r="B64" s="362" t="s">
        <v>525</v>
      </c>
      <c r="C64" s="363">
        <v>5234594</v>
      </c>
      <c r="D64" s="363">
        <v>27155</v>
      </c>
      <c r="E64" s="363">
        <v>5261749</v>
      </c>
    </row>
    <row r="65" spans="1:5" ht="15" x14ac:dyDescent="0.2">
      <c r="B65" s="359" t="s">
        <v>529</v>
      </c>
      <c r="C65" s="357">
        <v>5234594</v>
      </c>
      <c r="D65" s="357">
        <v>27155</v>
      </c>
      <c r="E65" s="357">
        <v>5261749</v>
      </c>
    </row>
    <row r="67" spans="1:5" ht="15" x14ac:dyDescent="0.2">
      <c r="A67" s="387" t="s">
        <v>540</v>
      </c>
      <c r="B67" s="388"/>
      <c r="C67" s="388"/>
      <c r="D67" s="388"/>
      <c r="E67" s="388"/>
    </row>
    <row r="68" spans="1:5" s="361" customFormat="1" ht="14.25" x14ac:dyDescent="0.2">
      <c r="B68" s="362" t="s">
        <v>525</v>
      </c>
      <c r="C68" s="363">
        <v>1596695</v>
      </c>
      <c r="D68" s="363">
        <v>0</v>
      </c>
      <c r="E68" s="363">
        <v>1596695</v>
      </c>
    </row>
    <row r="69" spans="1:5" ht="15" x14ac:dyDescent="0.2">
      <c r="B69" s="359" t="s">
        <v>529</v>
      </c>
      <c r="C69" s="357">
        <v>1596695</v>
      </c>
      <c r="D69" s="357">
        <v>0</v>
      </c>
      <c r="E69" s="357">
        <v>1596695</v>
      </c>
    </row>
    <row r="71" spans="1:5" ht="31.5" customHeight="1" x14ac:dyDescent="0.2">
      <c r="A71" s="387" t="s">
        <v>541</v>
      </c>
      <c r="B71" s="388"/>
      <c r="C71" s="388"/>
      <c r="D71" s="388"/>
      <c r="E71" s="388"/>
    </row>
    <row r="72" spans="1:5" s="361" customFormat="1" ht="14.25" x14ac:dyDescent="0.2">
      <c r="B72" s="362" t="s">
        <v>525</v>
      </c>
      <c r="C72" s="363">
        <v>38263</v>
      </c>
      <c r="D72" s="363">
        <v>0</v>
      </c>
      <c r="E72" s="363">
        <v>38263</v>
      </c>
    </row>
    <row r="73" spans="1:5" ht="15" x14ac:dyDescent="0.2">
      <c r="B73" s="359" t="s">
        <v>527</v>
      </c>
      <c r="C73" s="357">
        <v>38263</v>
      </c>
      <c r="D73" s="357">
        <v>0</v>
      </c>
      <c r="E73" s="357">
        <v>38263</v>
      </c>
    </row>
    <row r="75" spans="1:5" ht="31.5" customHeight="1" x14ac:dyDescent="0.2">
      <c r="A75" s="387" t="s">
        <v>542</v>
      </c>
      <c r="B75" s="388"/>
      <c r="C75" s="388"/>
      <c r="D75" s="388"/>
      <c r="E75" s="388"/>
    </row>
    <row r="76" spans="1:5" s="361" customFormat="1" ht="14.25" x14ac:dyDescent="0.2">
      <c r="B76" s="362" t="s">
        <v>525</v>
      </c>
      <c r="C76" s="363">
        <v>1981997</v>
      </c>
      <c r="D76" s="363">
        <v>351924</v>
      </c>
      <c r="E76" s="363">
        <v>2333921</v>
      </c>
    </row>
    <row r="77" spans="1:5" ht="15" x14ac:dyDescent="0.2">
      <c r="B77" s="359" t="s">
        <v>528</v>
      </c>
      <c r="C77" s="357">
        <v>38000</v>
      </c>
      <c r="D77" s="357">
        <v>11500</v>
      </c>
      <c r="E77" s="357">
        <v>49500</v>
      </c>
    </row>
    <row r="78" spans="1:5" ht="15" x14ac:dyDescent="0.2">
      <c r="B78" s="359" t="s">
        <v>529</v>
      </c>
      <c r="C78" s="357">
        <v>1780758</v>
      </c>
      <c r="D78" s="357">
        <v>258737</v>
      </c>
      <c r="E78" s="357">
        <v>2039495</v>
      </c>
    </row>
    <row r="79" spans="1:5" ht="30" x14ac:dyDescent="0.2">
      <c r="B79" s="359" t="s">
        <v>530</v>
      </c>
      <c r="C79" s="357">
        <v>163239</v>
      </c>
      <c r="D79" s="357">
        <v>81687</v>
      </c>
      <c r="E79" s="357">
        <v>244926</v>
      </c>
    </row>
    <row r="81" spans="1:5" ht="15.75" customHeight="1" x14ac:dyDescent="0.2">
      <c r="A81" s="387" t="s">
        <v>543</v>
      </c>
      <c r="B81" s="388"/>
      <c r="C81" s="388"/>
      <c r="D81" s="388"/>
      <c r="E81" s="388"/>
    </row>
    <row r="82" spans="1:5" s="361" customFormat="1" ht="14.25" x14ac:dyDescent="0.2">
      <c r="B82" s="362" t="s">
        <v>525</v>
      </c>
      <c r="C82" s="363">
        <v>76574</v>
      </c>
      <c r="D82" s="363">
        <v>29500</v>
      </c>
      <c r="E82" s="363">
        <v>106074</v>
      </c>
    </row>
    <row r="83" spans="1:5" ht="15" x14ac:dyDescent="0.2">
      <c r="B83" s="359" t="s">
        <v>527</v>
      </c>
      <c r="C83" s="357">
        <v>66574</v>
      </c>
      <c r="D83" s="357">
        <v>-10000</v>
      </c>
      <c r="E83" s="357">
        <v>56574</v>
      </c>
    </row>
    <row r="84" spans="1:5" ht="15" x14ac:dyDescent="0.2">
      <c r="B84" s="359" t="s">
        <v>529</v>
      </c>
      <c r="C84" s="357">
        <v>10000</v>
      </c>
      <c r="D84" s="357">
        <v>39500</v>
      </c>
      <c r="E84" s="357">
        <v>49500</v>
      </c>
    </row>
    <row r="86" spans="1:5" ht="31.5" customHeight="1" x14ac:dyDescent="0.2">
      <c r="A86" s="387" t="s">
        <v>544</v>
      </c>
      <c r="B86" s="388"/>
      <c r="C86" s="388"/>
      <c r="D86" s="388"/>
      <c r="E86" s="388"/>
    </row>
    <row r="87" spans="1:5" s="361" customFormat="1" ht="14.25" x14ac:dyDescent="0.2">
      <c r="B87" s="362" t="s">
        <v>525</v>
      </c>
      <c r="C87" s="363">
        <v>1358480</v>
      </c>
      <c r="D87" s="363">
        <v>0</v>
      </c>
      <c r="E87" s="363">
        <v>1358480</v>
      </c>
    </row>
    <row r="88" spans="1:5" ht="15" x14ac:dyDescent="0.2">
      <c r="B88" s="359" t="s">
        <v>527</v>
      </c>
      <c r="C88" s="357">
        <v>60</v>
      </c>
      <c r="D88" s="357">
        <v>0</v>
      </c>
      <c r="E88" s="357">
        <v>60</v>
      </c>
    </row>
    <row r="89" spans="1:5" ht="15" x14ac:dyDescent="0.2">
      <c r="B89" s="359" t="s">
        <v>529</v>
      </c>
      <c r="C89" s="357">
        <v>1358420</v>
      </c>
      <c r="D89" s="357">
        <v>0</v>
      </c>
      <c r="E89" s="357">
        <v>1358420</v>
      </c>
    </row>
    <row r="91" spans="1:5" ht="31.5" customHeight="1" x14ac:dyDescent="0.2">
      <c r="A91" s="387" t="s">
        <v>545</v>
      </c>
      <c r="B91" s="388"/>
      <c r="C91" s="388"/>
      <c r="D91" s="388"/>
      <c r="E91" s="388"/>
    </row>
    <row r="92" spans="1:5" s="361" customFormat="1" ht="14.25" x14ac:dyDescent="0.2">
      <c r="B92" s="362" t="s">
        <v>525</v>
      </c>
      <c r="C92" s="363">
        <v>321426</v>
      </c>
      <c r="D92" s="363">
        <v>192647</v>
      </c>
      <c r="E92" s="363">
        <v>514073</v>
      </c>
    </row>
    <row r="93" spans="1:5" ht="15" x14ac:dyDescent="0.2">
      <c r="B93" s="359" t="s">
        <v>527</v>
      </c>
      <c r="C93" s="357">
        <v>11323</v>
      </c>
      <c r="D93" s="357">
        <v>2068</v>
      </c>
      <c r="E93" s="357">
        <v>13391</v>
      </c>
    </row>
    <row r="94" spans="1:5" ht="15" x14ac:dyDescent="0.2">
      <c r="B94" s="359" t="s">
        <v>529</v>
      </c>
      <c r="C94" s="357">
        <v>196734</v>
      </c>
      <c r="D94" s="357">
        <v>-40184</v>
      </c>
      <c r="E94" s="357">
        <v>156550</v>
      </c>
    </row>
    <row r="95" spans="1:5" ht="30" x14ac:dyDescent="0.2">
      <c r="B95" s="359" t="s">
        <v>530</v>
      </c>
      <c r="C95" s="357">
        <v>113369</v>
      </c>
      <c r="D95" s="357">
        <v>230763</v>
      </c>
      <c r="E95" s="357">
        <v>344132</v>
      </c>
    </row>
    <row r="97" spans="1:5" ht="15.75" customHeight="1" x14ac:dyDescent="0.2">
      <c r="A97" s="387" t="s">
        <v>546</v>
      </c>
      <c r="B97" s="388"/>
      <c r="C97" s="388"/>
      <c r="D97" s="388"/>
      <c r="E97" s="388"/>
    </row>
    <row r="98" spans="1:5" s="361" customFormat="1" ht="14.25" x14ac:dyDescent="0.2">
      <c r="B98" s="362" t="s">
        <v>525</v>
      </c>
      <c r="C98" s="363">
        <v>673334</v>
      </c>
      <c r="D98" s="363">
        <v>-211000</v>
      </c>
      <c r="E98" s="363">
        <v>462334</v>
      </c>
    </row>
    <row r="99" spans="1:5" ht="15" x14ac:dyDescent="0.2">
      <c r="B99" s="359" t="s">
        <v>526</v>
      </c>
      <c r="C99" s="357">
        <v>0</v>
      </c>
      <c r="D99" s="357">
        <v>3995</v>
      </c>
      <c r="E99" s="357">
        <v>3995</v>
      </c>
    </row>
    <row r="100" spans="1:5" ht="15" x14ac:dyDescent="0.2">
      <c r="B100" s="359" t="s">
        <v>527</v>
      </c>
      <c r="C100" s="357">
        <v>35000</v>
      </c>
      <c r="D100" s="357">
        <v>40405</v>
      </c>
      <c r="E100" s="357">
        <v>75405</v>
      </c>
    </row>
    <row r="101" spans="1:5" ht="15" x14ac:dyDescent="0.2">
      <c r="B101" s="359" t="s">
        <v>529</v>
      </c>
      <c r="C101" s="357">
        <v>638334</v>
      </c>
      <c r="D101" s="357">
        <v>-255400</v>
      </c>
      <c r="E101" s="357">
        <v>382934</v>
      </c>
    </row>
    <row r="103" spans="1:5" ht="15.75" customHeight="1" x14ac:dyDescent="0.2">
      <c r="A103" s="387" t="s">
        <v>547</v>
      </c>
      <c r="B103" s="388"/>
      <c r="C103" s="388"/>
      <c r="D103" s="388"/>
      <c r="E103" s="388"/>
    </row>
    <row r="104" spans="1:5" s="361" customFormat="1" ht="14.25" x14ac:dyDescent="0.2">
      <c r="B104" s="362" t="s">
        <v>525</v>
      </c>
      <c r="C104" s="363">
        <v>293150</v>
      </c>
      <c r="D104" s="363">
        <v>60000</v>
      </c>
      <c r="E104" s="363">
        <v>353150</v>
      </c>
    </row>
    <row r="105" spans="1:5" ht="15" x14ac:dyDescent="0.2">
      <c r="B105" s="359" t="s">
        <v>527</v>
      </c>
      <c r="C105" s="357">
        <v>157300</v>
      </c>
      <c r="D105" s="357">
        <v>34865</v>
      </c>
      <c r="E105" s="357">
        <v>192165</v>
      </c>
    </row>
    <row r="106" spans="1:5" ht="15" x14ac:dyDescent="0.2">
      <c r="B106" s="359" t="s">
        <v>528</v>
      </c>
      <c r="C106" s="357">
        <v>25000</v>
      </c>
      <c r="D106" s="357">
        <v>0</v>
      </c>
      <c r="E106" s="357">
        <v>25000</v>
      </c>
    </row>
    <row r="107" spans="1:5" ht="15" x14ac:dyDescent="0.2">
      <c r="B107" s="359" t="s">
        <v>529</v>
      </c>
      <c r="C107" s="357">
        <v>110850</v>
      </c>
      <c r="D107" s="357">
        <v>21000</v>
      </c>
      <c r="E107" s="357">
        <v>131850</v>
      </c>
    </row>
    <row r="108" spans="1:5" ht="15" x14ac:dyDescent="0.2">
      <c r="B108" s="359" t="s">
        <v>587</v>
      </c>
      <c r="C108" s="357">
        <v>0</v>
      </c>
      <c r="D108" s="357">
        <v>4135</v>
      </c>
      <c r="E108" s="357">
        <v>4135</v>
      </c>
    </row>
    <row r="110" spans="1:5" ht="15.75" customHeight="1" x14ac:dyDescent="0.2">
      <c r="A110" s="387" t="s">
        <v>548</v>
      </c>
      <c r="B110" s="388"/>
      <c r="C110" s="388"/>
      <c r="D110" s="388"/>
      <c r="E110" s="388"/>
    </row>
    <row r="111" spans="1:5" s="361" customFormat="1" ht="14.25" x14ac:dyDescent="0.2">
      <c r="B111" s="362" t="s">
        <v>525</v>
      </c>
      <c r="C111" s="363">
        <v>19500</v>
      </c>
      <c r="D111" s="363">
        <v>0</v>
      </c>
      <c r="E111" s="363">
        <v>19500</v>
      </c>
    </row>
    <row r="112" spans="1:5" ht="15" x14ac:dyDescent="0.2">
      <c r="B112" s="359" t="s">
        <v>526</v>
      </c>
      <c r="C112" s="357">
        <v>3500</v>
      </c>
      <c r="D112" s="357">
        <v>0</v>
      </c>
      <c r="E112" s="357">
        <v>3500</v>
      </c>
    </row>
    <row r="113" spans="1:17" ht="15" x14ac:dyDescent="0.2">
      <c r="B113" s="359" t="s">
        <v>527</v>
      </c>
      <c r="C113" s="357">
        <v>13000</v>
      </c>
      <c r="D113" s="357">
        <v>0</v>
      </c>
      <c r="E113" s="357">
        <v>13000</v>
      </c>
    </row>
    <row r="114" spans="1:17" ht="15" x14ac:dyDescent="0.2">
      <c r="B114" s="359" t="s">
        <v>529</v>
      </c>
      <c r="C114" s="357">
        <v>3000</v>
      </c>
      <c r="D114" s="357">
        <v>0</v>
      </c>
      <c r="E114" s="357">
        <v>3000</v>
      </c>
    </row>
    <row r="116" spans="1:17" ht="31.5" customHeight="1" x14ac:dyDescent="0.2">
      <c r="A116" s="387" t="s">
        <v>549</v>
      </c>
      <c r="B116" s="388"/>
      <c r="C116" s="388"/>
      <c r="D116" s="388"/>
      <c r="E116" s="388"/>
    </row>
    <row r="117" spans="1:17" s="361" customFormat="1" ht="14.25" x14ac:dyDescent="0.2">
      <c r="B117" s="362" t="s">
        <v>525</v>
      </c>
      <c r="C117" s="363">
        <v>15000</v>
      </c>
      <c r="D117" s="363">
        <v>0</v>
      </c>
      <c r="E117" s="363">
        <v>15000</v>
      </c>
    </row>
    <row r="118" spans="1:17" ht="15" x14ac:dyDescent="0.2">
      <c r="B118" s="359" t="s">
        <v>528</v>
      </c>
      <c r="C118" s="357">
        <v>15000</v>
      </c>
      <c r="D118" s="357">
        <v>0</v>
      </c>
      <c r="E118" s="357">
        <v>15000</v>
      </c>
    </row>
    <row r="120" spans="1:17" ht="31.5" customHeight="1" x14ac:dyDescent="0.2">
      <c r="A120" s="387" t="s">
        <v>550</v>
      </c>
      <c r="B120" s="388"/>
      <c r="C120" s="388"/>
      <c r="D120" s="388"/>
      <c r="E120" s="388"/>
    </row>
    <row r="121" spans="1:17" s="361" customFormat="1" ht="14.25" x14ac:dyDescent="0.2">
      <c r="B121" s="362" t="s">
        <v>525</v>
      </c>
      <c r="C121" s="363">
        <v>8109</v>
      </c>
      <c r="D121" s="363">
        <v>0</v>
      </c>
      <c r="E121" s="363">
        <v>8109</v>
      </c>
    </row>
    <row r="122" spans="1:17" ht="15" x14ac:dyDescent="0.2">
      <c r="B122" s="359" t="s">
        <v>526</v>
      </c>
      <c r="C122" s="357">
        <v>7609</v>
      </c>
      <c r="D122" s="357">
        <v>-2000</v>
      </c>
      <c r="E122" s="357">
        <v>5609</v>
      </c>
    </row>
    <row r="123" spans="1:17" ht="15" x14ac:dyDescent="0.2">
      <c r="B123" s="359" t="s">
        <v>527</v>
      </c>
      <c r="C123" s="357">
        <v>500</v>
      </c>
      <c r="D123" s="357">
        <v>2000</v>
      </c>
      <c r="E123" s="357">
        <v>2500</v>
      </c>
      <c r="Q123" s="361"/>
    </row>
    <row r="125" spans="1:17" ht="31.5" customHeight="1" x14ac:dyDescent="0.2">
      <c r="A125" s="387" t="s">
        <v>551</v>
      </c>
      <c r="B125" s="388"/>
      <c r="C125" s="388"/>
      <c r="D125" s="388"/>
      <c r="E125" s="388"/>
    </row>
    <row r="126" spans="1:17" s="361" customFormat="1" ht="14.25" x14ac:dyDescent="0.2">
      <c r="B126" s="362" t="s">
        <v>525</v>
      </c>
      <c r="C126" s="363">
        <v>230176</v>
      </c>
      <c r="D126" s="363">
        <v>96398</v>
      </c>
      <c r="E126" s="363">
        <v>326574</v>
      </c>
    </row>
    <row r="127" spans="1:17" ht="15" x14ac:dyDescent="0.2">
      <c r="B127" s="359" t="s">
        <v>526</v>
      </c>
      <c r="C127" s="357">
        <v>18614</v>
      </c>
      <c r="D127" s="357">
        <v>0</v>
      </c>
      <c r="E127" s="357">
        <v>18614</v>
      </c>
    </row>
    <row r="128" spans="1:17" ht="15" x14ac:dyDescent="0.2">
      <c r="B128" s="359" t="s">
        <v>527</v>
      </c>
      <c r="C128" s="357">
        <v>211562</v>
      </c>
      <c r="D128" s="357">
        <v>96398</v>
      </c>
      <c r="E128" s="357">
        <v>307960</v>
      </c>
    </row>
    <row r="130" spans="1:5" ht="15" x14ac:dyDescent="0.2">
      <c r="A130" s="387" t="s">
        <v>552</v>
      </c>
      <c r="B130" s="388"/>
      <c r="C130" s="388"/>
      <c r="D130" s="388"/>
      <c r="E130" s="388"/>
    </row>
    <row r="131" spans="1:5" s="361" customFormat="1" ht="14.25" x14ac:dyDescent="0.2">
      <c r="B131" s="362" t="s">
        <v>525</v>
      </c>
      <c r="C131" s="363">
        <v>292907</v>
      </c>
      <c r="D131" s="363">
        <v>0</v>
      </c>
      <c r="E131" s="363">
        <v>292907</v>
      </c>
    </row>
    <row r="132" spans="1:5" ht="15" x14ac:dyDescent="0.2">
      <c r="B132" s="359" t="s">
        <v>529</v>
      </c>
      <c r="C132" s="357">
        <v>292907</v>
      </c>
      <c r="D132" s="357">
        <v>0</v>
      </c>
      <c r="E132" s="357">
        <v>292907</v>
      </c>
    </row>
    <row r="134" spans="1:5" ht="15.75" customHeight="1" x14ac:dyDescent="0.2">
      <c r="A134" s="387" t="s">
        <v>553</v>
      </c>
      <c r="B134" s="388"/>
      <c r="C134" s="388"/>
      <c r="D134" s="388"/>
      <c r="E134" s="388"/>
    </row>
    <row r="135" spans="1:5" s="361" customFormat="1" ht="14.25" x14ac:dyDescent="0.2">
      <c r="B135" s="362" t="s">
        <v>525</v>
      </c>
      <c r="C135" s="363">
        <v>515750</v>
      </c>
      <c r="D135" s="363">
        <v>31000</v>
      </c>
      <c r="E135" s="363">
        <v>546750</v>
      </c>
    </row>
    <row r="136" spans="1:5" ht="15" x14ac:dyDescent="0.2">
      <c r="B136" s="359" t="s">
        <v>526</v>
      </c>
      <c r="C136" s="357">
        <v>54715</v>
      </c>
      <c r="D136" s="357">
        <f>-8000-1900</f>
        <v>-9900</v>
      </c>
      <c r="E136" s="357">
        <f>46715-1900</f>
        <v>44815</v>
      </c>
    </row>
    <row r="137" spans="1:5" ht="15" x14ac:dyDescent="0.2">
      <c r="B137" s="359" t="s">
        <v>527</v>
      </c>
      <c r="C137" s="357">
        <v>427659</v>
      </c>
      <c r="D137" s="357">
        <v>33816</v>
      </c>
      <c r="E137" s="357">
        <v>461475</v>
      </c>
    </row>
    <row r="138" spans="1:5" ht="15" x14ac:dyDescent="0.2">
      <c r="B138" s="359" t="s">
        <v>528</v>
      </c>
      <c r="C138" s="357">
        <v>0</v>
      </c>
      <c r="D138" s="357">
        <v>2500</v>
      </c>
      <c r="E138" s="357">
        <v>2500</v>
      </c>
    </row>
    <row r="139" spans="1:5" ht="15" x14ac:dyDescent="0.2">
      <c r="B139" s="359" t="s">
        <v>529</v>
      </c>
      <c r="C139" s="357">
        <v>33376</v>
      </c>
      <c r="D139" s="357">
        <f>2684+1900</f>
        <v>4584</v>
      </c>
      <c r="E139" s="357">
        <f>36060+1900</f>
        <v>37960</v>
      </c>
    </row>
    <row r="141" spans="1:5" ht="15.75" customHeight="1" x14ac:dyDescent="0.2">
      <c r="A141" s="387" t="s">
        <v>554</v>
      </c>
      <c r="B141" s="388"/>
      <c r="C141" s="388"/>
      <c r="D141" s="388"/>
      <c r="E141" s="388"/>
    </row>
    <row r="142" spans="1:5" s="361" customFormat="1" ht="14.25" x14ac:dyDescent="0.2">
      <c r="B142" s="362" t="s">
        <v>525</v>
      </c>
      <c r="C142" s="363">
        <v>585976</v>
      </c>
      <c r="D142" s="363">
        <v>0</v>
      </c>
      <c r="E142" s="363">
        <v>585976</v>
      </c>
    </row>
    <row r="143" spans="1:5" ht="15" x14ac:dyDescent="0.2">
      <c r="B143" s="359" t="s">
        <v>529</v>
      </c>
      <c r="C143" s="357">
        <v>585976</v>
      </c>
      <c r="D143" s="357">
        <v>0</v>
      </c>
      <c r="E143" s="357">
        <v>585976</v>
      </c>
    </row>
    <row r="145" spans="1:5" ht="31.5" customHeight="1" x14ac:dyDescent="0.2">
      <c r="A145" s="387" t="s">
        <v>555</v>
      </c>
      <c r="B145" s="388"/>
      <c r="C145" s="388"/>
      <c r="D145" s="388"/>
      <c r="E145" s="388"/>
    </row>
    <row r="146" spans="1:5" s="361" customFormat="1" ht="14.25" x14ac:dyDescent="0.2">
      <c r="B146" s="362" t="s">
        <v>525</v>
      </c>
      <c r="C146" s="363">
        <v>580490</v>
      </c>
      <c r="D146" s="363">
        <v>-28892</v>
      </c>
      <c r="E146" s="363">
        <v>551598</v>
      </c>
    </row>
    <row r="147" spans="1:5" ht="15" x14ac:dyDescent="0.2">
      <c r="B147" s="359" t="s">
        <v>529</v>
      </c>
      <c r="C147" s="357">
        <v>580490</v>
      </c>
      <c r="D147" s="357">
        <v>-28892</v>
      </c>
      <c r="E147" s="357">
        <v>551598</v>
      </c>
    </row>
    <row r="149" spans="1:5" ht="15" x14ac:dyDescent="0.2">
      <c r="A149" s="387" t="s">
        <v>556</v>
      </c>
      <c r="B149" s="388"/>
      <c r="C149" s="388"/>
      <c r="D149" s="388"/>
      <c r="E149" s="388"/>
    </row>
    <row r="150" spans="1:5" s="361" customFormat="1" ht="14.25" x14ac:dyDescent="0.2">
      <c r="B150" s="362" t="s">
        <v>525</v>
      </c>
      <c r="C150" s="363">
        <v>7690637</v>
      </c>
      <c r="D150" s="363">
        <v>0</v>
      </c>
      <c r="E150" s="363">
        <v>7690637</v>
      </c>
    </row>
    <row r="151" spans="1:5" ht="15" x14ac:dyDescent="0.2">
      <c r="B151" s="359" t="s">
        <v>529</v>
      </c>
      <c r="C151" s="357">
        <v>7690637</v>
      </c>
      <c r="D151" s="357">
        <v>0</v>
      </c>
      <c r="E151" s="357">
        <v>7690637</v>
      </c>
    </row>
    <row r="153" spans="1:5" ht="31.5" customHeight="1" x14ac:dyDescent="0.2">
      <c r="A153" s="387" t="s">
        <v>557</v>
      </c>
      <c r="B153" s="388"/>
      <c r="C153" s="388"/>
      <c r="D153" s="388"/>
      <c r="E153" s="388"/>
    </row>
    <row r="154" spans="1:5" s="361" customFormat="1" ht="14.25" x14ac:dyDescent="0.2">
      <c r="B154" s="362" t="s">
        <v>525</v>
      </c>
      <c r="C154" s="363">
        <v>559875</v>
      </c>
      <c r="D154" s="363">
        <v>54654</v>
      </c>
      <c r="E154" s="363">
        <v>614529</v>
      </c>
    </row>
    <row r="155" spans="1:5" ht="15" x14ac:dyDescent="0.2">
      <c r="B155" s="359" t="s">
        <v>527</v>
      </c>
      <c r="C155" s="357">
        <v>0</v>
      </c>
      <c r="D155" s="357">
        <v>19082</v>
      </c>
      <c r="E155" s="357">
        <v>19082</v>
      </c>
    </row>
    <row r="156" spans="1:5" ht="15" x14ac:dyDescent="0.2">
      <c r="B156" s="359" t="s">
        <v>529</v>
      </c>
      <c r="C156" s="357">
        <v>559875</v>
      </c>
      <c r="D156" s="357">
        <v>-4982</v>
      </c>
      <c r="E156" s="357">
        <v>554893</v>
      </c>
    </row>
    <row r="157" spans="1:5" ht="30" x14ac:dyDescent="0.2">
      <c r="B157" s="359" t="s">
        <v>530</v>
      </c>
      <c r="C157" s="357">
        <v>0</v>
      </c>
      <c r="D157" s="357">
        <v>40554</v>
      </c>
      <c r="E157" s="357">
        <v>40554</v>
      </c>
    </row>
    <row r="159" spans="1:5" ht="31.5" customHeight="1" x14ac:dyDescent="0.2">
      <c r="A159" s="387" t="s">
        <v>558</v>
      </c>
      <c r="B159" s="388"/>
      <c r="C159" s="388"/>
      <c r="D159" s="388"/>
      <c r="E159" s="388"/>
    </row>
    <row r="160" spans="1:5" s="361" customFormat="1" ht="14.25" x14ac:dyDescent="0.2">
      <c r="B160" s="362" t="s">
        <v>525</v>
      </c>
      <c r="C160" s="363">
        <v>4085469</v>
      </c>
      <c r="D160" s="363">
        <v>0</v>
      </c>
      <c r="E160" s="363">
        <v>4085469</v>
      </c>
    </row>
    <row r="161" spans="1:5" ht="15" x14ac:dyDescent="0.2">
      <c r="B161" s="359" t="s">
        <v>529</v>
      </c>
      <c r="C161" s="357">
        <v>4085469</v>
      </c>
      <c r="D161" s="357">
        <v>0</v>
      </c>
      <c r="E161" s="357">
        <v>4085469</v>
      </c>
    </row>
    <row r="163" spans="1:5" ht="31.5" customHeight="1" x14ac:dyDescent="0.2">
      <c r="A163" s="387" t="s">
        <v>559</v>
      </c>
      <c r="B163" s="388"/>
      <c r="C163" s="388"/>
      <c r="D163" s="388"/>
      <c r="E163" s="388"/>
    </row>
    <row r="164" spans="1:5" s="361" customFormat="1" ht="14.25" x14ac:dyDescent="0.2">
      <c r="B164" s="362" t="s">
        <v>525</v>
      </c>
      <c r="C164" s="363">
        <v>1174064</v>
      </c>
      <c r="D164" s="363">
        <v>0</v>
      </c>
      <c r="E164" s="363">
        <v>1174064</v>
      </c>
    </row>
    <row r="165" spans="1:5" ht="15" x14ac:dyDescent="0.2">
      <c r="B165" s="359" t="s">
        <v>529</v>
      </c>
      <c r="C165" s="357">
        <v>1174064</v>
      </c>
      <c r="D165" s="357">
        <v>0</v>
      </c>
      <c r="E165" s="357">
        <v>1174064</v>
      </c>
    </row>
    <row r="167" spans="1:5" ht="31.5" customHeight="1" x14ac:dyDescent="0.2">
      <c r="A167" s="387" t="s">
        <v>560</v>
      </c>
      <c r="B167" s="388"/>
      <c r="C167" s="388"/>
      <c r="D167" s="388"/>
      <c r="E167" s="388"/>
    </row>
    <row r="168" spans="1:5" s="361" customFormat="1" ht="14.25" x14ac:dyDescent="0.2">
      <c r="B168" s="362" t="s">
        <v>525</v>
      </c>
      <c r="C168" s="363">
        <v>877932</v>
      </c>
      <c r="D168" s="363">
        <v>14625</v>
      </c>
      <c r="E168" s="363">
        <v>892557</v>
      </c>
    </row>
    <row r="169" spans="1:5" ht="15" x14ac:dyDescent="0.2">
      <c r="B169" s="359" t="s">
        <v>529</v>
      </c>
      <c r="C169" s="357">
        <v>877932</v>
      </c>
      <c r="D169" s="357">
        <v>14625</v>
      </c>
      <c r="E169" s="357">
        <v>892557</v>
      </c>
    </row>
    <row r="171" spans="1:5" ht="15.75" customHeight="1" x14ac:dyDescent="0.2">
      <c r="A171" s="387" t="s">
        <v>561</v>
      </c>
      <c r="B171" s="388"/>
      <c r="C171" s="388"/>
      <c r="D171" s="388"/>
      <c r="E171" s="388"/>
    </row>
    <row r="172" spans="1:5" s="361" customFormat="1" ht="14.25" x14ac:dyDescent="0.2">
      <c r="B172" s="362" t="s">
        <v>525</v>
      </c>
      <c r="C172" s="363">
        <v>77753</v>
      </c>
      <c r="D172" s="363">
        <v>29202</v>
      </c>
      <c r="E172" s="363">
        <v>106955</v>
      </c>
    </row>
    <row r="173" spans="1:5" ht="15" x14ac:dyDescent="0.2">
      <c r="B173" s="359" t="s">
        <v>526</v>
      </c>
      <c r="C173" s="357">
        <v>54493</v>
      </c>
      <c r="D173" s="357">
        <v>16132</v>
      </c>
      <c r="E173" s="357">
        <v>70625</v>
      </c>
    </row>
    <row r="174" spans="1:5" ht="15" x14ac:dyDescent="0.2">
      <c r="B174" s="359" t="s">
        <v>527</v>
      </c>
      <c r="C174" s="357">
        <v>23260</v>
      </c>
      <c r="D174" s="357">
        <v>13070</v>
      </c>
      <c r="E174" s="357">
        <v>36330</v>
      </c>
    </row>
    <row r="176" spans="1:5" ht="15.75" customHeight="1" x14ac:dyDescent="0.2">
      <c r="A176" s="387" t="s">
        <v>869</v>
      </c>
      <c r="B176" s="388"/>
      <c r="C176" s="388"/>
      <c r="D176" s="388"/>
      <c r="E176" s="388"/>
    </row>
    <row r="177" spans="1:5" s="361" customFormat="1" ht="14.25" x14ac:dyDescent="0.2">
      <c r="B177" s="362" t="s">
        <v>525</v>
      </c>
      <c r="C177" s="363">
        <v>0</v>
      </c>
      <c r="D177" s="363">
        <v>1556</v>
      </c>
      <c r="E177" s="363">
        <v>1556</v>
      </c>
    </row>
    <row r="178" spans="1:5" ht="15" x14ac:dyDescent="0.2">
      <c r="B178" s="359" t="s">
        <v>526</v>
      </c>
      <c r="C178" s="357">
        <v>0</v>
      </c>
      <c r="D178" s="357">
        <v>1556</v>
      </c>
      <c r="E178" s="357">
        <v>1556</v>
      </c>
    </row>
    <row r="180" spans="1:5" ht="15.75" customHeight="1" x14ac:dyDescent="0.2">
      <c r="A180" s="387" t="s">
        <v>870</v>
      </c>
      <c r="B180" s="388"/>
      <c r="C180" s="388"/>
      <c r="D180" s="388"/>
      <c r="E180" s="388"/>
    </row>
    <row r="181" spans="1:5" s="361" customFormat="1" ht="14.25" x14ac:dyDescent="0.2">
      <c r="B181" s="362" t="s">
        <v>525</v>
      </c>
      <c r="C181" s="363">
        <v>0</v>
      </c>
      <c r="D181" s="363">
        <v>2420</v>
      </c>
      <c r="E181" s="363">
        <v>2420</v>
      </c>
    </row>
    <row r="182" spans="1:5" ht="15" x14ac:dyDescent="0.2">
      <c r="B182" s="359" t="s">
        <v>526</v>
      </c>
      <c r="C182" s="357">
        <v>0</v>
      </c>
      <c r="D182" s="357">
        <v>1004</v>
      </c>
      <c r="E182" s="357">
        <v>1004</v>
      </c>
    </row>
    <row r="183" spans="1:5" ht="15" x14ac:dyDescent="0.2">
      <c r="B183" s="359" t="s">
        <v>527</v>
      </c>
      <c r="C183" s="357">
        <v>0</v>
      </c>
      <c r="D183" s="357">
        <v>1416</v>
      </c>
      <c r="E183" s="357">
        <v>1416</v>
      </c>
    </row>
    <row r="185" spans="1:5" ht="15.75" customHeight="1" x14ac:dyDescent="0.2">
      <c r="A185" s="387" t="s">
        <v>562</v>
      </c>
      <c r="B185" s="388"/>
      <c r="C185" s="388"/>
      <c r="D185" s="388"/>
      <c r="E185" s="388"/>
    </row>
    <row r="186" spans="1:5" s="361" customFormat="1" ht="14.25" x14ac:dyDescent="0.2">
      <c r="B186" s="362" t="s">
        <v>525</v>
      </c>
      <c r="C186" s="363">
        <v>140461</v>
      </c>
      <c r="D186" s="363">
        <v>-30000</v>
      </c>
      <c r="E186" s="363">
        <v>110461</v>
      </c>
    </row>
    <row r="187" spans="1:5" ht="15" x14ac:dyDescent="0.2">
      <c r="B187" s="359" t="s">
        <v>526</v>
      </c>
      <c r="C187" s="357">
        <v>42848</v>
      </c>
      <c r="D187" s="357">
        <v>3362</v>
      </c>
      <c r="E187" s="357">
        <v>46210</v>
      </c>
    </row>
    <row r="188" spans="1:5" ht="15" x14ac:dyDescent="0.2">
      <c r="B188" s="359" t="s">
        <v>527</v>
      </c>
      <c r="C188" s="357">
        <v>92613</v>
      </c>
      <c r="D188" s="357">
        <v>-33362</v>
      </c>
      <c r="E188" s="357">
        <v>59251</v>
      </c>
    </row>
    <row r="189" spans="1:5" ht="30" x14ac:dyDescent="0.2">
      <c r="B189" s="359" t="s">
        <v>530</v>
      </c>
      <c r="C189" s="357">
        <v>5000</v>
      </c>
      <c r="D189" s="357">
        <v>0</v>
      </c>
      <c r="E189" s="357">
        <v>5000</v>
      </c>
    </row>
    <row r="191" spans="1:5" ht="15.75" customHeight="1" x14ac:dyDescent="0.2">
      <c r="A191" s="387" t="s">
        <v>563</v>
      </c>
      <c r="B191" s="388"/>
      <c r="C191" s="388"/>
      <c r="D191" s="388"/>
      <c r="E191" s="388"/>
    </row>
    <row r="192" spans="1:5" s="361" customFormat="1" ht="14.25" x14ac:dyDescent="0.2">
      <c r="B192" s="362" t="s">
        <v>525</v>
      </c>
      <c r="C192" s="363">
        <v>800000</v>
      </c>
      <c r="D192" s="363">
        <v>-600000</v>
      </c>
      <c r="E192" s="363">
        <v>200000</v>
      </c>
    </row>
    <row r="193" spans="1:7" ht="15" x14ac:dyDescent="0.2">
      <c r="B193" s="359" t="s">
        <v>529</v>
      </c>
      <c r="C193" s="357">
        <v>800000</v>
      </c>
      <c r="D193" s="357">
        <v>-600000</v>
      </c>
      <c r="E193" s="357">
        <v>200000</v>
      </c>
    </row>
    <row r="194" spans="1:7" ht="26.25" customHeight="1" x14ac:dyDescent="0.2">
      <c r="G194" s="361"/>
    </row>
    <row r="195" spans="1:7" ht="15.75" customHeight="1" x14ac:dyDescent="0.2">
      <c r="A195" s="389" t="s">
        <v>564</v>
      </c>
      <c r="B195" s="390"/>
      <c r="C195" s="390"/>
      <c r="D195" s="390"/>
      <c r="E195" s="390"/>
    </row>
    <row r="196" spans="1:7" ht="15" x14ac:dyDescent="0.2">
      <c r="B196" s="364" t="s">
        <v>525</v>
      </c>
      <c r="C196" s="365">
        <v>3005301</v>
      </c>
      <c r="D196" s="365">
        <v>-86825</v>
      </c>
      <c r="E196" s="365">
        <v>2918476</v>
      </c>
    </row>
    <row r="197" spans="1:7" ht="15" x14ac:dyDescent="0.2">
      <c r="B197" s="364" t="s">
        <v>527</v>
      </c>
      <c r="C197" s="365">
        <v>574024</v>
      </c>
      <c r="D197" s="365">
        <v>-174472</v>
      </c>
      <c r="E197" s="365">
        <v>399552</v>
      </c>
    </row>
    <row r="198" spans="1:7" ht="15" x14ac:dyDescent="0.2">
      <c r="B198" s="364" t="s">
        <v>528</v>
      </c>
      <c r="C198" s="365">
        <v>2428777</v>
      </c>
      <c r="D198" s="365">
        <v>87636</v>
      </c>
      <c r="E198" s="365">
        <v>2516413</v>
      </c>
    </row>
    <row r="199" spans="1:7" ht="15" x14ac:dyDescent="0.2">
      <c r="B199" s="364" t="s">
        <v>871</v>
      </c>
      <c r="C199" s="365">
        <v>0</v>
      </c>
      <c r="D199" s="365">
        <v>11</v>
      </c>
      <c r="E199" s="365">
        <v>11</v>
      </c>
    </row>
    <row r="200" spans="1:7" ht="30" x14ac:dyDescent="0.2">
      <c r="B200" s="364" t="s">
        <v>530</v>
      </c>
      <c r="C200" s="365">
        <v>2500</v>
      </c>
      <c r="D200" s="365">
        <v>0</v>
      </c>
      <c r="E200" s="365">
        <v>2500</v>
      </c>
    </row>
    <row r="202" spans="1:7" ht="15.75" customHeight="1" x14ac:dyDescent="0.2">
      <c r="A202" s="387" t="s">
        <v>565</v>
      </c>
      <c r="B202" s="388"/>
      <c r="C202" s="388"/>
      <c r="D202" s="388"/>
      <c r="E202" s="388"/>
    </row>
    <row r="203" spans="1:7" s="361" customFormat="1" ht="14.25" x14ac:dyDescent="0.2">
      <c r="B203" s="362" t="s">
        <v>525</v>
      </c>
      <c r="C203" s="363">
        <v>44630</v>
      </c>
      <c r="D203" s="363">
        <v>0</v>
      </c>
      <c r="E203" s="363">
        <v>44630</v>
      </c>
    </row>
    <row r="204" spans="1:7" ht="15" x14ac:dyDescent="0.2">
      <c r="B204" s="359" t="s">
        <v>527</v>
      </c>
      <c r="C204" s="357">
        <v>44630</v>
      </c>
      <c r="D204" s="357">
        <v>0</v>
      </c>
      <c r="E204" s="357">
        <v>44630</v>
      </c>
    </row>
    <row r="206" spans="1:7" ht="15.75" customHeight="1" x14ac:dyDescent="0.2">
      <c r="A206" s="387" t="s">
        <v>566</v>
      </c>
      <c r="B206" s="388"/>
      <c r="C206" s="388"/>
      <c r="D206" s="388"/>
      <c r="E206" s="388"/>
    </row>
    <row r="207" spans="1:7" s="361" customFormat="1" ht="14.25" x14ac:dyDescent="0.2">
      <c r="B207" s="362" t="s">
        <v>525</v>
      </c>
      <c r="C207" s="363">
        <v>206594</v>
      </c>
      <c r="D207" s="363">
        <v>0</v>
      </c>
      <c r="E207" s="363">
        <v>206594</v>
      </c>
    </row>
    <row r="208" spans="1:7" ht="15" x14ac:dyDescent="0.2">
      <c r="B208" s="359" t="s">
        <v>527</v>
      </c>
      <c r="C208" s="357">
        <v>206594</v>
      </c>
      <c r="D208" s="357">
        <v>-11</v>
      </c>
      <c r="E208" s="357">
        <v>206583</v>
      </c>
    </row>
    <row r="209" spans="1:6" ht="15" x14ac:dyDescent="0.2">
      <c r="B209" s="359" t="s">
        <v>871</v>
      </c>
      <c r="C209" s="357">
        <v>0</v>
      </c>
      <c r="D209" s="357">
        <v>11</v>
      </c>
      <c r="E209" s="357">
        <v>11</v>
      </c>
    </row>
    <row r="211" spans="1:6" ht="15.75" customHeight="1" x14ac:dyDescent="0.2">
      <c r="A211" s="387" t="s">
        <v>567</v>
      </c>
      <c r="B211" s="388"/>
      <c r="C211" s="388"/>
      <c r="D211" s="388"/>
      <c r="E211" s="388"/>
      <c r="F211" s="361"/>
    </row>
    <row r="212" spans="1:6" s="361" customFormat="1" ht="14.25" x14ac:dyDescent="0.2">
      <c r="B212" s="362" t="s">
        <v>525</v>
      </c>
      <c r="C212" s="363">
        <v>225259</v>
      </c>
      <c r="D212" s="363">
        <v>-174461</v>
      </c>
      <c r="E212" s="363">
        <v>50798</v>
      </c>
    </row>
    <row r="213" spans="1:6" ht="15" x14ac:dyDescent="0.2">
      <c r="B213" s="359" t="s">
        <v>527</v>
      </c>
      <c r="C213" s="357">
        <v>225259</v>
      </c>
      <c r="D213" s="357">
        <v>-174461</v>
      </c>
      <c r="E213" s="357">
        <v>50798</v>
      </c>
    </row>
    <row r="215" spans="1:6" ht="15.75" customHeight="1" x14ac:dyDescent="0.2">
      <c r="A215" s="387" t="s">
        <v>568</v>
      </c>
      <c r="B215" s="388"/>
      <c r="C215" s="388"/>
      <c r="D215" s="388"/>
      <c r="E215" s="388"/>
    </row>
    <row r="216" spans="1:6" s="361" customFormat="1" ht="14.25" x14ac:dyDescent="0.2">
      <c r="B216" s="362" t="s">
        <v>525</v>
      </c>
      <c r="C216" s="363">
        <v>1491007</v>
      </c>
      <c r="D216" s="363">
        <v>0</v>
      </c>
      <c r="E216" s="363">
        <v>1491007</v>
      </c>
    </row>
    <row r="217" spans="1:6" ht="15" x14ac:dyDescent="0.2">
      <c r="B217" s="359" t="s">
        <v>528</v>
      </c>
      <c r="C217" s="357">
        <v>1491007</v>
      </c>
      <c r="D217" s="357">
        <v>0</v>
      </c>
      <c r="E217" s="357">
        <v>1491007</v>
      </c>
    </row>
    <row r="219" spans="1:6" ht="15.75" customHeight="1" x14ac:dyDescent="0.2">
      <c r="A219" s="387" t="s">
        <v>569</v>
      </c>
      <c r="B219" s="388"/>
      <c r="C219" s="388"/>
      <c r="D219" s="388"/>
      <c r="E219" s="388"/>
    </row>
    <row r="220" spans="1:6" s="361" customFormat="1" ht="14.25" x14ac:dyDescent="0.2">
      <c r="B220" s="362" t="s">
        <v>525</v>
      </c>
      <c r="C220" s="363">
        <v>2500</v>
      </c>
      <c r="D220" s="363">
        <v>0</v>
      </c>
      <c r="E220" s="363">
        <v>2500</v>
      </c>
    </row>
    <row r="221" spans="1:6" ht="30" x14ac:dyDescent="0.2">
      <c r="B221" s="359" t="s">
        <v>530</v>
      </c>
      <c r="C221" s="357">
        <v>2500</v>
      </c>
      <c r="D221" s="357">
        <v>0</v>
      </c>
      <c r="E221" s="357">
        <v>2500</v>
      </c>
    </row>
    <row r="223" spans="1:6" ht="15.75" customHeight="1" x14ac:dyDescent="0.2">
      <c r="A223" s="387" t="s">
        <v>570</v>
      </c>
      <c r="B223" s="388"/>
      <c r="C223" s="388"/>
      <c r="D223" s="388"/>
      <c r="E223" s="388"/>
    </row>
    <row r="224" spans="1:6" s="361" customFormat="1" ht="14.25" x14ac:dyDescent="0.2">
      <c r="B224" s="362" t="s">
        <v>525</v>
      </c>
      <c r="C224" s="363">
        <v>492331</v>
      </c>
      <c r="D224" s="363">
        <v>1300</v>
      </c>
      <c r="E224" s="363">
        <v>493631</v>
      </c>
    </row>
    <row r="225" spans="1:5" ht="15" x14ac:dyDescent="0.2">
      <c r="B225" s="359" t="s">
        <v>528</v>
      </c>
      <c r="C225" s="357">
        <v>492331</v>
      </c>
      <c r="D225" s="357">
        <v>1300</v>
      </c>
      <c r="E225" s="357">
        <v>493631</v>
      </c>
    </row>
    <row r="227" spans="1:5" ht="15.75" customHeight="1" x14ac:dyDescent="0.2">
      <c r="A227" s="387" t="s">
        <v>872</v>
      </c>
      <c r="B227" s="388"/>
      <c r="C227" s="388"/>
      <c r="D227" s="388"/>
      <c r="E227" s="388"/>
    </row>
    <row r="228" spans="1:5" s="361" customFormat="1" ht="14.25" x14ac:dyDescent="0.2">
      <c r="B228" s="362" t="s">
        <v>525</v>
      </c>
      <c r="C228" s="363">
        <v>0</v>
      </c>
      <c r="D228" s="363">
        <v>6398</v>
      </c>
      <c r="E228" s="363">
        <v>6398</v>
      </c>
    </row>
    <row r="229" spans="1:5" ht="15" x14ac:dyDescent="0.2">
      <c r="B229" s="359" t="s">
        <v>528</v>
      </c>
      <c r="C229" s="357">
        <v>0</v>
      </c>
      <c r="D229" s="357">
        <v>6398</v>
      </c>
      <c r="E229" s="357">
        <v>6398</v>
      </c>
    </row>
    <row r="231" spans="1:5" ht="15" x14ac:dyDescent="0.2">
      <c r="A231" s="387" t="s">
        <v>571</v>
      </c>
      <c r="B231" s="388"/>
      <c r="C231" s="388"/>
      <c r="D231" s="388"/>
      <c r="E231" s="388"/>
    </row>
    <row r="232" spans="1:5" s="361" customFormat="1" ht="14.25" x14ac:dyDescent="0.2">
      <c r="B232" s="362" t="s">
        <v>525</v>
      </c>
      <c r="C232" s="363">
        <v>258546</v>
      </c>
      <c r="D232" s="363">
        <v>78858</v>
      </c>
      <c r="E232" s="363">
        <v>337404</v>
      </c>
    </row>
    <row r="233" spans="1:5" ht="15" x14ac:dyDescent="0.2">
      <c r="B233" s="359" t="s">
        <v>528</v>
      </c>
      <c r="C233" s="357">
        <v>258546</v>
      </c>
      <c r="D233" s="357">
        <v>78858</v>
      </c>
      <c r="E233" s="357">
        <v>337404</v>
      </c>
    </row>
    <row r="235" spans="1:5" ht="15.75" customHeight="1" x14ac:dyDescent="0.2">
      <c r="A235" s="387" t="s">
        <v>805</v>
      </c>
      <c r="B235" s="388"/>
      <c r="C235" s="388"/>
      <c r="D235" s="388"/>
      <c r="E235" s="388"/>
    </row>
    <row r="236" spans="1:5" s="361" customFormat="1" ht="14.25" x14ac:dyDescent="0.2">
      <c r="B236" s="362" t="s">
        <v>525</v>
      </c>
      <c r="C236" s="363">
        <v>12672</v>
      </c>
      <c r="D236" s="363">
        <v>0</v>
      </c>
      <c r="E236" s="363">
        <v>12672</v>
      </c>
    </row>
    <row r="237" spans="1:5" ht="15" x14ac:dyDescent="0.2">
      <c r="B237" s="359" t="s">
        <v>528</v>
      </c>
      <c r="C237" s="357">
        <v>12672</v>
      </c>
      <c r="D237" s="357">
        <v>0</v>
      </c>
      <c r="E237" s="357">
        <v>12672</v>
      </c>
    </row>
    <row r="239" spans="1:5" ht="15.75" customHeight="1" x14ac:dyDescent="0.2">
      <c r="A239" s="387" t="s">
        <v>572</v>
      </c>
      <c r="B239" s="388"/>
      <c r="C239" s="388"/>
      <c r="D239" s="388"/>
      <c r="E239" s="388"/>
    </row>
    <row r="240" spans="1:5" s="361" customFormat="1" ht="14.25" x14ac:dyDescent="0.2">
      <c r="B240" s="362" t="s">
        <v>525</v>
      </c>
      <c r="C240" s="363">
        <v>5000</v>
      </c>
      <c r="D240" s="363">
        <v>0</v>
      </c>
      <c r="E240" s="363">
        <v>5000</v>
      </c>
    </row>
    <row r="241" spans="1:5" ht="15" x14ac:dyDescent="0.2">
      <c r="B241" s="359" t="s">
        <v>528</v>
      </c>
      <c r="C241" s="357">
        <v>5000</v>
      </c>
      <c r="D241" s="357">
        <v>0</v>
      </c>
      <c r="E241" s="357">
        <v>5000</v>
      </c>
    </row>
    <row r="243" spans="1:5" ht="15.75" customHeight="1" x14ac:dyDescent="0.2">
      <c r="A243" s="387" t="s">
        <v>573</v>
      </c>
      <c r="B243" s="388"/>
      <c r="C243" s="388"/>
      <c r="D243" s="388"/>
      <c r="E243" s="388"/>
    </row>
    <row r="244" spans="1:5" s="361" customFormat="1" ht="14.25" x14ac:dyDescent="0.2">
      <c r="B244" s="362" t="s">
        <v>525</v>
      </c>
      <c r="C244" s="363">
        <v>157621</v>
      </c>
      <c r="D244" s="363">
        <v>1080</v>
      </c>
      <c r="E244" s="363">
        <v>158701</v>
      </c>
    </row>
    <row r="245" spans="1:5" ht="15" x14ac:dyDescent="0.2">
      <c r="B245" s="359" t="s">
        <v>528</v>
      </c>
      <c r="C245" s="357">
        <v>157621</v>
      </c>
      <c r="D245" s="357">
        <v>1080</v>
      </c>
      <c r="E245" s="357">
        <v>158701</v>
      </c>
    </row>
    <row r="247" spans="1:5" ht="15.75" customHeight="1" x14ac:dyDescent="0.2">
      <c r="A247" s="387" t="s">
        <v>574</v>
      </c>
      <c r="B247" s="388"/>
      <c r="C247" s="388"/>
      <c r="D247" s="388"/>
      <c r="E247" s="388"/>
    </row>
    <row r="248" spans="1:5" s="361" customFormat="1" ht="14.25" x14ac:dyDescent="0.2">
      <c r="B248" s="362" t="s">
        <v>525</v>
      </c>
      <c r="C248" s="363">
        <v>4300</v>
      </c>
      <c r="D248" s="363">
        <v>0</v>
      </c>
      <c r="E248" s="363">
        <v>4300</v>
      </c>
    </row>
    <row r="249" spans="1:5" ht="15" x14ac:dyDescent="0.2">
      <c r="B249" s="359" t="s">
        <v>528</v>
      </c>
      <c r="C249" s="357">
        <v>4300</v>
      </c>
      <c r="D249" s="357">
        <v>0</v>
      </c>
      <c r="E249" s="357">
        <v>4300</v>
      </c>
    </row>
    <row r="251" spans="1:5" ht="15.75" customHeight="1" x14ac:dyDescent="0.2">
      <c r="A251" s="387" t="s">
        <v>575</v>
      </c>
      <c r="B251" s="388"/>
      <c r="C251" s="388"/>
      <c r="D251" s="388"/>
      <c r="E251" s="388"/>
    </row>
    <row r="252" spans="1:5" s="361" customFormat="1" ht="14.25" x14ac:dyDescent="0.2">
      <c r="B252" s="362" t="s">
        <v>525</v>
      </c>
      <c r="C252" s="363">
        <v>97541</v>
      </c>
      <c r="D252" s="363">
        <v>0</v>
      </c>
      <c r="E252" s="363">
        <v>97541</v>
      </c>
    </row>
    <row r="253" spans="1:5" ht="15" x14ac:dyDescent="0.2">
      <c r="B253" s="359" t="s">
        <v>527</v>
      </c>
      <c r="C253" s="357">
        <v>97541</v>
      </c>
      <c r="D253" s="357">
        <v>0</v>
      </c>
      <c r="E253" s="357">
        <v>97541</v>
      </c>
    </row>
    <row r="255" spans="1:5" ht="15.75" customHeight="1" x14ac:dyDescent="0.2">
      <c r="A255" s="387" t="s">
        <v>576</v>
      </c>
      <c r="B255" s="388"/>
      <c r="C255" s="388"/>
      <c r="D255" s="388"/>
      <c r="E255" s="388"/>
    </row>
    <row r="256" spans="1:5" s="361" customFormat="1" ht="14.25" x14ac:dyDescent="0.2">
      <c r="B256" s="362" t="s">
        <v>525</v>
      </c>
      <c r="C256" s="363">
        <v>6000</v>
      </c>
      <c r="D256" s="363">
        <v>0</v>
      </c>
      <c r="E256" s="363">
        <v>6000</v>
      </c>
    </row>
    <row r="257" spans="1:5" ht="15" x14ac:dyDescent="0.2">
      <c r="B257" s="359" t="s">
        <v>528</v>
      </c>
      <c r="C257" s="357">
        <v>6000</v>
      </c>
      <c r="D257" s="357">
        <v>0</v>
      </c>
      <c r="E257" s="357">
        <v>6000</v>
      </c>
    </row>
    <row r="259" spans="1:5" ht="15.75" customHeight="1" x14ac:dyDescent="0.2">
      <c r="A259" s="387" t="s">
        <v>577</v>
      </c>
      <c r="B259" s="388"/>
      <c r="C259" s="388"/>
      <c r="D259" s="388"/>
      <c r="E259" s="388"/>
    </row>
    <row r="260" spans="1:5" s="361" customFormat="1" ht="14.25" x14ac:dyDescent="0.2">
      <c r="B260" s="362" t="s">
        <v>525</v>
      </c>
      <c r="C260" s="363">
        <v>1300</v>
      </c>
      <c r="D260" s="363">
        <v>0</v>
      </c>
      <c r="E260" s="363">
        <v>1300</v>
      </c>
    </row>
    <row r="261" spans="1:5" ht="15" x14ac:dyDescent="0.2">
      <c r="B261" s="359" t="s">
        <v>528</v>
      </c>
      <c r="C261" s="357">
        <v>1300</v>
      </c>
      <c r="D261" s="357">
        <v>0</v>
      </c>
      <c r="E261" s="357">
        <v>1300</v>
      </c>
    </row>
    <row r="262" spans="1:5" ht="27" customHeight="1" x14ac:dyDescent="0.2"/>
    <row r="263" spans="1:5" ht="31.5" customHeight="1" x14ac:dyDescent="0.2">
      <c r="A263" s="389" t="s">
        <v>578</v>
      </c>
      <c r="B263" s="391"/>
      <c r="C263" s="391"/>
      <c r="D263" s="391"/>
      <c r="E263" s="391"/>
    </row>
    <row r="264" spans="1:5" ht="15" x14ac:dyDescent="0.2">
      <c r="B264" s="364" t="s">
        <v>525</v>
      </c>
      <c r="C264" s="365">
        <v>280895</v>
      </c>
      <c r="D264" s="365">
        <v>0</v>
      </c>
      <c r="E264" s="365">
        <v>280895</v>
      </c>
    </row>
    <row r="265" spans="1:5" ht="15" x14ac:dyDescent="0.2">
      <c r="B265" s="364" t="s">
        <v>526</v>
      </c>
      <c r="C265" s="365">
        <v>262324</v>
      </c>
      <c r="D265" s="365">
        <v>0</v>
      </c>
      <c r="E265" s="365">
        <v>262324</v>
      </c>
    </row>
    <row r="266" spans="1:5" ht="15" x14ac:dyDescent="0.2">
      <c r="B266" s="364" t="s">
        <v>527</v>
      </c>
      <c r="C266" s="365">
        <v>14571</v>
      </c>
      <c r="D266" s="365">
        <v>0</v>
      </c>
      <c r="E266" s="365">
        <v>14571</v>
      </c>
    </row>
    <row r="267" spans="1:5" ht="15" x14ac:dyDescent="0.2">
      <c r="B267" s="364" t="s">
        <v>529</v>
      </c>
      <c r="C267" s="365">
        <v>4000</v>
      </c>
      <c r="D267" s="365">
        <v>0</v>
      </c>
      <c r="E267" s="365">
        <v>4000</v>
      </c>
    </row>
    <row r="269" spans="1:5" ht="15.75" customHeight="1" x14ac:dyDescent="0.2">
      <c r="A269" s="387" t="s">
        <v>579</v>
      </c>
      <c r="B269" s="388"/>
      <c r="C269" s="388"/>
      <c r="D269" s="388"/>
      <c r="E269" s="388"/>
    </row>
    <row r="270" spans="1:5" s="361" customFormat="1" ht="14.25" x14ac:dyDescent="0.2">
      <c r="B270" s="362" t="s">
        <v>525</v>
      </c>
      <c r="C270" s="363">
        <v>280895</v>
      </c>
      <c r="D270" s="363">
        <v>0</v>
      </c>
      <c r="E270" s="363">
        <v>280895</v>
      </c>
    </row>
    <row r="271" spans="1:5" ht="15" x14ac:dyDescent="0.2">
      <c r="B271" s="359" t="s">
        <v>526</v>
      </c>
      <c r="C271" s="357">
        <v>262324</v>
      </c>
      <c r="D271" s="357">
        <v>0</v>
      </c>
      <c r="E271" s="357">
        <v>262324</v>
      </c>
    </row>
    <row r="272" spans="1:5" ht="15" x14ac:dyDescent="0.2">
      <c r="B272" s="359" t="s">
        <v>527</v>
      </c>
      <c r="C272" s="357">
        <v>14571</v>
      </c>
      <c r="D272" s="357">
        <v>0</v>
      </c>
      <c r="E272" s="357">
        <v>14571</v>
      </c>
    </row>
    <row r="273" spans="1:5" ht="15" x14ac:dyDescent="0.2">
      <c r="B273" s="359" t="s">
        <v>529</v>
      </c>
      <c r="C273" s="357">
        <v>4000</v>
      </c>
      <c r="D273" s="357">
        <v>0</v>
      </c>
      <c r="E273" s="357">
        <v>4000</v>
      </c>
    </row>
    <row r="274" spans="1:5" ht="24.75" customHeight="1" x14ac:dyDescent="0.2"/>
    <row r="275" spans="1:5" ht="15" x14ac:dyDescent="0.2">
      <c r="A275" s="389" t="s">
        <v>580</v>
      </c>
      <c r="B275" s="391"/>
      <c r="C275" s="391"/>
      <c r="D275" s="391"/>
      <c r="E275" s="391"/>
    </row>
    <row r="276" spans="1:5" ht="15" x14ac:dyDescent="0.2">
      <c r="B276" s="364" t="s">
        <v>525</v>
      </c>
      <c r="C276" s="365">
        <v>2872256</v>
      </c>
      <c r="D276" s="365">
        <v>0</v>
      </c>
      <c r="E276" s="365">
        <v>2872256</v>
      </c>
    </row>
    <row r="277" spans="1:5" ht="15" x14ac:dyDescent="0.2">
      <c r="B277" s="364" t="s">
        <v>526</v>
      </c>
      <c r="C277" s="365">
        <v>2598428</v>
      </c>
      <c r="D277" s="365">
        <v>0</v>
      </c>
      <c r="E277" s="365">
        <v>2598428</v>
      </c>
    </row>
    <row r="278" spans="1:5" ht="15" x14ac:dyDescent="0.2">
      <c r="B278" s="364" t="s">
        <v>527</v>
      </c>
      <c r="C278" s="365">
        <v>267078</v>
      </c>
      <c r="D278" s="365">
        <v>0</v>
      </c>
      <c r="E278" s="365">
        <v>267078</v>
      </c>
    </row>
    <row r="279" spans="1:5" ht="15" x14ac:dyDescent="0.2">
      <c r="B279" s="364" t="s">
        <v>529</v>
      </c>
      <c r="C279" s="365">
        <v>6750</v>
      </c>
      <c r="D279" s="365">
        <v>0</v>
      </c>
      <c r="E279" s="365">
        <v>6750</v>
      </c>
    </row>
    <row r="281" spans="1:5" ht="15.75" customHeight="1" x14ac:dyDescent="0.2">
      <c r="A281" s="387" t="s">
        <v>581</v>
      </c>
      <c r="B281" s="388"/>
      <c r="C281" s="388"/>
      <c r="D281" s="388"/>
      <c r="E281" s="388"/>
    </row>
    <row r="282" spans="1:5" s="361" customFormat="1" ht="14.25" x14ac:dyDescent="0.2">
      <c r="B282" s="362" t="s">
        <v>525</v>
      </c>
      <c r="C282" s="363">
        <v>2872256</v>
      </c>
      <c r="D282" s="363">
        <v>0</v>
      </c>
      <c r="E282" s="363">
        <v>2872256</v>
      </c>
    </row>
    <row r="283" spans="1:5" ht="15" x14ac:dyDescent="0.2">
      <c r="B283" s="359" t="s">
        <v>526</v>
      </c>
      <c r="C283" s="357">
        <v>2598428</v>
      </c>
      <c r="D283" s="357">
        <v>0</v>
      </c>
      <c r="E283" s="357">
        <v>2598428</v>
      </c>
    </row>
    <row r="284" spans="1:5" ht="15" x14ac:dyDescent="0.2">
      <c r="B284" s="359" t="s">
        <v>527</v>
      </c>
      <c r="C284" s="357">
        <v>267078</v>
      </c>
      <c r="D284" s="357">
        <v>0</v>
      </c>
      <c r="E284" s="357">
        <v>267078</v>
      </c>
    </row>
    <row r="285" spans="1:5" ht="15" x14ac:dyDescent="0.2">
      <c r="B285" s="359" t="s">
        <v>529</v>
      </c>
      <c r="C285" s="357">
        <v>6750</v>
      </c>
      <c r="D285" s="357">
        <v>0</v>
      </c>
      <c r="E285" s="357">
        <v>6750</v>
      </c>
    </row>
    <row r="286" spans="1:5" ht="34.5" customHeight="1" x14ac:dyDescent="0.2"/>
    <row r="287" spans="1:5" ht="31.5" customHeight="1" x14ac:dyDescent="0.2">
      <c r="A287" s="389" t="s">
        <v>582</v>
      </c>
      <c r="B287" s="391"/>
      <c r="C287" s="391"/>
      <c r="D287" s="391"/>
      <c r="E287" s="391"/>
    </row>
    <row r="288" spans="1:5" ht="15" x14ac:dyDescent="0.2">
      <c r="B288" s="364" t="s">
        <v>525</v>
      </c>
      <c r="C288" s="365">
        <v>877110</v>
      </c>
      <c r="D288" s="365">
        <v>-77537</v>
      </c>
      <c r="E288" s="365">
        <v>799573</v>
      </c>
    </row>
    <row r="289" spans="1:5" ht="15" x14ac:dyDescent="0.2">
      <c r="B289" s="364" t="s">
        <v>526</v>
      </c>
      <c r="C289" s="365">
        <v>249643</v>
      </c>
      <c r="D289" s="365">
        <v>-15000</v>
      </c>
      <c r="E289" s="365">
        <v>234643</v>
      </c>
    </row>
    <row r="290" spans="1:5" ht="15" x14ac:dyDescent="0.2">
      <c r="B290" s="364" t="s">
        <v>527</v>
      </c>
      <c r="C290" s="365">
        <v>144268</v>
      </c>
      <c r="D290" s="365">
        <v>-2203</v>
      </c>
      <c r="E290" s="365">
        <v>142065</v>
      </c>
    </row>
    <row r="291" spans="1:5" ht="15" x14ac:dyDescent="0.2">
      <c r="B291" s="364" t="s">
        <v>529</v>
      </c>
      <c r="C291" s="365">
        <v>483199</v>
      </c>
      <c r="D291" s="365">
        <v>-60334</v>
      </c>
      <c r="E291" s="365">
        <v>422865</v>
      </c>
    </row>
    <row r="292" spans="1:5" x14ac:dyDescent="0.2">
      <c r="B292" s="366"/>
      <c r="C292" s="366"/>
      <c r="D292" s="366"/>
      <c r="E292" s="366"/>
    </row>
    <row r="293" spans="1:5" ht="15.75" customHeight="1" x14ac:dyDescent="0.2">
      <c r="A293" s="387" t="s">
        <v>583</v>
      </c>
      <c r="B293" s="388"/>
      <c r="C293" s="388"/>
      <c r="D293" s="388"/>
      <c r="E293" s="388"/>
    </row>
    <row r="294" spans="1:5" s="361" customFormat="1" ht="14.25" x14ac:dyDescent="0.2">
      <c r="B294" s="362" t="s">
        <v>525</v>
      </c>
      <c r="C294" s="363">
        <v>521514</v>
      </c>
      <c r="D294" s="363">
        <v>-49000</v>
      </c>
      <c r="E294" s="363">
        <v>472514</v>
      </c>
    </row>
    <row r="295" spans="1:5" ht="15" x14ac:dyDescent="0.2">
      <c r="B295" s="359" t="s">
        <v>526</v>
      </c>
      <c r="C295" s="357">
        <v>238268</v>
      </c>
      <c r="D295" s="357">
        <v>-15000</v>
      </c>
      <c r="E295" s="357">
        <v>223268</v>
      </c>
    </row>
    <row r="296" spans="1:5" ht="15" x14ac:dyDescent="0.2">
      <c r="B296" s="359" t="s">
        <v>527</v>
      </c>
      <c r="C296" s="357">
        <v>137946</v>
      </c>
      <c r="D296" s="357">
        <v>-2203</v>
      </c>
      <c r="E296" s="357">
        <v>135743</v>
      </c>
    </row>
    <row r="297" spans="1:5" ht="15" x14ac:dyDescent="0.2">
      <c r="B297" s="359" t="s">
        <v>529</v>
      </c>
      <c r="C297" s="357">
        <v>145300</v>
      </c>
      <c r="D297" s="357">
        <v>-31797</v>
      </c>
      <c r="E297" s="357">
        <v>113503</v>
      </c>
    </row>
    <row r="299" spans="1:5" ht="31.5" customHeight="1" x14ac:dyDescent="0.2">
      <c r="A299" s="387" t="s">
        <v>804</v>
      </c>
      <c r="B299" s="388"/>
      <c r="C299" s="388"/>
      <c r="D299" s="388"/>
      <c r="E299" s="388"/>
    </row>
    <row r="300" spans="1:5" s="361" customFormat="1" ht="14.25" x14ac:dyDescent="0.2">
      <c r="B300" s="362" t="s">
        <v>525</v>
      </c>
      <c r="C300" s="363">
        <v>355596</v>
      </c>
      <c r="D300" s="363">
        <v>-28537</v>
      </c>
      <c r="E300" s="363">
        <v>327059</v>
      </c>
    </row>
    <row r="301" spans="1:5" ht="15" x14ac:dyDescent="0.2">
      <c r="B301" s="359" t="s">
        <v>526</v>
      </c>
      <c r="C301" s="357">
        <v>11375</v>
      </c>
      <c r="D301" s="357">
        <v>0</v>
      </c>
      <c r="E301" s="357">
        <v>11375</v>
      </c>
    </row>
    <row r="302" spans="1:5" ht="15" x14ac:dyDescent="0.2">
      <c r="B302" s="359" t="s">
        <v>527</v>
      </c>
      <c r="C302" s="357">
        <v>6322</v>
      </c>
      <c r="D302" s="357">
        <v>0</v>
      </c>
      <c r="E302" s="357">
        <v>6322</v>
      </c>
    </row>
    <row r="303" spans="1:5" ht="15" x14ac:dyDescent="0.2">
      <c r="B303" s="359" t="s">
        <v>529</v>
      </c>
      <c r="C303" s="357">
        <v>337899</v>
      </c>
      <c r="D303" s="357">
        <v>-28537</v>
      </c>
      <c r="E303" s="357">
        <v>309362</v>
      </c>
    </row>
    <row r="304" spans="1:5" ht="23.25" customHeight="1" x14ac:dyDescent="0.2"/>
    <row r="305" spans="1:5" ht="15" x14ac:dyDescent="0.2">
      <c r="A305" s="389" t="s">
        <v>584</v>
      </c>
      <c r="B305" s="390"/>
      <c r="C305" s="390"/>
      <c r="D305" s="390"/>
      <c r="E305" s="390"/>
    </row>
    <row r="306" spans="1:5" ht="15" x14ac:dyDescent="0.2">
      <c r="B306" s="364" t="s">
        <v>525</v>
      </c>
      <c r="C306" s="365">
        <v>388608</v>
      </c>
      <c r="D306" s="365">
        <v>0</v>
      </c>
      <c r="E306" s="365">
        <v>388608</v>
      </c>
    </row>
    <row r="307" spans="1:5" ht="15" x14ac:dyDescent="0.2">
      <c r="B307" s="364" t="s">
        <v>526</v>
      </c>
      <c r="C307" s="365">
        <v>239892</v>
      </c>
      <c r="D307" s="365">
        <v>0</v>
      </c>
      <c r="E307" s="365">
        <v>239892</v>
      </c>
    </row>
    <row r="308" spans="1:5" ht="15" x14ac:dyDescent="0.2">
      <c r="B308" s="364" t="s">
        <v>527</v>
      </c>
      <c r="C308" s="365">
        <v>144872</v>
      </c>
      <c r="D308" s="365">
        <v>0</v>
      </c>
      <c r="E308" s="365">
        <v>144872</v>
      </c>
    </row>
    <row r="309" spans="1:5" ht="15" x14ac:dyDescent="0.2">
      <c r="B309" s="364" t="s">
        <v>529</v>
      </c>
      <c r="C309" s="365">
        <v>3844</v>
      </c>
      <c r="D309" s="365">
        <v>0</v>
      </c>
      <c r="E309" s="365">
        <v>3844</v>
      </c>
    </row>
    <row r="311" spans="1:5" ht="15.75" customHeight="1" x14ac:dyDescent="0.2">
      <c r="A311" s="387" t="s">
        <v>585</v>
      </c>
      <c r="B311" s="388"/>
      <c r="C311" s="388"/>
      <c r="D311" s="388"/>
      <c r="E311" s="388"/>
    </row>
    <row r="312" spans="1:5" s="361" customFormat="1" ht="14.25" x14ac:dyDescent="0.2">
      <c r="B312" s="362" t="s">
        <v>525</v>
      </c>
      <c r="C312" s="363">
        <v>388608</v>
      </c>
      <c r="D312" s="363">
        <v>0</v>
      </c>
      <c r="E312" s="363">
        <v>388608</v>
      </c>
    </row>
    <row r="313" spans="1:5" ht="15" x14ac:dyDescent="0.2">
      <c r="B313" s="359" t="s">
        <v>526</v>
      </c>
      <c r="C313" s="357">
        <v>239892</v>
      </c>
      <c r="D313" s="357">
        <v>0</v>
      </c>
      <c r="E313" s="357">
        <v>239892</v>
      </c>
    </row>
    <row r="314" spans="1:5" ht="15" x14ac:dyDescent="0.2">
      <c r="B314" s="359" t="s">
        <v>527</v>
      </c>
      <c r="C314" s="357">
        <v>144872</v>
      </c>
      <c r="D314" s="357">
        <v>0</v>
      </c>
      <c r="E314" s="357">
        <v>144872</v>
      </c>
    </row>
    <row r="315" spans="1:5" ht="15" x14ac:dyDescent="0.2">
      <c r="B315" s="359" t="s">
        <v>529</v>
      </c>
      <c r="C315" s="357">
        <v>3844</v>
      </c>
      <c r="D315" s="357">
        <v>0</v>
      </c>
      <c r="E315" s="357">
        <v>3844</v>
      </c>
    </row>
    <row r="316" spans="1:5" ht="25.5" customHeight="1" x14ac:dyDescent="0.2"/>
    <row r="317" spans="1:5" ht="15.75" customHeight="1" x14ac:dyDescent="0.2">
      <c r="A317" s="389" t="s">
        <v>586</v>
      </c>
      <c r="B317" s="390"/>
      <c r="C317" s="390"/>
      <c r="D317" s="390"/>
      <c r="E317" s="390"/>
    </row>
    <row r="318" spans="1:5" ht="15" x14ac:dyDescent="0.2">
      <c r="B318" s="364" t="s">
        <v>525</v>
      </c>
      <c r="C318" s="365">
        <v>11335624</v>
      </c>
      <c r="D318" s="365">
        <v>558091</v>
      </c>
      <c r="E318" s="365">
        <v>11893715</v>
      </c>
    </row>
    <row r="319" spans="1:5" ht="15" x14ac:dyDescent="0.2">
      <c r="B319" s="364" t="s">
        <v>526</v>
      </c>
      <c r="C319" s="365">
        <v>769215</v>
      </c>
      <c r="D319" s="365">
        <v>29345</v>
      </c>
      <c r="E319" s="365">
        <v>798560</v>
      </c>
    </row>
    <row r="320" spans="1:5" ht="15" x14ac:dyDescent="0.2">
      <c r="B320" s="364" t="s">
        <v>527</v>
      </c>
      <c r="C320" s="365">
        <v>3767344</v>
      </c>
      <c r="D320" s="365">
        <v>-83989</v>
      </c>
      <c r="E320" s="365">
        <v>3683355</v>
      </c>
    </row>
    <row r="321" spans="1:5" ht="15" x14ac:dyDescent="0.2">
      <c r="B321" s="364" t="s">
        <v>528</v>
      </c>
      <c r="C321" s="365">
        <v>100000</v>
      </c>
      <c r="D321" s="365">
        <v>-20000</v>
      </c>
      <c r="E321" s="365">
        <v>80000</v>
      </c>
    </row>
    <row r="322" spans="1:5" ht="15" x14ac:dyDescent="0.2">
      <c r="B322" s="364" t="s">
        <v>529</v>
      </c>
      <c r="C322" s="365">
        <v>6671138</v>
      </c>
      <c r="D322" s="365">
        <v>632735</v>
      </c>
      <c r="E322" s="365">
        <v>7303873</v>
      </c>
    </row>
    <row r="323" spans="1:5" ht="15" x14ac:dyDescent="0.2">
      <c r="B323" s="364" t="s">
        <v>587</v>
      </c>
      <c r="C323" s="365">
        <v>27927</v>
      </c>
      <c r="D323" s="365">
        <v>0</v>
      </c>
      <c r="E323" s="365">
        <v>27927</v>
      </c>
    </row>
    <row r="325" spans="1:5" ht="15.75" customHeight="1" x14ac:dyDescent="0.2">
      <c r="A325" s="387" t="s">
        <v>588</v>
      </c>
      <c r="B325" s="388"/>
      <c r="C325" s="388"/>
      <c r="D325" s="388"/>
      <c r="E325" s="388"/>
    </row>
    <row r="326" spans="1:5" s="361" customFormat="1" ht="14.25" x14ac:dyDescent="0.2">
      <c r="B326" s="362" t="s">
        <v>525</v>
      </c>
      <c r="C326" s="363">
        <v>729554</v>
      </c>
      <c r="D326" s="363">
        <v>-82887</v>
      </c>
      <c r="E326" s="363">
        <v>646667</v>
      </c>
    </row>
    <row r="327" spans="1:5" ht="15" x14ac:dyDescent="0.2">
      <c r="B327" s="359" t="s">
        <v>526</v>
      </c>
      <c r="C327" s="357">
        <v>0</v>
      </c>
      <c r="D327" s="357">
        <v>120</v>
      </c>
      <c r="E327" s="357">
        <v>120</v>
      </c>
    </row>
    <row r="328" spans="1:5" ht="15" x14ac:dyDescent="0.2">
      <c r="B328" s="359" t="s">
        <v>527</v>
      </c>
      <c r="C328" s="357">
        <v>376143</v>
      </c>
      <c r="D328" s="357">
        <v>-108726</v>
      </c>
      <c r="E328" s="357">
        <v>267417</v>
      </c>
    </row>
    <row r="329" spans="1:5" ht="15" x14ac:dyDescent="0.2">
      <c r="B329" s="359" t="s">
        <v>529</v>
      </c>
      <c r="C329" s="357">
        <v>353411</v>
      </c>
      <c r="D329" s="357">
        <v>25719</v>
      </c>
      <c r="E329" s="357">
        <v>379130</v>
      </c>
    </row>
    <row r="331" spans="1:5" ht="31.5" customHeight="1" x14ac:dyDescent="0.2">
      <c r="A331" s="387" t="s">
        <v>589</v>
      </c>
      <c r="B331" s="388"/>
      <c r="C331" s="388"/>
      <c r="D331" s="388"/>
      <c r="E331" s="388"/>
    </row>
    <row r="332" spans="1:5" s="361" customFormat="1" ht="14.25" x14ac:dyDescent="0.2">
      <c r="B332" s="362" t="s">
        <v>525</v>
      </c>
      <c r="C332" s="363">
        <v>2639723</v>
      </c>
      <c r="D332" s="363">
        <v>398004</v>
      </c>
      <c r="E332" s="363">
        <v>3037727</v>
      </c>
    </row>
    <row r="333" spans="1:5" ht="15" x14ac:dyDescent="0.2">
      <c r="B333" s="359" t="s">
        <v>529</v>
      </c>
      <c r="C333" s="357">
        <v>2639723</v>
      </c>
      <c r="D333" s="357">
        <v>398004</v>
      </c>
      <c r="E333" s="357">
        <v>3037727</v>
      </c>
    </row>
    <row r="335" spans="1:5" ht="15.75" customHeight="1" x14ac:dyDescent="0.2">
      <c r="A335" s="387" t="s">
        <v>590</v>
      </c>
      <c r="B335" s="388"/>
      <c r="C335" s="388"/>
      <c r="D335" s="388"/>
      <c r="E335" s="388"/>
    </row>
    <row r="336" spans="1:5" s="361" customFormat="1" ht="14.25" x14ac:dyDescent="0.2">
      <c r="B336" s="362" t="s">
        <v>525</v>
      </c>
      <c r="C336" s="363">
        <v>2947835</v>
      </c>
      <c r="D336" s="363">
        <v>433485</v>
      </c>
      <c r="E336" s="363">
        <v>3381320</v>
      </c>
    </row>
    <row r="337" spans="1:5" ht="15" x14ac:dyDescent="0.2">
      <c r="B337" s="359" t="s">
        <v>529</v>
      </c>
      <c r="C337" s="357">
        <v>2947835</v>
      </c>
      <c r="D337" s="357">
        <v>433485</v>
      </c>
      <c r="E337" s="357">
        <v>3381320</v>
      </c>
    </row>
    <row r="339" spans="1:5" ht="15.75" customHeight="1" x14ac:dyDescent="0.2">
      <c r="A339" s="387" t="s">
        <v>591</v>
      </c>
      <c r="B339" s="388"/>
      <c r="C339" s="388"/>
      <c r="D339" s="388"/>
      <c r="E339" s="388"/>
    </row>
    <row r="340" spans="1:5" s="361" customFormat="1" ht="14.25" x14ac:dyDescent="0.2">
      <c r="B340" s="362" t="s">
        <v>525</v>
      </c>
      <c r="C340" s="363">
        <v>1075151</v>
      </c>
      <c r="D340" s="363">
        <v>11159</v>
      </c>
      <c r="E340" s="363">
        <v>1086310</v>
      </c>
    </row>
    <row r="341" spans="1:5" ht="15" x14ac:dyDescent="0.2">
      <c r="B341" s="359" t="s">
        <v>527</v>
      </c>
      <c r="C341" s="357">
        <v>1075151</v>
      </c>
      <c r="D341" s="357">
        <v>10101</v>
      </c>
      <c r="E341" s="357">
        <v>1085252</v>
      </c>
    </row>
    <row r="342" spans="1:5" ht="15" x14ac:dyDescent="0.2">
      <c r="B342" s="359" t="s">
        <v>529</v>
      </c>
      <c r="C342" s="357">
        <v>0</v>
      </c>
      <c r="D342" s="357">
        <v>1058</v>
      </c>
      <c r="E342" s="357">
        <v>1058</v>
      </c>
    </row>
    <row r="344" spans="1:5" ht="15.75" customHeight="1" x14ac:dyDescent="0.2">
      <c r="A344" s="387" t="s">
        <v>592</v>
      </c>
      <c r="B344" s="388"/>
      <c r="C344" s="388"/>
      <c r="D344" s="388"/>
      <c r="E344" s="388"/>
    </row>
    <row r="345" spans="1:5" s="361" customFormat="1" ht="14.25" x14ac:dyDescent="0.2">
      <c r="B345" s="362" t="s">
        <v>525</v>
      </c>
      <c r="C345" s="363">
        <v>571750</v>
      </c>
      <c r="D345" s="363">
        <v>45458</v>
      </c>
      <c r="E345" s="363">
        <v>617208</v>
      </c>
    </row>
    <row r="346" spans="1:5" ht="15" x14ac:dyDescent="0.2">
      <c r="B346" s="359" t="s">
        <v>527</v>
      </c>
      <c r="C346" s="357">
        <v>533358</v>
      </c>
      <c r="D346" s="357">
        <v>-492</v>
      </c>
      <c r="E346" s="357">
        <v>532866</v>
      </c>
    </row>
    <row r="347" spans="1:5" ht="15" x14ac:dyDescent="0.2">
      <c r="B347" s="359" t="s">
        <v>529</v>
      </c>
      <c r="C347" s="357">
        <v>38392</v>
      </c>
      <c r="D347" s="357">
        <v>45950</v>
      </c>
      <c r="E347" s="357">
        <v>84342</v>
      </c>
    </row>
    <row r="349" spans="1:5" ht="15.75" customHeight="1" x14ac:dyDescent="0.2">
      <c r="A349" s="387" t="s">
        <v>593</v>
      </c>
      <c r="B349" s="388"/>
      <c r="C349" s="388"/>
      <c r="D349" s="388"/>
      <c r="E349" s="388"/>
    </row>
    <row r="350" spans="1:5" s="361" customFormat="1" ht="14.25" x14ac:dyDescent="0.2">
      <c r="B350" s="362" t="s">
        <v>525</v>
      </c>
      <c r="C350" s="363">
        <v>654834</v>
      </c>
      <c r="D350" s="363">
        <v>20805</v>
      </c>
      <c r="E350" s="363">
        <v>675639</v>
      </c>
    </row>
    <row r="351" spans="1:5" ht="15" x14ac:dyDescent="0.2">
      <c r="B351" s="359" t="s">
        <v>527</v>
      </c>
      <c r="C351" s="357">
        <v>548437</v>
      </c>
      <c r="D351" s="357">
        <v>13618</v>
      </c>
      <c r="E351" s="357">
        <v>562055</v>
      </c>
    </row>
    <row r="352" spans="1:5" ht="15" x14ac:dyDescent="0.2">
      <c r="B352" s="359" t="s">
        <v>529</v>
      </c>
      <c r="C352" s="357">
        <v>106397</v>
      </c>
      <c r="D352" s="357">
        <v>7187</v>
      </c>
      <c r="E352" s="357">
        <v>113584</v>
      </c>
    </row>
    <row r="354" spans="1:5" ht="31.5" customHeight="1" x14ac:dyDescent="0.2">
      <c r="A354" s="387" t="s">
        <v>594</v>
      </c>
      <c r="B354" s="388"/>
      <c r="C354" s="388"/>
      <c r="D354" s="388"/>
      <c r="E354" s="388"/>
    </row>
    <row r="355" spans="1:5" s="361" customFormat="1" ht="14.25" x14ac:dyDescent="0.2">
      <c r="B355" s="362" t="s">
        <v>525</v>
      </c>
      <c r="C355" s="363">
        <v>320357</v>
      </c>
      <c r="D355" s="363">
        <v>-252222</v>
      </c>
      <c r="E355" s="363">
        <v>68135</v>
      </c>
    </row>
    <row r="356" spans="1:5" ht="15" x14ac:dyDescent="0.2">
      <c r="B356" s="359" t="s">
        <v>529</v>
      </c>
      <c r="C356" s="357">
        <v>320357</v>
      </c>
      <c r="D356" s="357">
        <v>-252222</v>
      </c>
      <c r="E356" s="357">
        <v>68135</v>
      </c>
    </row>
    <row r="358" spans="1:5" ht="15.75" customHeight="1" x14ac:dyDescent="0.2">
      <c r="A358" s="387" t="s">
        <v>595</v>
      </c>
      <c r="B358" s="388"/>
      <c r="C358" s="388"/>
      <c r="D358" s="388"/>
      <c r="E358" s="388"/>
    </row>
    <row r="359" spans="1:5" s="361" customFormat="1" ht="14.25" x14ac:dyDescent="0.2">
      <c r="B359" s="362" t="s">
        <v>525</v>
      </c>
      <c r="C359" s="363">
        <v>898193</v>
      </c>
      <c r="D359" s="363">
        <v>17925</v>
      </c>
      <c r="E359" s="363">
        <v>916118</v>
      </c>
    </row>
    <row r="360" spans="1:5" ht="15" x14ac:dyDescent="0.2">
      <c r="B360" s="359" t="s">
        <v>526</v>
      </c>
      <c r="C360" s="357">
        <v>767456</v>
      </c>
      <c r="D360" s="357">
        <v>29225</v>
      </c>
      <c r="E360" s="357">
        <v>796681</v>
      </c>
    </row>
    <row r="361" spans="1:5" ht="15" x14ac:dyDescent="0.2">
      <c r="B361" s="359" t="s">
        <v>527</v>
      </c>
      <c r="C361" s="357">
        <v>104247</v>
      </c>
      <c r="D361" s="357">
        <v>-15580</v>
      </c>
      <c r="E361" s="357">
        <v>88667</v>
      </c>
    </row>
    <row r="362" spans="1:5" ht="15" x14ac:dyDescent="0.2">
      <c r="B362" s="359" t="s">
        <v>529</v>
      </c>
      <c r="C362" s="357">
        <v>26490</v>
      </c>
      <c r="D362" s="357">
        <v>4280</v>
      </c>
      <c r="E362" s="357">
        <v>30770</v>
      </c>
    </row>
    <row r="364" spans="1:5" ht="15.75" customHeight="1" x14ac:dyDescent="0.2">
      <c r="A364" s="387" t="s">
        <v>596</v>
      </c>
      <c r="B364" s="388"/>
      <c r="C364" s="388"/>
      <c r="D364" s="388"/>
      <c r="E364" s="388"/>
    </row>
    <row r="365" spans="1:5" s="361" customFormat="1" ht="14.25" x14ac:dyDescent="0.2">
      <c r="B365" s="362" t="s">
        <v>525</v>
      </c>
      <c r="C365" s="363">
        <v>1445541</v>
      </c>
      <c r="D365" s="363">
        <v>-33636</v>
      </c>
      <c r="E365" s="363">
        <v>1411905</v>
      </c>
    </row>
    <row r="366" spans="1:5" ht="15" x14ac:dyDescent="0.2">
      <c r="B366" s="359" t="s">
        <v>527</v>
      </c>
      <c r="C366" s="357">
        <v>1107008</v>
      </c>
      <c r="D366" s="357">
        <v>17090</v>
      </c>
      <c r="E366" s="357">
        <v>1124098</v>
      </c>
    </row>
    <row r="367" spans="1:5" ht="15" x14ac:dyDescent="0.2">
      <c r="B367" s="359" t="s">
        <v>528</v>
      </c>
      <c r="C367" s="357">
        <v>100000</v>
      </c>
      <c r="D367" s="357">
        <v>-20000</v>
      </c>
      <c r="E367" s="357">
        <v>80000</v>
      </c>
    </row>
    <row r="368" spans="1:5" ht="15" x14ac:dyDescent="0.2">
      <c r="B368" s="359" t="s">
        <v>529</v>
      </c>
      <c r="C368" s="357">
        <v>238533</v>
      </c>
      <c r="D368" s="357">
        <v>-30726</v>
      </c>
      <c r="E368" s="357">
        <v>207807</v>
      </c>
    </row>
    <row r="370" spans="1:5" ht="15.75" customHeight="1" x14ac:dyDescent="0.2">
      <c r="A370" s="387" t="s">
        <v>597</v>
      </c>
      <c r="B370" s="388"/>
      <c r="C370" s="388"/>
      <c r="D370" s="388"/>
      <c r="E370" s="388"/>
    </row>
    <row r="371" spans="1:5" s="361" customFormat="1" ht="14.25" x14ac:dyDescent="0.2">
      <c r="B371" s="362" t="s">
        <v>525</v>
      </c>
      <c r="C371" s="363">
        <v>52686</v>
      </c>
      <c r="D371" s="363">
        <v>0</v>
      </c>
      <c r="E371" s="363">
        <v>52686</v>
      </c>
    </row>
    <row r="372" spans="1:5" ht="15" x14ac:dyDescent="0.2">
      <c r="B372" s="359" t="s">
        <v>526</v>
      </c>
      <c r="C372" s="357">
        <v>1759</v>
      </c>
      <c r="D372" s="357">
        <v>0</v>
      </c>
      <c r="E372" s="357">
        <v>1759</v>
      </c>
    </row>
    <row r="373" spans="1:5" ht="15" x14ac:dyDescent="0.2">
      <c r="B373" s="359" t="s">
        <v>527</v>
      </c>
      <c r="C373" s="357">
        <v>23000</v>
      </c>
      <c r="D373" s="357">
        <v>0</v>
      </c>
      <c r="E373" s="357">
        <v>23000</v>
      </c>
    </row>
    <row r="374" spans="1:5" ht="15" x14ac:dyDescent="0.2">
      <c r="B374" s="359" t="s">
        <v>587</v>
      </c>
      <c r="C374" s="357">
        <v>27927</v>
      </c>
      <c r="D374" s="357">
        <v>0</v>
      </c>
      <c r="E374" s="357">
        <v>27927</v>
      </c>
    </row>
    <row r="375" spans="1:5" ht="24" customHeight="1" x14ac:dyDescent="0.2"/>
    <row r="376" spans="1:5" ht="15.75" customHeight="1" x14ac:dyDescent="0.2">
      <c r="A376" s="389" t="s">
        <v>598</v>
      </c>
      <c r="B376" s="390"/>
      <c r="C376" s="390"/>
      <c r="D376" s="390"/>
      <c r="E376" s="390"/>
    </row>
    <row r="377" spans="1:5" ht="15" x14ac:dyDescent="0.2">
      <c r="B377" s="364" t="s">
        <v>525</v>
      </c>
      <c r="C377" s="365">
        <v>3723498</v>
      </c>
      <c r="D377" s="365">
        <f>22911+10000</f>
        <v>32911</v>
      </c>
      <c r="E377" s="365">
        <f>3746409+10000</f>
        <v>3756409</v>
      </c>
    </row>
    <row r="378" spans="1:5" ht="15" x14ac:dyDescent="0.2">
      <c r="B378" s="364" t="s">
        <v>526</v>
      </c>
      <c r="C378" s="365">
        <v>1421473</v>
      </c>
      <c r="D378" s="365">
        <v>31688</v>
      </c>
      <c r="E378" s="365">
        <v>1453161</v>
      </c>
    </row>
    <row r="379" spans="1:5" ht="15" x14ac:dyDescent="0.2">
      <c r="B379" s="364" t="s">
        <v>527</v>
      </c>
      <c r="C379" s="365">
        <v>1799702</v>
      </c>
      <c r="D379" s="365">
        <v>-25404</v>
      </c>
      <c r="E379" s="365">
        <v>1774298</v>
      </c>
    </row>
    <row r="380" spans="1:5" ht="15" x14ac:dyDescent="0.2">
      <c r="B380" s="364" t="s">
        <v>528</v>
      </c>
      <c r="C380" s="365">
        <v>478965</v>
      </c>
      <c r="D380" s="365">
        <f>3500+10000</f>
        <v>13500</v>
      </c>
      <c r="E380" s="365">
        <f>482465+10000</f>
        <v>492465</v>
      </c>
    </row>
    <row r="381" spans="1:5" ht="15" x14ac:dyDescent="0.2">
      <c r="B381" s="364" t="s">
        <v>529</v>
      </c>
      <c r="C381" s="365">
        <v>23358</v>
      </c>
      <c r="D381" s="365">
        <v>13127</v>
      </c>
      <c r="E381" s="365">
        <v>36485</v>
      </c>
    </row>
    <row r="383" spans="1:5" ht="15.75" customHeight="1" x14ac:dyDescent="0.2">
      <c r="A383" s="387" t="s">
        <v>599</v>
      </c>
      <c r="B383" s="388"/>
      <c r="C383" s="388"/>
      <c r="D383" s="388"/>
      <c r="E383" s="388"/>
    </row>
    <row r="384" spans="1:5" s="361" customFormat="1" ht="14.25" x14ac:dyDescent="0.2">
      <c r="B384" s="362" t="s">
        <v>525</v>
      </c>
      <c r="C384" s="363">
        <v>533601</v>
      </c>
      <c r="D384" s="363">
        <v>14345</v>
      </c>
      <c r="E384" s="363">
        <v>547946</v>
      </c>
    </row>
    <row r="385" spans="1:5" ht="15" x14ac:dyDescent="0.2">
      <c r="B385" s="359" t="s">
        <v>526</v>
      </c>
      <c r="C385" s="357">
        <v>292866</v>
      </c>
      <c r="D385" s="357">
        <v>5345</v>
      </c>
      <c r="E385" s="357">
        <v>298211</v>
      </c>
    </row>
    <row r="386" spans="1:5" ht="15" x14ac:dyDescent="0.2">
      <c r="B386" s="359" t="s">
        <v>527</v>
      </c>
      <c r="C386" s="357">
        <v>221555</v>
      </c>
      <c r="D386" s="357">
        <v>9000</v>
      </c>
      <c r="E386" s="357">
        <v>230555</v>
      </c>
    </row>
    <row r="387" spans="1:5" ht="15" x14ac:dyDescent="0.2">
      <c r="B387" s="359" t="s">
        <v>529</v>
      </c>
      <c r="C387" s="357">
        <v>19180</v>
      </c>
      <c r="D387" s="357">
        <v>0</v>
      </c>
      <c r="E387" s="357">
        <v>19180</v>
      </c>
    </row>
    <row r="389" spans="1:5" ht="15.75" customHeight="1" x14ac:dyDescent="0.2">
      <c r="A389" s="387" t="s">
        <v>600</v>
      </c>
      <c r="B389" s="388"/>
      <c r="C389" s="388"/>
      <c r="D389" s="388"/>
      <c r="E389" s="388"/>
    </row>
    <row r="390" spans="1:5" s="361" customFormat="1" ht="14.25" x14ac:dyDescent="0.2">
      <c r="B390" s="362" t="s">
        <v>525</v>
      </c>
      <c r="C390" s="363">
        <v>916270</v>
      </c>
      <c r="D390" s="363">
        <f>-2500+10000</f>
        <v>7500</v>
      </c>
      <c r="E390" s="363">
        <f>913770+10000</f>
        <v>923770</v>
      </c>
    </row>
    <row r="391" spans="1:5" ht="15" x14ac:dyDescent="0.2">
      <c r="B391" s="359" t="s">
        <v>526</v>
      </c>
      <c r="C391" s="357">
        <v>3500</v>
      </c>
      <c r="D391" s="357">
        <v>11277</v>
      </c>
      <c r="E391" s="357">
        <v>14777</v>
      </c>
    </row>
    <row r="392" spans="1:5" ht="15" x14ac:dyDescent="0.2">
      <c r="B392" s="359" t="s">
        <v>527</v>
      </c>
      <c r="C392" s="357">
        <v>431805</v>
      </c>
      <c r="D392" s="357">
        <v>-25639</v>
      </c>
      <c r="E392" s="357">
        <v>406166</v>
      </c>
    </row>
    <row r="393" spans="1:5" ht="15" x14ac:dyDescent="0.2">
      <c r="B393" s="359" t="s">
        <v>528</v>
      </c>
      <c r="C393" s="357">
        <v>478965</v>
      </c>
      <c r="D393" s="357">
        <f>3500+10000</f>
        <v>13500</v>
      </c>
      <c r="E393" s="357">
        <f>482465+10000</f>
        <v>492465</v>
      </c>
    </row>
    <row r="394" spans="1:5" ht="15" x14ac:dyDescent="0.2">
      <c r="B394" s="359" t="s">
        <v>529</v>
      </c>
      <c r="C394" s="357">
        <v>2000</v>
      </c>
      <c r="D394" s="357">
        <v>8362</v>
      </c>
      <c r="E394" s="357">
        <v>10362</v>
      </c>
    </row>
    <row r="396" spans="1:5" ht="15.75" customHeight="1" x14ac:dyDescent="0.2">
      <c r="A396" s="387" t="s">
        <v>601</v>
      </c>
      <c r="B396" s="388"/>
      <c r="C396" s="388"/>
      <c r="D396" s="388"/>
      <c r="E396" s="388"/>
    </row>
    <row r="397" spans="1:5" s="361" customFormat="1" ht="14.25" x14ac:dyDescent="0.2">
      <c r="B397" s="362" t="s">
        <v>525</v>
      </c>
      <c r="C397" s="363">
        <v>2273627</v>
      </c>
      <c r="D397" s="363">
        <v>11066</v>
      </c>
      <c r="E397" s="363">
        <v>2284693</v>
      </c>
    </row>
    <row r="398" spans="1:5" ht="15" x14ac:dyDescent="0.2">
      <c r="B398" s="359" t="s">
        <v>526</v>
      </c>
      <c r="C398" s="357">
        <v>1125107</v>
      </c>
      <c r="D398" s="357">
        <v>15066</v>
      </c>
      <c r="E398" s="357">
        <v>1140173</v>
      </c>
    </row>
    <row r="399" spans="1:5" ht="15" x14ac:dyDescent="0.2">
      <c r="B399" s="359" t="s">
        <v>527</v>
      </c>
      <c r="C399" s="357">
        <v>1146342</v>
      </c>
      <c r="D399" s="357">
        <v>-8765</v>
      </c>
      <c r="E399" s="357">
        <v>1137577</v>
      </c>
    </row>
    <row r="400" spans="1:5" ht="15" x14ac:dyDescent="0.2">
      <c r="B400" s="359" t="s">
        <v>529</v>
      </c>
      <c r="C400" s="357">
        <v>2178</v>
      </c>
      <c r="D400" s="357">
        <v>4765</v>
      </c>
      <c r="E400" s="357">
        <v>6943</v>
      </c>
    </row>
    <row r="402" spans="1:5" ht="15.75" hidden="1" customHeight="1" x14ac:dyDescent="0.2">
      <c r="A402" s="387" t="s">
        <v>873</v>
      </c>
      <c r="B402" s="388"/>
      <c r="C402" s="388"/>
      <c r="D402" s="388"/>
      <c r="E402" s="388"/>
    </row>
    <row r="403" spans="1:5" ht="15" hidden="1" x14ac:dyDescent="0.2">
      <c r="B403" s="359" t="s">
        <v>525</v>
      </c>
      <c r="C403" s="357">
        <v>965784</v>
      </c>
      <c r="D403" s="357">
        <v>5987</v>
      </c>
      <c r="E403" s="357">
        <v>971771</v>
      </c>
    </row>
    <row r="404" spans="1:5" ht="15" hidden="1" x14ac:dyDescent="0.2">
      <c r="B404" s="359" t="s">
        <v>526</v>
      </c>
      <c r="C404" s="357">
        <v>599136</v>
      </c>
      <c r="D404" s="357">
        <v>987</v>
      </c>
      <c r="E404" s="357">
        <v>600123</v>
      </c>
    </row>
    <row r="405" spans="1:5" ht="15" hidden="1" x14ac:dyDescent="0.2">
      <c r="B405" s="359" t="s">
        <v>527</v>
      </c>
      <c r="C405" s="357">
        <v>364470</v>
      </c>
      <c r="D405" s="357">
        <v>5000</v>
      </c>
      <c r="E405" s="357">
        <v>369470</v>
      </c>
    </row>
    <row r="406" spans="1:5" ht="15" hidden="1" x14ac:dyDescent="0.2">
      <c r="B406" s="359" t="s">
        <v>529</v>
      </c>
      <c r="C406" s="357">
        <v>2178</v>
      </c>
      <c r="D406" s="357">
        <v>0</v>
      </c>
      <c r="E406" s="357">
        <v>2178</v>
      </c>
    </row>
    <row r="407" spans="1:5" hidden="1" x14ac:dyDescent="0.2"/>
    <row r="408" spans="1:5" ht="15.75" hidden="1" customHeight="1" x14ac:dyDescent="0.2">
      <c r="A408" s="387" t="s">
        <v>874</v>
      </c>
      <c r="B408" s="388"/>
      <c r="C408" s="388"/>
      <c r="D408" s="388"/>
      <c r="E408" s="388"/>
    </row>
    <row r="409" spans="1:5" ht="15" hidden="1" x14ac:dyDescent="0.2">
      <c r="B409" s="359" t="s">
        <v>525</v>
      </c>
      <c r="C409" s="357">
        <v>430537</v>
      </c>
      <c r="D409" s="357">
        <v>1590</v>
      </c>
      <c r="E409" s="357">
        <v>432127</v>
      </c>
    </row>
    <row r="410" spans="1:5" ht="15" hidden="1" x14ac:dyDescent="0.2">
      <c r="B410" s="359" t="s">
        <v>526</v>
      </c>
      <c r="C410" s="357">
        <v>162402</v>
      </c>
      <c r="D410" s="357">
        <v>10590</v>
      </c>
      <c r="E410" s="357">
        <v>172992</v>
      </c>
    </row>
    <row r="411" spans="1:5" ht="15" hidden="1" x14ac:dyDescent="0.2">
      <c r="B411" s="359" t="s">
        <v>527</v>
      </c>
      <c r="C411" s="357">
        <v>268135</v>
      </c>
      <c r="D411" s="357">
        <v>-9000</v>
      </c>
      <c r="E411" s="357">
        <v>259135</v>
      </c>
    </row>
    <row r="412" spans="1:5" hidden="1" x14ac:dyDescent="0.2"/>
    <row r="413" spans="1:5" ht="15.75" hidden="1" customHeight="1" x14ac:dyDescent="0.2">
      <c r="A413" s="387" t="s">
        <v>875</v>
      </c>
      <c r="B413" s="388"/>
      <c r="C413" s="388"/>
      <c r="D413" s="388"/>
      <c r="E413" s="388"/>
    </row>
    <row r="414" spans="1:5" ht="15" hidden="1" x14ac:dyDescent="0.2">
      <c r="B414" s="359" t="s">
        <v>525</v>
      </c>
      <c r="C414" s="357">
        <v>877306</v>
      </c>
      <c r="D414" s="357">
        <v>3489</v>
      </c>
      <c r="E414" s="357">
        <v>880795</v>
      </c>
    </row>
    <row r="415" spans="1:5" ht="15" hidden="1" x14ac:dyDescent="0.2">
      <c r="B415" s="359" t="s">
        <v>526</v>
      </c>
      <c r="C415" s="357">
        <v>363569</v>
      </c>
      <c r="D415" s="357">
        <v>3489</v>
      </c>
      <c r="E415" s="357">
        <v>367058</v>
      </c>
    </row>
    <row r="416" spans="1:5" ht="15" hidden="1" x14ac:dyDescent="0.2">
      <c r="B416" s="359" t="s">
        <v>527</v>
      </c>
      <c r="C416" s="357">
        <v>513737</v>
      </c>
      <c r="D416" s="357">
        <v>-3765</v>
      </c>
      <c r="E416" s="357">
        <v>509972</v>
      </c>
    </row>
    <row r="417" spans="1:5" ht="15" hidden="1" x14ac:dyDescent="0.2">
      <c r="B417" s="359" t="s">
        <v>529</v>
      </c>
      <c r="C417" s="357">
        <v>0</v>
      </c>
      <c r="D417" s="357">
        <v>3765</v>
      </c>
      <c r="E417" s="357">
        <v>3765</v>
      </c>
    </row>
    <row r="418" spans="1:5" ht="9.75" customHeight="1" x14ac:dyDescent="0.2"/>
    <row r="419" spans="1:5" ht="15.75" customHeight="1" x14ac:dyDescent="0.2">
      <c r="A419" s="389" t="s">
        <v>602</v>
      </c>
      <c r="B419" s="390"/>
      <c r="C419" s="390"/>
      <c r="D419" s="390"/>
      <c r="E419" s="390"/>
    </row>
    <row r="420" spans="1:5" ht="15" x14ac:dyDescent="0.2">
      <c r="B420" s="364" t="s">
        <v>525</v>
      </c>
      <c r="C420" s="365">
        <v>1107550</v>
      </c>
      <c r="D420" s="365">
        <v>13483</v>
      </c>
      <c r="E420" s="365">
        <v>1121033</v>
      </c>
    </row>
    <row r="421" spans="1:5" ht="15" x14ac:dyDescent="0.2">
      <c r="B421" s="364" t="s">
        <v>526</v>
      </c>
      <c r="C421" s="365">
        <v>525509</v>
      </c>
      <c r="D421" s="365">
        <v>9775</v>
      </c>
      <c r="E421" s="365">
        <v>535284</v>
      </c>
    </row>
    <row r="422" spans="1:5" ht="15" x14ac:dyDescent="0.2">
      <c r="B422" s="364" t="s">
        <v>527</v>
      </c>
      <c r="C422" s="365">
        <v>202226</v>
      </c>
      <c r="D422" s="365">
        <v>-39438</v>
      </c>
      <c r="E422" s="365">
        <v>162788</v>
      </c>
    </row>
    <row r="423" spans="1:5" ht="15" x14ac:dyDescent="0.2">
      <c r="B423" s="364" t="s">
        <v>529</v>
      </c>
      <c r="C423" s="365">
        <v>341807</v>
      </c>
      <c r="D423" s="365">
        <v>30114</v>
      </c>
      <c r="E423" s="365">
        <v>371921</v>
      </c>
    </row>
    <row r="424" spans="1:5" ht="30" x14ac:dyDescent="0.2">
      <c r="B424" s="364" t="s">
        <v>530</v>
      </c>
      <c r="C424" s="365">
        <v>38008</v>
      </c>
      <c r="D424" s="365">
        <v>13032</v>
      </c>
      <c r="E424" s="365">
        <v>51040</v>
      </c>
    </row>
    <row r="426" spans="1:5" ht="15.75" customHeight="1" x14ac:dyDescent="0.2">
      <c r="A426" s="387" t="s">
        <v>603</v>
      </c>
      <c r="B426" s="388"/>
      <c r="C426" s="388"/>
      <c r="D426" s="388"/>
      <c r="E426" s="388"/>
    </row>
    <row r="427" spans="1:5" s="361" customFormat="1" ht="14.25" x14ac:dyDescent="0.2">
      <c r="B427" s="362" t="s">
        <v>525</v>
      </c>
      <c r="C427" s="363">
        <v>885904</v>
      </c>
      <c r="D427" s="363">
        <v>4200</v>
      </c>
      <c r="E427" s="363">
        <v>890104</v>
      </c>
    </row>
    <row r="428" spans="1:5" ht="15" x14ac:dyDescent="0.2">
      <c r="B428" s="359" t="s">
        <v>526</v>
      </c>
      <c r="C428" s="357">
        <v>519786</v>
      </c>
      <c r="D428" s="357">
        <v>13720</v>
      </c>
      <c r="E428" s="357">
        <v>533506</v>
      </c>
    </row>
    <row r="429" spans="1:5" ht="15" x14ac:dyDescent="0.2">
      <c r="B429" s="359" t="s">
        <v>527</v>
      </c>
      <c r="C429" s="357">
        <v>171022</v>
      </c>
      <c r="D429" s="357">
        <v>-45720</v>
      </c>
      <c r="E429" s="357">
        <v>125302</v>
      </c>
    </row>
    <row r="430" spans="1:5" ht="15" x14ac:dyDescent="0.2">
      <c r="B430" s="359" t="s">
        <v>529</v>
      </c>
      <c r="C430" s="357">
        <v>195096</v>
      </c>
      <c r="D430" s="357">
        <v>36200</v>
      </c>
      <c r="E430" s="357">
        <v>231296</v>
      </c>
    </row>
    <row r="432" spans="1:5" ht="31.5" customHeight="1" x14ac:dyDescent="0.2">
      <c r="A432" s="387" t="s">
        <v>604</v>
      </c>
      <c r="B432" s="388"/>
      <c r="C432" s="388"/>
      <c r="D432" s="388"/>
      <c r="E432" s="388"/>
    </row>
    <row r="433" spans="1:5" s="361" customFormat="1" ht="14.25" x14ac:dyDescent="0.2">
      <c r="B433" s="362" t="s">
        <v>525</v>
      </c>
      <c r="C433" s="363">
        <v>221646</v>
      </c>
      <c r="D433" s="363">
        <v>9283</v>
      </c>
      <c r="E433" s="363">
        <v>230929</v>
      </c>
    </row>
    <row r="434" spans="1:5" ht="15" x14ac:dyDescent="0.2">
      <c r="B434" s="359" t="s">
        <v>526</v>
      </c>
      <c r="C434" s="357">
        <v>5723</v>
      </c>
      <c r="D434" s="357">
        <v>-3945</v>
      </c>
      <c r="E434" s="357">
        <v>1778</v>
      </c>
    </row>
    <row r="435" spans="1:5" ht="15" x14ac:dyDescent="0.2">
      <c r="B435" s="359" t="s">
        <v>527</v>
      </c>
      <c r="C435" s="357">
        <v>31204</v>
      </c>
      <c r="D435" s="357">
        <v>6282</v>
      </c>
      <c r="E435" s="357">
        <v>37486</v>
      </c>
    </row>
    <row r="436" spans="1:5" ht="15" x14ac:dyDescent="0.2">
      <c r="B436" s="359" t="s">
        <v>529</v>
      </c>
      <c r="C436" s="357">
        <v>146711</v>
      </c>
      <c r="D436" s="357">
        <v>-6086</v>
      </c>
      <c r="E436" s="357">
        <v>140625</v>
      </c>
    </row>
    <row r="437" spans="1:5" ht="30" x14ac:dyDescent="0.2">
      <c r="B437" s="359" t="s">
        <v>530</v>
      </c>
      <c r="C437" s="357">
        <v>38008</v>
      </c>
      <c r="D437" s="357">
        <v>13032</v>
      </c>
      <c r="E437" s="357">
        <v>51040</v>
      </c>
    </row>
    <row r="438" spans="1:5" ht="18.75" customHeight="1" x14ac:dyDescent="0.2"/>
    <row r="439" spans="1:5" ht="31.5" customHeight="1" x14ac:dyDescent="0.2">
      <c r="A439" s="389" t="s">
        <v>605</v>
      </c>
      <c r="B439" s="390"/>
      <c r="C439" s="390"/>
      <c r="D439" s="390"/>
      <c r="E439" s="390"/>
    </row>
    <row r="440" spans="1:5" ht="15" x14ac:dyDescent="0.2">
      <c r="B440" s="364" t="s">
        <v>525</v>
      </c>
      <c r="C440" s="365">
        <v>481368</v>
      </c>
      <c r="D440" s="365">
        <v>3120</v>
      </c>
      <c r="E440" s="365">
        <v>484488</v>
      </c>
    </row>
    <row r="441" spans="1:5" ht="15" x14ac:dyDescent="0.2">
      <c r="B441" s="364" t="s">
        <v>526</v>
      </c>
      <c r="C441" s="365">
        <v>370413</v>
      </c>
      <c r="D441" s="365">
        <v>3120</v>
      </c>
      <c r="E441" s="365">
        <v>373533</v>
      </c>
    </row>
    <row r="442" spans="1:5" ht="15" x14ac:dyDescent="0.2">
      <c r="B442" s="364" t="s">
        <v>527</v>
      </c>
      <c r="C442" s="365">
        <v>104305</v>
      </c>
      <c r="D442" s="365">
        <v>-1221</v>
      </c>
      <c r="E442" s="365">
        <v>103084</v>
      </c>
    </row>
    <row r="443" spans="1:5" ht="15" x14ac:dyDescent="0.2">
      <c r="B443" s="364" t="s">
        <v>529</v>
      </c>
      <c r="C443" s="365">
        <v>6650</v>
      </c>
      <c r="D443" s="365">
        <v>1221</v>
      </c>
      <c r="E443" s="365">
        <v>7871</v>
      </c>
    </row>
    <row r="445" spans="1:5" ht="15.75" customHeight="1" x14ac:dyDescent="0.2">
      <c r="A445" s="387" t="s">
        <v>606</v>
      </c>
      <c r="B445" s="388"/>
      <c r="C445" s="388"/>
      <c r="D445" s="388"/>
      <c r="E445" s="388"/>
    </row>
    <row r="446" spans="1:5" s="361" customFormat="1" ht="14.25" x14ac:dyDescent="0.2">
      <c r="B446" s="362" t="s">
        <v>525</v>
      </c>
      <c r="C446" s="363">
        <v>481368</v>
      </c>
      <c r="D446" s="363">
        <v>3120</v>
      </c>
      <c r="E446" s="363">
        <v>484488</v>
      </c>
    </row>
    <row r="447" spans="1:5" ht="15" x14ac:dyDescent="0.2">
      <c r="B447" s="359" t="s">
        <v>526</v>
      </c>
      <c r="C447" s="357">
        <v>370413</v>
      </c>
      <c r="D447" s="357">
        <v>3120</v>
      </c>
      <c r="E447" s="357">
        <v>373533</v>
      </c>
    </row>
    <row r="448" spans="1:5" ht="15" x14ac:dyDescent="0.2">
      <c r="B448" s="359" t="s">
        <v>527</v>
      </c>
      <c r="C448" s="357">
        <v>104305</v>
      </c>
      <c r="D448" s="357">
        <v>-1221</v>
      </c>
      <c r="E448" s="357">
        <v>103084</v>
      </c>
    </row>
    <row r="449" spans="1:5" ht="15" x14ac:dyDescent="0.2">
      <c r="B449" s="359" t="s">
        <v>529</v>
      </c>
      <c r="C449" s="357">
        <v>6650</v>
      </c>
      <c r="D449" s="357">
        <v>1221</v>
      </c>
      <c r="E449" s="357">
        <v>7871</v>
      </c>
    </row>
    <row r="450" spans="1:5" ht="22.5" customHeight="1" x14ac:dyDescent="0.2"/>
    <row r="451" spans="1:5" ht="15.75" customHeight="1" x14ac:dyDescent="0.2">
      <c r="A451" s="389" t="s">
        <v>607</v>
      </c>
      <c r="B451" s="390"/>
      <c r="C451" s="390"/>
      <c r="D451" s="390"/>
      <c r="E451" s="390"/>
    </row>
    <row r="452" spans="1:5" ht="15" x14ac:dyDescent="0.2">
      <c r="B452" s="364" t="s">
        <v>525</v>
      </c>
      <c r="C452" s="365">
        <v>2990945</v>
      </c>
      <c r="D452" s="365">
        <v>98798</v>
      </c>
      <c r="E452" s="365">
        <v>3089743</v>
      </c>
    </row>
    <row r="453" spans="1:5" ht="15" x14ac:dyDescent="0.2">
      <c r="B453" s="364" t="s">
        <v>526</v>
      </c>
      <c r="C453" s="365">
        <v>1500173</v>
      </c>
      <c r="D453" s="365">
        <v>54765</v>
      </c>
      <c r="E453" s="365">
        <v>1554938</v>
      </c>
    </row>
    <row r="454" spans="1:5" ht="15" x14ac:dyDescent="0.2">
      <c r="B454" s="364" t="s">
        <v>527</v>
      </c>
      <c r="C454" s="365">
        <v>1171545</v>
      </c>
      <c r="D454" s="365">
        <v>47711</v>
      </c>
      <c r="E454" s="365">
        <v>1219256</v>
      </c>
    </row>
    <row r="455" spans="1:5" ht="15" x14ac:dyDescent="0.2">
      <c r="B455" s="364" t="s">
        <v>528</v>
      </c>
      <c r="C455" s="365">
        <v>9450</v>
      </c>
      <c r="D455" s="365">
        <v>0</v>
      </c>
      <c r="E455" s="365">
        <v>9450</v>
      </c>
    </row>
    <row r="456" spans="1:5" ht="15" x14ac:dyDescent="0.2">
      <c r="B456" s="364" t="s">
        <v>529</v>
      </c>
      <c r="C456" s="365">
        <v>298171</v>
      </c>
      <c r="D456" s="365">
        <v>0</v>
      </c>
      <c r="E456" s="365">
        <v>298171</v>
      </c>
    </row>
    <row r="457" spans="1:5" ht="30" x14ac:dyDescent="0.2">
      <c r="B457" s="364" t="s">
        <v>530</v>
      </c>
      <c r="C457" s="365">
        <v>11606</v>
      </c>
      <c r="D457" s="365">
        <v>-3678</v>
      </c>
      <c r="E457" s="365">
        <v>7928</v>
      </c>
    </row>
    <row r="459" spans="1:5" ht="15.75" customHeight="1" x14ac:dyDescent="0.2">
      <c r="A459" s="387" t="s">
        <v>608</v>
      </c>
      <c r="B459" s="388"/>
      <c r="C459" s="388"/>
      <c r="D459" s="388"/>
      <c r="E459" s="388"/>
    </row>
    <row r="460" spans="1:5" s="361" customFormat="1" ht="14.25" x14ac:dyDescent="0.2">
      <c r="B460" s="362" t="s">
        <v>525</v>
      </c>
      <c r="C460" s="363">
        <v>1673957</v>
      </c>
      <c r="D460" s="363">
        <v>64825</v>
      </c>
      <c r="E460" s="363">
        <v>1738782</v>
      </c>
    </row>
    <row r="461" spans="1:5" ht="15" x14ac:dyDescent="0.2">
      <c r="B461" s="359" t="s">
        <v>526</v>
      </c>
      <c r="C461" s="357">
        <v>853596</v>
      </c>
      <c r="D461" s="357">
        <v>49005</v>
      </c>
      <c r="E461" s="357">
        <v>902601</v>
      </c>
    </row>
    <row r="462" spans="1:5" ht="15" x14ac:dyDescent="0.2">
      <c r="B462" s="359" t="s">
        <v>527</v>
      </c>
      <c r="C462" s="357">
        <v>536845</v>
      </c>
      <c r="D462" s="357">
        <v>15820</v>
      </c>
      <c r="E462" s="357">
        <v>552665</v>
      </c>
    </row>
    <row r="463" spans="1:5" ht="15" x14ac:dyDescent="0.2">
      <c r="B463" s="359" t="s">
        <v>529</v>
      </c>
      <c r="C463" s="357">
        <v>283516</v>
      </c>
      <c r="D463" s="357">
        <v>0</v>
      </c>
      <c r="E463" s="357">
        <v>283516</v>
      </c>
    </row>
    <row r="465" spans="1:5" ht="15.75" customHeight="1" x14ac:dyDescent="0.2">
      <c r="A465" s="387" t="s">
        <v>609</v>
      </c>
      <c r="B465" s="388"/>
      <c r="C465" s="388"/>
      <c r="D465" s="388"/>
      <c r="E465" s="388"/>
    </row>
    <row r="466" spans="1:5" s="361" customFormat="1" ht="14.25" x14ac:dyDescent="0.2">
      <c r="B466" s="362" t="s">
        <v>525</v>
      </c>
      <c r="C466" s="363">
        <v>695140</v>
      </c>
      <c r="D466" s="363">
        <v>27973</v>
      </c>
      <c r="E466" s="363">
        <v>723113</v>
      </c>
    </row>
    <row r="467" spans="1:5" ht="15" x14ac:dyDescent="0.2">
      <c r="B467" s="359" t="s">
        <v>526</v>
      </c>
      <c r="C467" s="357">
        <v>128927</v>
      </c>
      <c r="D467" s="357">
        <v>3000</v>
      </c>
      <c r="E467" s="357">
        <v>131927</v>
      </c>
    </row>
    <row r="468" spans="1:5" ht="15" x14ac:dyDescent="0.2">
      <c r="B468" s="359" t="s">
        <v>527</v>
      </c>
      <c r="C468" s="357">
        <v>553213</v>
      </c>
      <c r="D468" s="357">
        <v>24973</v>
      </c>
      <c r="E468" s="357">
        <v>578186</v>
      </c>
    </row>
    <row r="469" spans="1:5" ht="15" x14ac:dyDescent="0.2">
      <c r="B469" s="359" t="s">
        <v>529</v>
      </c>
      <c r="C469" s="357">
        <v>13000</v>
      </c>
      <c r="D469" s="357">
        <v>0</v>
      </c>
      <c r="E469" s="357">
        <v>13000</v>
      </c>
    </row>
    <row r="471" spans="1:5" ht="15.75" customHeight="1" x14ac:dyDescent="0.2">
      <c r="A471" s="387" t="s">
        <v>610</v>
      </c>
      <c r="B471" s="388"/>
      <c r="C471" s="388"/>
      <c r="D471" s="388"/>
      <c r="E471" s="388"/>
    </row>
    <row r="472" spans="1:5" s="361" customFormat="1" ht="14.25" x14ac:dyDescent="0.2">
      <c r="B472" s="362" t="s">
        <v>525</v>
      </c>
      <c r="C472" s="363">
        <v>95001</v>
      </c>
      <c r="D472" s="363">
        <v>0</v>
      </c>
      <c r="E472" s="363">
        <v>95001</v>
      </c>
    </row>
    <row r="473" spans="1:5" ht="15" x14ac:dyDescent="0.2">
      <c r="B473" s="359" t="s">
        <v>526</v>
      </c>
      <c r="C473" s="357">
        <v>95001</v>
      </c>
      <c r="D473" s="357">
        <v>0</v>
      </c>
      <c r="E473" s="357">
        <v>95001</v>
      </c>
    </row>
    <row r="475" spans="1:5" ht="15.75" customHeight="1" x14ac:dyDescent="0.2">
      <c r="A475" s="387" t="s">
        <v>611</v>
      </c>
      <c r="B475" s="388"/>
      <c r="C475" s="388"/>
      <c r="D475" s="388"/>
      <c r="E475" s="388"/>
    </row>
    <row r="476" spans="1:5" s="361" customFormat="1" ht="14.25" x14ac:dyDescent="0.2">
      <c r="B476" s="362" t="s">
        <v>525</v>
      </c>
      <c r="C476" s="363">
        <v>81871</v>
      </c>
      <c r="D476" s="363">
        <v>4000</v>
      </c>
      <c r="E476" s="363">
        <v>85871</v>
      </c>
    </row>
    <row r="477" spans="1:5" ht="15" x14ac:dyDescent="0.2">
      <c r="B477" s="359" t="s">
        <v>526</v>
      </c>
      <c r="C477" s="357">
        <v>72016</v>
      </c>
      <c r="D477" s="357">
        <v>0</v>
      </c>
      <c r="E477" s="357">
        <v>72016</v>
      </c>
    </row>
    <row r="478" spans="1:5" ht="15" x14ac:dyDescent="0.2">
      <c r="B478" s="359" t="s">
        <v>527</v>
      </c>
      <c r="C478" s="357">
        <v>9855</v>
      </c>
      <c r="D478" s="357">
        <v>4000</v>
      </c>
      <c r="E478" s="357">
        <v>13855</v>
      </c>
    </row>
    <row r="480" spans="1:5" ht="15.75" customHeight="1" x14ac:dyDescent="0.2">
      <c r="A480" s="387" t="s">
        <v>612</v>
      </c>
      <c r="B480" s="388"/>
      <c r="C480" s="388"/>
      <c r="D480" s="388"/>
      <c r="E480" s="388"/>
    </row>
    <row r="481" spans="1:5" s="361" customFormat="1" ht="14.25" x14ac:dyDescent="0.2">
      <c r="B481" s="362" t="s">
        <v>525</v>
      </c>
      <c r="C481" s="363">
        <v>21014</v>
      </c>
      <c r="D481" s="363">
        <v>0</v>
      </c>
      <c r="E481" s="363">
        <v>21014</v>
      </c>
    </row>
    <row r="482" spans="1:5" ht="15" x14ac:dyDescent="0.2">
      <c r="B482" s="359" t="s">
        <v>526</v>
      </c>
      <c r="C482" s="357">
        <v>15303</v>
      </c>
      <c r="D482" s="357">
        <v>0</v>
      </c>
      <c r="E482" s="357">
        <v>15303</v>
      </c>
    </row>
    <row r="483" spans="1:5" ht="15" x14ac:dyDescent="0.2">
      <c r="B483" s="359" t="s">
        <v>527</v>
      </c>
      <c r="C483" s="357">
        <v>5711</v>
      </c>
      <c r="D483" s="357">
        <v>0</v>
      </c>
      <c r="E483" s="357">
        <v>5711</v>
      </c>
    </row>
    <row r="485" spans="1:5" ht="15.75" customHeight="1" x14ac:dyDescent="0.2">
      <c r="A485" s="387" t="s">
        <v>613</v>
      </c>
      <c r="B485" s="388"/>
      <c r="C485" s="388"/>
      <c r="D485" s="388"/>
      <c r="E485" s="388"/>
    </row>
    <row r="486" spans="1:5" s="361" customFormat="1" ht="14.25" x14ac:dyDescent="0.2">
      <c r="B486" s="362" t="s">
        <v>525</v>
      </c>
      <c r="C486" s="363">
        <v>401612</v>
      </c>
      <c r="D486" s="363">
        <v>2000</v>
      </c>
      <c r="E486" s="363">
        <v>403612</v>
      </c>
    </row>
    <row r="487" spans="1:5" ht="15" x14ac:dyDescent="0.2">
      <c r="B487" s="359" t="s">
        <v>526</v>
      </c>
      <c r="C487" s="357">
        <v>330120</v>
      </c>
      <c r="D487" s="357">
        <v>2760</v>
      </c>
      <c r="E487" s="357">
        <v>332880</v>
      </c>
    </row>
    <row r="488" spans="1:5" ht="15" x14ac:dyDescent="0.2">
      <c r="B488" s="359" t="s">
        <v>527</v>
      </c>
      <c r="C488" s="357">
        <v>58231</v>
      </c>
      <c r="D488" s="357">
        <v>2918</v>
      </c>
      <c r="E488" s="357">
        <v>61149</v>
      </c>
    </row>
    <row r="489" spans="1:5" ht="15" x14ac:dyDescent="0.2">
      <c r="B489" s="359" t="s">
        <v>529</v>
      </c>
      <c r="C489" s="357">
        <v>1655</v>
      </c>
      <c r="D489" s="357">
        <v>0</v>
      </c>
      <c r="E489" s="357">
        <v>1655</v>
      </c>
    </row>
    <row r="490" spans="1:5" ht="30" x14ac:dyDescent="0.2">
      <c r="B490" s="359" t="s">
        <v>530</v>
      </c>
      <c r="C490" s="357">
        <v>11606</v>
      </c>
      <c r="D490" s="357">
        <v>-3678</v>
      </c>
      <c r="E490" s="357">
        <v>7928</v>
      </c>
    </row>
    <row r="492" spans="1:5" ht="15.75" customHeight="1" x14ac:dyDescent="0.2">
      <c r="A492" s="387" t="s">
        <v>614</v>
      </c>
      <c r="B492" s="388"/>
      <c r="C492" s="388"/>
      <c r="D492" s="388"/>
      <c r="E492" s="388"/>
    </row>
    <row r="493" spans="1:5" s="361" customFormat="1" ht="14.25" x14ac:dyDescent="0.2">
      <c r="B493" s="362" t="s">
        <v>525</v>
      </c>
      <c r="C493" s="363">
        <v>22350</v>
      </c>
      <c r="D493" s="363">
        <v>0</v>
      </c>
      <c r="E493" s="363">
        <v>22350</v>
      </c>
    </row>
    <row r="494" spans="1:5" ht="15" x14ac:dyDescent="0.2">
      <c r="B494" s="359" t="s">
        <v>526</v>
      </c>
      <c r="C494" s="357">
        <v>5210</v>
      </c>
      <c r="D494" s="357">
        <v>0</v>
      </c>
      <c r="E494" s="357">
        <v>5210</v>
      </c>
    </row>
    <row r="495" spans="1:5" ht="15" x14ac:dyDescent="0.2">
      <c r="B495" s="359" t="s">
        <v>527</v>
      </c>
      <c r="C495" s="357">
        <v>7690</v>
      </c>
      <c r="D495" s="357">
        <v>0</v>
      </c>
      <c r="E495" s="357">
        <v>7690</v>
      </c>
    </row>
    <row r="496" spans="1:5" ht="15" x14ac:dyDescent="0.2">
      <c r="B496" s="359" t="s">
        <v>528</v>
      </c>
      <c r="C496" s="357">
        <v>9450</v>
      </c>
      <c r="D496" s="357">
        <v>0</v>
      </c>
      <c r="E496" s="357">
        <v>9450</v>
      </c>
    </row>
    <row r="497" spans="1:5" ht="27" customHeight="1" x14ac:dyDescent="0.2"/>
    <row r="498" spans="1:5" ht="15.75" customHeight="1" x14ac:dyDescent="0.2">
      <c r="A498" s="389" t="s">
        <v>615</v>
      </c>
      <c r="B498" s="390"/>
      <c r="C498" s="390"/>
      <c r="D498" s="390"/>
      <c r="E498" s="390"/>
    </row>
    <row r="499" spans="1:5" ht="14.25" x14ac:dyDescent="0.2">
      <c r="B499" s="362" t="s">
        <v>525</v>
      </c>
      <c r="C499" s="363">
        <v>394918</v>
      </c>
      <c r="D499" s="363">
        <v>0</v>
      </c>
      <c r="E499" s="363">
        <v>394918</v>
      </c>
    </row>
    <row r="500" spans="1:5" ht="14.25" x14ac:dyDescent="0.2">
      <c r="B500" s="362" t="s">
        <v>526</v>
      </c>
      <c r="C500" s="363">
        <v>189906</v>
      </c>
      <c r="D500" s="363">
        <v>7350</v>
      </c>
      <c r="E500" s="363">
        <v>197256</v>
      </c>
    </row>
    <row r="501" spans="1:5" ht="14.25" x14ac:dyDescent="0.2">
      <c r="B501" s="362" t="s">
        <v>527</v>
      </c>
      <c r="C501" s="363">
        <v>202212</v>
      </c>
      <c r="D501" s="363">
        <v>-7350</v>
      </c>
      <c r="E501" s="363">
        <v>194862</v>
      </c>
    </row>
    <row r="502" spans="1:5" ht="14.25" x14ac:dyDescent="0.2">
      <c r="B502" s="362" t="s">
        <v>529</v>
      </c>
      <c r="C502" s="363">
        <v>2800</v>
      </c>
      <c r="D502" s="363">
        <v>0</v>
      </c>
      <c r="E502" s="363">
        <v>2800</v>
      </c>
    </row>
    <row r="504" spans="1:5" ht="15.75" customHeight="1" x14ac:dyDescent="0.2">
      <c r="A504" s="387" t="s">
        <v>616</v>
      </c>
      <c r="B504" s="388"/>
      <c r="C504" s="388"/>
      <c r="D504" s="388"/>
      <c r="E504" s="388"/>
    </row>
    <row r="505" spans="1:5" s="361" customFormat="1" ht="14.25" x14ac:dyDescent="0.2">
      <c r="B505" s="362" t="s">
        <v>525</v>
      </c>
      <c r="C505" s="363">
        <v>394918</v>
      </c>
      <c r="D505" s="363">
        <v>0</v>
      </c>
      <c r="E505" s="363">
        <v>394918</v>
      </c>
    </row>
    <row r="506" spans="1:5" ht="15" x14ac:dyDescent="0.2">
      <c r="B506" s="359" t="s">
        <v>526</v>
      </c>
      <c r="C506" s="357">
        <v>189906</v>
      </c>
      <c r="D506" s="357">
        <v>7350</v>
      </c>
      <c r="E506" s="357">
        <v>197256</v>
      </c>
    </row>
    <row r="507" spans="1:5" ht="15" x14ac:dyDescent="0.2">
      <c r="B507" s="359" t="s">
        <v>527</v>
      </c>
      <c r="C507" s="357">
        <v>202212</v>
      </c>
      <c r="D507" s="357">
        <v>-7350</v>
      </c>
      <c r="E507" s="357">
        <v>194862</v>
      </c>
    </row>
    <row r="508" spans="1:5" ht="15" x14ac:dyDescent="0.2">
      <c r="B508" s="359" t="s">
        <v>529</v>
      </c>
      <c r="C508" s="357">
        <v>2800</v>
      </c>
      <c r="D508" s="357">
        <v>0</v>
      </c>
      <c r="E508" s="357">
        <v>2800</v>
      </c>
    </row>
    <row r="509" spans="1:5" ht="28.5" customHeight="1" x14ac:dyDescent="0.2"/>
    <row r="510" spans="1:5" ht="31.5" customHeight="1" x14ac:dyDescent="0.2">
      <c r="A510" s="389" t="s">
        <v>617</v>
      </c>
      <c r="B510" s="390"/>
      <c r="C510" s="390"/>
      <c r="D510" s="390"/>
      <c r="E510" s="390"/>
    </row>
    <row r="511" spans="1:5" ht="15" x14ac:dyDescent="0.2">
      <c r="B511" s="364" t="s">
        <v>525</v>
      </c>
      <c r="C511" s="365">
        <v>1135897</v>
      </c>
      <c r="D511" s="365">
        <v>199034</v>
      </c>
      <c r="E511" s="365">
        <v>1334931</v>
      </c>
    </row>
    <row r="512" spans="1:5" ht="15" x14ac:dyDescent="0.2">
      <c r="B512" s="364" t="s">
        <v>526</v>
      </c>
      <c r="C512" s="365">
        <v>678964</v>
      </c>
      <c r="D512" s="365">
        <v>49978</v>
      </c>
      <c r="E512" s="365">
        <v>728942</v>
      </c>
    </row>
    <row r="513" spans="1:5" ht="15" x14ac:dyDescent="0.2">
      <c r="B513" s="364" t="s">
        <v>527</v>
      </c>
      <c r="C513" s="365">
        <v>432489</v>
      </c>
      <c r="D513" s="365">
        <v>60777</v>
      </c>
      <c r="E513" s="365">
        <v>493266</v>
      </c>
    </row>
    <row r="514" spans="1:5" ht="15" x14ac:dyDescent="0.2">
      <c r="B514" s="364" t="s">
        <v>529</v>
      </c>
      <c r="C514" s="365">
        <v>5250</v>
      </c>
      <c r="D514" s="365">
        <v>26145</v>
      </c>
      <c r="E514" s="365">
        <v>31395</v>
      </c>
    </row>
    <row r="515" spans="1:5" ht="15" x14ac:dyDescent="0.2">
      <c r="B515" s="364" t="s">
        <v>587</v>
      </c>
      <c r="C515" s="365">
        <v>19194</v>
      </c>
      <c r="D515" s="365">
        <v>10900</v>
      </c>
      <c r="E515" s="365">
        <v>30094</v>
      </c>
    </row>
    <row r="516" spans="1:5" ht="30" x14ac:dyDescent="0.2">
      <c r="B516" s="364" t="s">
        <v>530</v>
      </c>
      <c r="C516" s="365">
        <v>0</v>
      </c>
      <c r="D516" s="365">
        <v>51234</v>
      </c>
      <c r="E516" s="365">
        <v>51234</v>
      </c>
    </row>
    <row r="518" spans="1:5" ht="15.75" customHeight="1" x14ac:dyDescent="0.2">
      <c r="A518" s="387" t="s">
        <v>618</v>
      </c>
      <c r="B518" s="388"/>
      <c r="C518" s="388"/>
      <c r="D518" s="388"/>
      <c r="E518" s="388"/>
    </row>
    <row r="519" spans="1:5" s="361" customFormat="1" ht="14.25" x14ac:dyDescent="0.2">
      <c r="B519" s="362" t="s">
        <v>525</v>
      </c>
      <c r="C519" s="363">
        <v>975927</v>
      </c>
      <c r="D519" s="363">
        <v>22218</v>
      </c>
      <c r="E519" s="363">
        <v>998145</v>
      </c>
    </row>
    <row r="520" spans="1:5" ht="15" x14ac:dyDescent="0.2">
      <c r="B520" s="359" t="s">
        <v>526</v>
      </c>
      <c r="C520" s="357">
        <v>646204</v>
      </c>
      <c r="D520" s="357">
        <v>8612</v>
      </c>
      <c r="E520" s="357">
        <v>654816</v>
      </c>
    </row>
    <row r="521" spans="1:5" ht="15" x14ac:dyDescent="0.2">
      <c r="B521" s="359" t="s">
        <v>527</v>
      </c>
      <c r="C521" s="357">
        <v>327723</v>
      </c>
      <c r="D521" s="357">
        <v>8206</v>
      </c>
      <c r="E521" s="357">
        <v>335929</v>
      </c>
    </row>
    <row r="522" spans="1:5" ht="15" x14ac:dyDescent="0.2">
      <c r="B522" s="359" t="s">
        <v>529</v>
      </c>
      <c r="C522" s="357">
        <v>2000</v>
      </c>
      <c r="D522" s="357">
        <v>0</v>
      </c>
      <c r="E522" s="357">
        <v>2000</v>
      </c>
    </row>
    <row r="523" spans="1:5" ht="15" x14ac:dyDescent="0.2">
      <c r="B523" s="359" t="s">
        <v>587</v>
      </c>
      <c r="C523" s="357">
        <v>0</v>
      </c>
      <c r="D523" s="357">
        <v>5400</v>
      </c>
      <c r="E523" s="357">
        <v>5400</v>
      </c>
    </row>
    <row r="525" spans="1:5" ht="15.75" customHeight="1" x14ac:dyDescent="0.2">
      <c r="A525" s="387" t="s">
        <v>619</v>
      </c>
      <c r="B525" s="388"/>
      <c r="C525" s="388"/>
      <c r="D525" s="388"/>
      <c r="E525" s="388"/>
    </row>
    <row r="526" spans="1:5" s="361" customFormat="1" ht="14.25" x14ac:dyDescent="0.2">
      <c r="B526" s="362" t="s">
        <v>525</v>
      </c>
      <c r="C526" s="363">
        <v>159970</v>
      </c>
      <c r="D526" s="363">
        <v>176816</v>
      </c>
      <c r="E526" s="363">
        <v>336786</v>
      </c>
    </row>
    <row r="527" spans="1:5" ht="15" x14ac:dyDescent="0.2">
      <c r="B527" s="359" t="s">
        <v>526</v>
      </c>
      <c r="C527" s="357">
        <v>32760</v>
      </c>
      <c r="D527" s="357">
        <v>41366</v>
      </c>
      <c r="E527" s="357">
        <v>74126</v>
      </c>
    </row>
    <row r="528" spans="1:5" ht="15" x14ac:dyDescent="0.2">
      <c r="B528" s="359" t="s">
        <v>527</v>
      </c>
      <c r="C528" s="357">
        <v>104766</v>
      </c>
      <c r="D528" s="357">
        <v>52571</v>
      </c>
      <c r="E528" s="357">
        <v>157337</v>
      </c>
    </row>
    <row r="529" spans="1:5" ht="15" x14ac:dyDescent="0.2">
      <c r="B529" s="359" t="s">
        <v>529</v>
      </c>
      <c r="C529" s="357">
        <v>3250</v>
      </c>
      <c r="D529" s="357">
        <v>26145</v>
      </c>
      <c r="E529" s="357">
        <v>29395</v>
      </c>
    </row>
    <row r="530" spans="1:5" ht="15" x14ac:dyDescent="0.2">
      <c r="B530" s="359" t="s">
        <v>587</v>
      </c>
      <c r="C530" s="357">
        <v>19194</v>
      </c>
      <c r="D530" s="357">
        <v>5500</v>
      </c>
      <c r="E530" s="357">
        <v>24694</v>
      </c>
    </row>
    <row r="531" spans="1:5" ht="30" x14ac:dyDescent="0.2">
      <c r="B531" s="359" t="s">
        <v>530</v>
      </c>
      <c r="C531" s="357">
        <v>0</v>
      </c>
      <c r="D531" s="357">
        <v>51234</v>
      </c>
      <c r="E531" s="357">
        <v>51234</v>
      </c>
    </row>
    <row r="532" spans="1:5" ht="33.75" customHeight="1" x14ac:dyDescent="0.2"/>
    <row r="533" spans="1:5" ht="15.75" customHeight="1" x14ac:dyDescent="0.2">
      <c r="A533" s="389" t="s">
        <v>620</v>
      </c>
      <c r="B533" s="390"/>
      <c r="C533" s="390"/>
      <c r="D533" s="390"/>
      <c r="E533" s="390"/>
    </row>
    <row r="534" spans="1:5" ht="15" x14ac:dyDescent="0.2">
      <c r="B534" s="364" t="s">
        <v>525</v>
      </c>
      <c r="C534" s="365">
        <v>24851202</v>
      </c>
      <c r="D534" s="365">
        <v>5405739</v>
      </c>
      <c r="E534" s="365">
        <v>30256941</v>
      </c>
    </row>
    <row r="535" spans="1:5" ht="15" x14ac:dyDescent="0.2">
      <c r="B535" s="364" t="s">
        <v>526</v>
      </c>
      <c r="C535" s="365">
        <v>16026974</v>
      </c>
      <c r="D535" s="365">
        <v>4481517</v>
      </c>
      <c r="E535" s="365">
        <v>20508491</v>
      </c>
    </row>
    <row r="536" spans="1:5" ht="15" x14ac:dyDescent="0.2">
      <c r="B536" s="364" t="s">
        <v>527</v>
      </c>
      <c r="C536" s="365">
        <v>4469624</v>
      </c>
      <c r="D536" s="365">
        <f>750535-600</f>
        <v>749935</v>
      </c>
      <c r="E536" s="365">
        <f>5220159-600</f>
        <v>5219559</v>
      </c>
    </row>
    <row r="537" spans="1:5" ht="15" x14ac:dyDescent="0.2">
      <c r="B537" s="364" t="s">
        <v>528</v>
      </c>
      <c r="C537" s="365">
        <v>2442164</v>
      </c>
      <c r="D537" s="365">
        <v>-14643</v>
      </c>
      <c r="E537" s="365">
        <v>2427521</v>
      </c>
    </row>
    <row r="538" spans="1:5" ht="15" x14ac:dyDescent="0.2">
      <c r="B538" s="364" t="s">
        <v>529</v>
      </c>
      <c r="C538" s="365">
        <v>722637</v>
      </c>
      <c r="D538" s="365">
        <f>185096+772</f>
        <v>185868</v>
      </c>
      <c r="E538" s="365">
        <f>907733+772</f>
        <v>908505</v>
      </c>
    </row>
    <row r="539" spans="1:5" ht="15" x14ac:dyDescent="0.2">
      <c r="B539" s="364" t="s">
        <v>587</v>
      </c>
      <c r="C539" s="365">
        <v>453139</v>
      </c>
      <c r="D539" s="365">
        <f>-3441-172</f>
        <v>-3613</v>
      </c>
      <c r="E539" s="365">
        <f>449698-172</f>
        <v>449526</v>
      </c>
    </row>
    <row r="540" spans="1:5" ht="30" x14ac:dyDescent="0.2">
      <c r="B540" s="364" t="s">
        <v>530</v>
      </c>
      <c r="C540" s="365">
        <v>736664</v>
      </c>
      <c r="D540" s="365">
        <v>6675</v>
      </c>
      <c r="E540" s="365">
        <v>743339</v>
      </c>
    </row>
    <row r="542" spans="1:5" ht="15.75" customHeight="1" x14ac:dyDescent="0.2">
      <c r="A542" s="387" t="s">
        <v>621</v>
      </c>
      <c r="B542" s="388"/>
      <c r="C542" s="388"/>
      <c r="D542" s="388"/>
      <c r="E542" s="388"/>
    </row>
    <row r="543" spans="1:5" s="361" customFormat="1" ht="14.25" x14ac:dyDescent="0.2">
      <c r="B543" s="362" t="s">
        <v>525</v>
      </c>
      <c r="C543" s="363">
        <v>732940</v>
      </c>
      <c r="D543" s="363">
        <v>0</v>
      </c>
      <c r="E543" s="363">
        <v>732940</v>
      </c>
    </row>
    <row r="544" spans="1:5" ht="15" x14ac:dyDescent="0.2">
      <c r="B544" s="359" t="s">
        <v>527</v>
      </c>
      <c r="C544" s="357">
        <v>100</v>
      </c>
      <c r="D544" s="357">
        <v>0</v>
      </c>
      <c r="E544" s="357">
        <v>100</v>
      </c>
    </row>
    <row r="545" spans="1:5" ht="30" x14ac:dyDescent="0.2">
      <c r="B545" s="359" t="s">
        <v>530</v>
      </c>
      <c r="C545" s="357">
        <v>732840</v>
      </c>
      <c r="D545" s="357">
        <v>0</v>
      </c>
      <c r="E545" s="357">
        <v>732840</v>
      </c>
    </row>
    <row r="547" spans="1:5" ht="15.75" customHeight="1" x14ac:dyDescent="0.2">
      <c r="A547" s="387" t="s">
        <v>622</v>
      </c>
      <c r="B547" s="388"/>
      <c r="C547" s="388"/>
      <c r="D547" s="388"/>
      <c r="E547" s="388"/>
    </row>
    <row r="548" spans="1:5" s="361" customFormat="1" ht="14.25" x14ac:dyDescent="0.2">
      <c r="B548" s="362" t="s">
        <v>525</v>
      </c>
      <c r="C548" s="363">
        <v>7663797</v>
      </c>
      <c r="D548" s="363">
        <v>247022</v>
      </c>
      <c r="E548" s="363">
        <v>7910819</v>
      </c>
    </row>
    <row r="549" spans="1:5" ht="15" x14ac:dyDescent="0.2">
      <c r="B549" s="359" t="s">
        <v>526</v>
      </c>
      <c r="C549" s="357">
        <v>4550875</v>
      </c>
      <c r="D549" s="357">
        <v>279743</v>
      </c>
      <c r="E549" s="357">
        <v>4830618</v>
      </c>
    </row>
    <row r="550" spans="1:5" ht="15" x14ac:dyDescent="0.2">
      <c r="B550" s="359" t="s">
        <v>527</v>
      </c>
      <c r="C550" s="357">
        <v>829661</v>
      </c>
      <c r="D550" s="357">
        <v>-14792</v>
      </c>
      <c r="E550" s="357">
        <v>814869</v>
      </c>
    </row>
    <row r="551" spans="1:5" ht="15" x14ac:dyDescent="0.2">
      <c r="B551" s="359" t="s">
        <v>528</v>
      </c>
      <c r="C551" s="357">
        <v>2199929</v>
      </c>
      <c r="D551" s="357">
        <v>-30397</v>
      </c>
      <c r="E551" s="357">
        <v>2169532</v>
      </c>
    </row>
    <row r="552" spans="1:5" ht="15" x14ac:dyDescent="0.2">
      <c r="B552" s="359" t="s">
        <v>529</v>
      </c>
      <c r="C552" s="357">
        <v>83332</v>
      </c>
      <c r="D552" s="357">
        <v>12468</v>
      </c>
      <c r="E552" s="357">
        <v>95800</v>
      </c>
    </row>
    <row r="554" spans="1:5" ht="15.75" customHeight="1" x14ac:dyDescent="0.2">
      <c r="A554" s="387" t="s">
        <v>623</v>
      </c>
      <c r="B554" s="388"/>
      <c r="C554" s="388"/>
      <c r="D554" s="388"/>
      <c r="E554" s="388"/>
    </row>
    <row r="555" spans="1:5" s="361" customFormat="1" ht="14.25" x14ac:dyDescent="0.2">
      <c r="B555" s="362" t="s">
        <v>525</v>
      </c>
      <c r="C555" s="363">
        <v>10353034</v>
      </c>
      <c r="D555" s="363">
        <v>3263038</v>
      </c>
      <c r="E555" s="363">
        <v>13616072</v>
      </c>
    </row>
    <row r="556" spans="1:5" ht="15" x14ac:dyDescent="0.2">
      <c r="B556" s="359" t="s">
        <v>526</v>
      </c>
      <c r="C556" s="357">
        <v>7701984</v>
      </c>
      <c r="D556" s="357">
        <v>2782344</v>
      </c>
      <c r="E556" s="357">
        <v>10484328</v>
      </c>
    </row>
    <row r="557" spans="1:5" ht="15" x14ac:dyDescent="0.2">
      <c r="B557" s="359" t="s">
        <v>527</v>
      </c>
      <c r="C557" s="357">
        <v>2112748</v>
      </c>
      <c r="D557" s="357">
        <v>261993</v>
      </c>
      <c r="E557" s="357">
        <v>2374741</v>
      </c>
    </row>
    <row r="558" spans="1:5" ht="15" x14ac:dyDescent="0.2">
      <c r="B558" s="359" t="s">
        <v>528</v>
      </c>
      <c r="C558" s="357">
        <v>242235</v>
      </c>
      <c r="D558" s="357">
        <v>2111</v>
      </c>
      <c r="E558" s="357">
        <v>244346</v>
      </c>
    </row>
    <row r="559" spans="1:5" ht="15" x14ac:dyDescent="0.2">
      <c r="B559" s="359" t="s">
        <v>529</v>
      </c>
      <c r="C559" s="357">
        <v>265167</v>
      </c>
      <c r="D559" s="357">
        <v>216590</v>
      </c>
      <c r="E559" s="357">
        <v>481757</v>
      </c>
    </row>
    <row r="560" spans="1:5" ht="15" x14ac:dyDescent="0.2">
      <c r="B560" s="359" t="s">
        <v>587</v>
      </c>
      <c r="C560" s="357">
        <v>30900</v>
      </c>
      <c r="D560" s="357">
        <v>0</v>
      </c>
      <c r="E560" s="357">
        <v>30900</v>
      </c>
    </row>
    <row r="562" spans="1:5" ht="15.75" customHeight="1" x14ac:dyDescent="0.2">
      <c r="A562" s="387" t="s">
        <v>876</v>
      </c>
      <c r="B562" s="388"/>
      <c r="C562" s="388"/>
      <c r="D562" s="388"/>
      <c r="E562" s="388"/>
    </row>
    <row r="563" spans="1:5" s="361" customFormat="1" ht="14.25" x14ac:dyDescent="0.2">
      <c r="B563" s="362" t="s">
        <v>525</v>
      </c>
      <c r="C563" s="363">
        <v>1439949</v>
      </c>
      <c r="D563" s="363">
        <v>690786</v>
      </c>
      <c r="E563" s="363">
        <v>2130735</v>
      </c>
    </row>
    <row r="564" spans="1:5" ht="15" x14ac:dyDescent="0.2">
      <c r="B564" s="359" t="s">
        <v>526</v>
      </c>
      <c r="C564" s="357">
        <v>1167144</v>
      </c>
      <c r="D564" s="357">
        <v>557528</v>
      </c>
      <c r="E564" s="357">
        <v>1724672</v>
      </c>
    </row>
    <row r="565" spans="1:5" ht="15" x14ac:dyDescent="0.2">
      <c r="B565" s="359" t="s">
        <v>527</v>
      </c>
      <c r="C565" s="357">
        <v>265821</v>
      </c>
      <c r="D565" s="357">
        <v>129396</v>
      </c>
      <c r="E565" s="357">
        <v>395217</v>
      </c>
    </row>
    <row r="566" spans="1:5" ht="15" x14ac:dyDescent="0.2">
      <c r="B566" s="359" t="s">
        <v>529</v>
      </c>
      <c r="C566" s="357">
        <v>6984</v>
      </c>
      <c r="D566" s="357">
        <v>3862</v>
      </c>
      <c r="E566" s="357">
        <v>10846</v>
      </c>
    </row>
    <row r="568" spans="1:5" ht="15.75" customHeight="1" x14ac:dyDescent="0.2">
      <c r="A568" s="387" t="s">
        <v>624</v>
      </c>
      <c r="B568" s="388"/>
      <c r="C568" s="388"/>
      <c r="D568" s="388"/>
      <c r="E568" s="388"/>
    </row>
    <row r="569" spans="1:5" s="361" customFormat="1" ht="14.25" x14ac:dyDescent="0.2">
      <c r="B569" s="362" t="s">
        <v>525</v>
      </c>
      <c r="C569" s="363">
        <v>174218</v>
      </c>
      <c r="D569" s="363">
        <v>163229</v>
      </c>
      <c r="E569" s="363">
        <v>337447</v>
      </c>
    </row>
    <row r="570" spans="1:5" ht="15" x14ac:dyDescent="0.2">
      <c r="B570" s="359" t="s">
        <v>527</v>
      </c>
      <c r="C570" s="357">
        <v>169868</v>
      </c>
      <c r="D570" s="357">
        <v>163229</v>
      </c>
      <c r="E570" s="357">
        <v>333097</v>
      </c>
    </row>
    <row r="571" spans="1:5" ht="15" x14ac:dyDescent="0.2">
      <c r="B571" s="359" t="s">
        <v>529</v>
      </c>
      <c r="C571" s="357">
        <v>526</v>
      </c>
      <c r="D571" s="357">
        <v>0</v>
      </c>
      <c r="E571" s="357">
        <v>526</v>
      </c>
    </row>
    <row r="572" spans="1:5" ht="30" x14ac:dyDescent="0.2">
      <c r="B572" s="359" t="s">
        <v>530</v>
      </c>
      <c r="C572" s="357">
        <v>3824</v>
      </c>
      <c r="D572" s="357">
        <v>0</v>
      </c>
      <c r="E572" s="357">
        <v>3824</v>
      </c>
    </row>
    <row r="574" spans="1:5" ht="15.75" customHeight="1" x14ac:dyDescent="0.2">
      <c r="A574" s="387" t="s">
        <v>625</v>
      </c>
      <c r="B574" s="388"/>
      <c r="C574" s="388"/>
      <c r="D574" s="388"/>
      <c r="E574" s="388"/>
    </row>
    <row r="575" spans="1:5" s="361" customFormat="1" ht="14.25" x14ac:dyDescent="0.2">
      <c r="B575" s="362" t="s">
        <v>525</v>
      </c>
      <c r="C575" s="363">
        <v>726534</v>
      </c>
      <c r="D575" s="363">
        <v>209004</v>
      </c>
      <c r="E575" s="363">
        <v>935538</v>
      </c>
    </row>
    <row r="576" spans="1:5" ht="15" x14ac:dyDescent="0.2">
      <c r="B576" s="359" t="s">
        <v>526</v>
      </c>
      <c r="C576" s="357">
        <v>490656</v>
      </c>
      <c r="D576" s="357">
        <v>208052</v>
      </c>
      <c r="E576" s="357">
        <v>698708</v>
      </c>
    </row>
    <row r="577" spans="1:5" ht="15" x14ac:dyDescent="0.2">
      <c r="B577" s="359" t="s">
        <v>527</v>
      </c>
      <c r="C577" s="357">
        <v>160669</v>
      </c>
      <c r="D577" s="357">
        <v>4093</v>
      </c>
      <c r="E577" s="357">
        <v>164762</v>
      </c>
    </row>
    <row r="578" spans="1:5" ht="15" x14ac:dyDescent="0.2">
      <c r="B578" s="359" t="s">
        <v>529</v>
      </c>
      <c r="C578" s="357">
        <v>12000</v>
      </c>
      <c r="D578" s="357">
        <f>300+172</f>
        <v>472</v>
      </c>
      <c r="E578" s="357">
        <f>12300+172</f>
        <v>12472</v>
      </c>
    </row>
    <row r="579" spans="1:5" ht="15" x14ac:dyDescent="0.2">
      <c r="B579" s="359" t="s">
        <v>587</v>
      </c>
      <c r="C579" s="357">
        <v>63209</v>
      </c>
      <c r="D579" s="357">
        <f>-3441-172</f>
        <v>-3613</v>
      </c>
      <c r="E579" s="357">
        <f>59768-172</f>
        <v>59596</v>
      </c>
    </row>
    <row r="581" spans="1:5" ht="15.75" customHeight="1" x14ac:dyDescent="0.2">
      <c r="A581" s="387" t="s">
        <v>626</v>
      </c>
      <c r="B581" s="388"/>
      <c r="C581" s="388"/>
      <c r="D581" s="388"/>
      <c r="E581" s="388"/>
    </row>
    <row r="582" spans="1:5" s="361" customFormat="1" ht="14.25" x14ac:dyDescent="0.2">
      <c r="B582" s="362" t="s">
        <v>525</v>
      </c>
      <c r="C582" s="363">
        <v>784008</v>
      </c>
      <c r="D582" s="363">
        <v>145367</v>
      </c>
      <c r="E582" s="363">
        <v>929375</v>
      </c>
    </row>
    <row r="583" spans="1:5" ht="15" x14ac:dyDescent="0.2">
      <c r="B583" s="359" t="s">
        <v>526</v>
      </c>
      <c r="C583" s="357">
        <v>321242</v>
      </c>
      <c r="D583" s="357">
        <v>19637</v>
      </c>
      <c r="E583" s="357">
        <v>340879</v>
      </c>
    </row>
    <row r="584" spans="1:5" ht="15" x14ac:dyDescent="0.2">
      <c r="B584" s="359" t="s">
        <v>527</v>
      </c>
      <c r="C584" s="357">
        <v>356736</v>
      </c>
      <c r="D584" s="357">
        <f>119055-600</f>
        <v>118455</v>
      </c>
      <c r="E584" s="357">
        <f>475791-600</f>
        <v>475191</v>
      </c>
    </row>
    <row r="585" spans="1:5" ht="15" x14ac:dyDescent="0.2">
      <c r="B585" s="371" t="s">
        <v>529</v>
      </c>
      <c r="C585" s="357">
        <v>0</v>
      </c>
      <c r="D585" s="357">
        <v>600</v>
      </c>
      <c r="E585" s="357">
        <v>600</v>
      </c>
    </row>
    <row r="586" spans="1:5" ht="15" x14ac:dyDescent="0.2">
      <c r="B586" s="359" t="s">
        <v>587</v>
      </c>
      <c r="C586" s="357">
        <v>106030</v>
      </c>
      <c r="D586" s="357">
        <v>0</v>
      </c>
      <c r="E586" s="357">
        <v>106030</v>
      </c>
    </row>
    <row r="587" spans="1:5" ht="30" x14ac:dyDescent="0.2">
      <c r="B587" s="359" t="s">
        <v>530</v>
      </c>
      <c r="C587" s="357">
        <v>0</v>
      </c>
      <c r="D587" s="357">
        <v>6675</v>
      </c>
      <c r="E587" s="357">
        <v>6675</v>
      </c>
    </row>
    <row r="589" spans="1:5" ht="15.75" customHeight="1" x14ac:dyDescent="0.2">
      <c r="A589" s="387" t="s">
        <v>627</v>
      </c>
      <c r="B589" s="388"/>
      <c r="C589" s="388"/>
      <c r="D589" s="388"/>
      <c r="E589" s="388"/>
    </row>
    <row r="590" spans="1:5" s="361" customFormat="1" ht="14.25" x14ac:dyDescent="0.2">
      <c r="B590" s="362" t="s">
        <v>525</v>
      </c>
      <c r="C590" s="363">
        <v>1251866</v>
      </c>
      <c r="D590" s="363">
        <v>196782</v>
      </c>
      <c r="E590" s="363">
        <v>1448648</v>
      </c>
    </row>
    <row r="591" spans="1:5" ht="15" x14ac:dyDescent="0.2">
      <c r="B591" s="359" t="s">
        <v>526</v>
      </c>
      <c r="C591" s="357">
        <v>560467</v>
      </c>
      <c r="D591" s="357">
        <v>193897</v>
      </c>
      <c r="E591" s="357">
        <v>754364</v>
      </c>
    </row>
    <row r="592" spans="1:5" ht="15" x14ac:dyDescent="0.2">
      <c r="B592" s="359" t="s">
        <v>527</v>
      </c>
      <c r="C592" s="357">
        <v>349210</v>
      </c>
      <c r="D592" s="357">
        <v>59607</v>
      </c>
      <c r="E592" s="357">
        <v>408817</v>
      </c>
    </row>
    <row r="593" spans="1:5" ht="15" x14ac:dyDescent="0.2">
      <c r="B593" s="359" t="s">
        <v>528</v>
      </c>
      <c r="C593" s="357">
        <v>0</v>
      </c>
      <c r="D593" s="357">
        <v>6283</v>
      </c>
      <c r="E593" s="357">
        <v>6283</v>
      </c>
    </row>
    <row r="594" spans="1:5" ht="15" x14ac:dyDescent="0.2">
      <c r="B594" s="359" t="s">
        <v>529</v>
      </c>
      <c r="C594" s="357">
        <v>342189</v>
      </c>
      <c r="D594" s="357">
        <v>-63005</v>
      </c>
      <c r="E594" s="357">
        <v>279184</v>
      </c>
    </row>
    <row r="596" spans="1:5" ht="15.75" customHeight="1" x14ac:dyDescent="0.2">
      <c r="A596" s="387" t="s">
        <v>628</v>
      </c>
      <c r="B596" s="388"/>
      <c r="C596" s="388"/>
      <c r="D596" s="388"/>
      <c r="E596" s="388"/>
    </row>
    <row r="597" spans="1:5" s="361" customFormat="1" ht="14.25" x14ac:dyDescent="0.2">
      <c r="B597" s="362" t="s">
        <v>525</v>
      </c>
      <c r="C597" s="363">
        <v>216222</v>
      </c>
      <c r="D597" s="363">
        <v>35274</v>
      </c>
      <c r="E597" s="363">
        <v>251496</v>
      </c>
    </row>
    <row r="598" spans="1:5" ht="15" x14ac:dyDescent="0.2">
      <c r="B598" s="359" t="s">
        <v>526</v>
      </c>
      <c r="C598" s="357">
        <v>159986</v>
      </c>
      <c r="D598" s="357">
        <v>36121</v>
      </c>
      <c r="E598" s="357">
        <v>196107</v>
      </c>
    </row>
    <row r="599" spans="1:5" ht="15" x14ac:dyDescent="0.2">
      <c r="B599" s="359" t="s">
        <v>527</v>
      </c>
      <c r="C599" s="357">
        <v>53947</v>
      </c>
      <c r="D599" s="357">
        <v>-9495</v>
      </c>
      <c r="E599" s="357">
        <v>44452</v>
      </c>
    </row>
    <row r="600" spans="1:5" ht="15" x14ac:dyDescent="0.2">
      <c r="B600" s="359" t="s">
        <v>529</v>
      </c>
      <c r="C600" s="357">
        <v>2289</v>
      </c>
      <c r="D600" s="357">
        <v>8648</v>
      </c>
      <c r="E600" s="357">
        <v>10937</v>
      </c>
    </row>
    <row r="601" spans="1:5" ht="10.5" customHeight="1" x14ac:dyDescent="0.2"/>
    <row r="602" spans="1:5" ht="15.75" customHeight="1" x14ac:dyDescent="0.2">
      <c r="A602" s="387" t="s">
        <v>629</v>
      </c>
      <c r="B602" s="388"/>
      <c r="C602" s="388"/>
      <c r="D602" s="388"/>
      <c r="E602" s="388"/>
    </row>
    <row r="603" spans="1:5" s="361" customFormat="1" ht="14.25" x14ac:dyDescent="0.2">
      <c r="B603" s="362" t="s">
        <v>525</v>
      </c>
      <c r="C603" s="363">
        <v>6954</v>
      </c>
      <c r="D603" s="363">
        <v>3005</v>
      </c>
      <c r="E603" s="363">
        <v>9959</v>
      </c>
    </row>
    <row r="604" spans="1:5" ht="15" x14ac:dyDescent="0.2">
      <c r="B604" s="359" t="s">
        <v>526</v>
      </c>
      <c r="C604" s="357">
        <v>528</v>
      </c>
      <c r="D604" s="357">
        <v>0</v>
      </c>
      <c r="E604" s="357">
        <v>528</v>
      </c>
    </row>
    <row r="605" spans="1:5" ht="15" x14ac:dyDescent="0.2">
      <c r="B605" s="359" t="s">
        <v>527</v>
      </c>
      <c r="C605" s="357">
        <v>6426</v>
      </c>
      <c r="D605" s="357">
        <v>3005</v>
      </c>
      <c r="E605" s="357">
        <v>9431</v>
      </c>
    </row>
    <row r="606" spans="1:5" ht="8.25" customHeight="1" x14ac:dyDescent="0.2"/>
    <row r="607" spans="1:5" ht="15.75" customHeight="1" x14ac:dyDescent="0.2">
      <c r="A607" s="387" t="s">
        <v>630</v>
      </c>
      <c r="B607" s="388"/>
      <c r="C607" s="388"/>
      <c r="D607" s="388"/>
      <c r="E607" s="388"/>
    </row>
    <row r="608" spans="1:5" s="361" customFormat="1" ht="14.25" x14ac:dyDescent="0.2">
      <c r="B608" s="362" t="s">
        <v>525</v>
      </c>
      <c r="C608" s="363">
        <v>694950</v>
      </c>
      <c r="D608" s="363">
        <v>19518</v>
      </c>
      <c r="E608" s="363">
        <v>714468</v>
      </c>
    </row>
    <row r="609" spans="1:5" ht="15" x14ac:dyDescent="0.2">
      <c r="B609" s="359" t="s">
        <v>526</v>
      </c>
      <c r="C609" s="357">
        <v>591184</v>
      </c>
      <c r="D609" s="357">
        <v>19518</v>
      </c>
      <c r="E609" s="357">
        <v>610702</v>
      </c>
    </row>
    <row r="610" spans="1:5" ht="15" x14ac:dyDescent="0.2">
      <c r="B610" s="359" t="s">
        <v>527</v>
      </c>
      <c r="C610" s="357">
        <v>90616</v>
      </c>
      <c r="D610" s="357">
        <v>-533</v>
      </c>
      <c r="E610" s="357">
        <v>90083</v>
      </c>
    </row>
    <row r="611" spans="1:5" ht="15" x14ac:dyDescent="0.2">
      <c r="B611" s="359" t="s">
        <v>529</v>
      </c>
      <c r="C611" s="357">
        <v>10150</v>
      </c>
      <c r="D611" s="357">
        <v>533</v>
      </c>
      <c r="E611" s="357">
        <v>10683</v>
      </c>
    </row>
    <row r="612" spans="1:5" ht="15" x14ac:dyDescent="0.2">
      <c r="B612" s="359" t="s">
        <v>587</v>
      </c>
      <c r="C612" s="357">
        <v>3000</v>
      </c>
      <c r="D612" s="357">
        <v>0</v>
      </c>
      <c r="E612" s="357">
        <v>3000</v>
      </c>
    </row>
    <row r="614" spans="1:5" ht="15.75" customHeight="1" x14ac:dyDescent="0.2">
      <c r="A614" s="387" t="s">
        <v>631</v>
      </c>
      <c r="B614" s="388"/>
      <c r="C614" s="388"/>
      <c r="D614" s="388"/>
      <c r="E614" s="388"/>
    </row>
    <row r="615" spans="1:5" s="361" customFormat="1" ht="14.25" x14ac:dyDescent="0.2">
      <c r="B615" s="362" t="s">
        <v>525</v>
      </c>
      <c r="C615" s="363">
        <v>481277</v>
      </c>
      <c r="D615" s="363">
        <v>431040</v>
      </c>
      <c r="E615" s="363">
        <v>912317</v>
      </c>
    </row>
    <row r="616" spans="1:5" ht="15" x14ac:dyDescent="0.2">
      <c r="B616" s="359" t="s">
        <v>526</v>
      </c>
      <c r="C616" s="357">
        <v>415157</v>
      </c>
      <c r="D616" s="357">
        <v>383003</v>
      </c>
      <c r="E616" s="357">
        <v>798160</v>
      </c>
    </row>
    <row r="617" spans="1:5" ht="15" x14ac:dyDescent="0.2">
      <c r="B617" s="359" t="s">
        <v>527</v>
      </c>
      <c r="C617" s="357">
        <v>66120</v>
      </c>
      <c r="D617" s="357">
        <v>34977</v>
      </c>
      <c r="E617" s="357">
        <v>101097</v>
      </c>
    </row>
    <row r="618" spans="1:5" ht="15" x14ac:dyDescent="0.2">
      <c r="B618" s="359" t="s">
        <v>528</v>
      </c>
      <c r="C618" s="357">
        <v>0</v>
      </c>
      <c r="D618" s="357">
        <v>7360</v>
      </c>
      <c r="E618" s="357">
        <v>7360</v>
      </c>
    </row>
    <row r="619" spans="1:5" ht="15" x14ac:dyDescent="0.2">
      <c r="B619" s="359" t="s">
        <v>529</v>
      </c>
      <c r="C619" s="357">
        <v>0</v>
      </c>
      <c r="D619" s="357">
        <v>5700</v>
      </c>
      <c r="E619" s="357">
        <v>5700</v>
      </c>
    </row>
    <row r="621" spans="1:5" ht="15.75" customHeight="1" x14ac:dyDescent="0.2">
      <c r="A621" s="387" t="s">
        <v>632</v>
      </c>
      <c r="B621" s="388"/>
      <c r="C621" s="388"/>
      <c r="D621" s="388"/>
      <c r="E621" s="388"/>
    </row>
    <row r="622" spans="1:5" s="361" customFormat="1" ht="14.25" x14ac:dyDescent="0.2">
      <c r="B622" s="362" t="s">
        <v>525</v>
      </c>
      <c r="C622" s="363">
        <v>75453</v>
      </c>
      <c r="D622" s="363">
        <v>1674</v>
      </c>
      <c r="E622" s="363">
        <v>77127</v>
      </c>
    </row>
    <row r="623" spans="1:5" ht="15" x14ac:dyDescent="0.2">
      <c r="B623" s="359" t="s">
        <v>526</v>
      </c>
      <c r="C623" s="357">
        <v>67751</v>
      </c>
      <c r="D623" s="357">
        <v>1674</v>
      </c>
      <c r="E623" s="357">
        <v>69425</v>
      </c>
    </row>
    <row r="624" spans="1:5" ht="15" x14ac:dyDescent="0.2">
      <c r="B624" s="359" t="s">
        <v>527</v>
      </c>
      <c r="C624" s="357">
        <v>7702</v>
      </c>
      <c r="D624" s="357">
        <v>0</v>
      </c>
      <c r="E624" s="357">
        <v>7702</v>
      </c>
    </row>
    <row r="626" spans="1:5" ht="15.75" customHeight="1" x14ac:dyDescent="0.2">
      <c r="A626" s="387" t="s">
        <v>633</v>
      </c>
      <c r="B626" s="388"/>
      <c r="C626" s="388"/>
      <c r="D626" s="388"/>
      <c r="E626" s="388"/>
    </row>
    <row r="627" spans="1:5" s="361" customFormat="1" ht="14.25" x14ac:dyDescent="0.2">
      <c r="B627" s="362" t="s">
        <v>525</v>
      </c>
      <c r="C627" s="363">
        <v>250000</v>
      </c>
      <c r="D627" s="363">
        <v>0</v>
      </c>
      <c r="E627" s="363">
        <v>250000</v>
      </c>
    </row>
    <row r="628" spans="1:5" ht="15" x14ac:dyDescent="0.2">
      <c r="B628" s="359" t="s">
        <v>587</v>
      </c>
      <c r="C628" s="357">
        <v>250000</v>
      </c>
      <c r="D628" s="357">
        <v>0</v>
      </c>
      <c r="E628" s="357">
        <v>250000</v>
      </c>
    </row>
    <row r="629" spans="1:5" ht="26.25" customHeight="1" x14ac:dyDescent="0.2"/>
    <row r="630" spans="1:5" ht="15.75" customHeight="1" x14ac:dyDescent="0.2">
      <c r="A630" s="389" t="s">
        <v>634</v>
      </c>
      <c r="B630" s="390"/>
      <c r="C630" s="390"/>
      <c r="D630" s="390"/>
      <c r="E630" s="390"/>
    </row>
    <row r="631" spans="1:5" ht="15" x14ac:dyDescent="0.2">
      <c r="B631" s="364" t="s">
        <v>525</v>
      </c>
      <c r="C631" s="365">
        <v>181560</v>
      </c>
      <c r="D631" s="365">
        <v>4000</v>
      </c>
      <c r="E631" s="365">
        <v>185560</v>
      </c>
    </row>
    <row r="632" spans="1:5" ht="15" x14ac:dyDescent="0.2">
      <c r="B632" s="364" t="s">
        <v>526</v>
      </c>
      <c r="C632" s="365">
        <v>160017</v>
      </c>
      <c r="D632" s="365">
        <v>4880</v>
      </c>
      <c r="E632" s="365">
        <v>164897</v>
      </c>
    </row>
    <row r="633" spans="1:5" ht="15" x14ac:dyDescent="0.2">
      <c r="B633" s="364" t="s">
        <v>527</v>
      </c>
      <c r="C633" s="365">
        <v>21543</v>
      </c>
      <c r="D633" s="365">
        <v>-880</v>
      </c>
      <c r="E633" s="365">
        <v>20663</v>
      </c>
    </row>
    <row r="635" spans="1:5" ht="15.75" customHeight="1" x14ac:dyDescent="0.2">
      <c r="A635" s="387" t="s">
        <v>635</v>
      </c>
      <c r="B635" s="388"/>
      <c r="C635" s="388"/>
      <c r="D635" s="388"/>
      <c r="E635" s="388"/>
    </row>
    <row r="636" spans="1:5" s="361" customFormat="1" ht="14.25" x14ac:dyDescent="0.2">
      <c r="B636" s="362" t="s">
        <v>525</v>
      </c>
      <c r="C636" s="363">
        <v>181560</v>
      </c>
      <c r="D636" s="363">
        <v>4000</v>
      </c>
      <c r="E636" s="363">
        <v>185560</v>
      </c>
    </row>
    <row r="637" spans="1:5" ht="15" x14ac:dyDescent="0.2">
      <c r="B637" s="359" t="s">
        <v>526</v>
      </c>
      <c r="C637" s="357">
        <v>160017</v>
      </c>
      <c r="D637" s="357">
        <v>4880</v>
      </c>
      <c r="E637" s="357">
        <v>164897</v>
      </c>
    </row>
    <row r="638" spans="1:5" ht="15" x14ac:dyDescent="0.2">
      <c r="B638" s="359" t="s">
        <v>527</v>
      </c>
      <c r="C638" s="357">
        <v>21543</v>
      </c>
      <c r="D638" s="357">
        <v>-880</v>
      </c>
      <c r="E638" s="357">
        <v>20663</v>
      </c>
    </row>
    <row r="639" spans="1:5" ht="21.75" customHeight="1" x14ac:dyDescent="0.2"/>
    <row r="640" spans="1:5" ht="15.75" customHeight="1" x14ac:dyDescent="0.2">
      <c r="A640" s="389" t="s">
        <v>636</v>
      </c>
      <c r="B640" s="390"/>
      <c r="C640" s="390"/>
      <c r="D640" s="390"/>
      <c r="E640" s="390"/>
    </row>
    <row r="641" spans="1:5" ht="15" x14ac:dyDescent="0.2">
      <c r="B641" s="364" t="s">
        <v>525</v>
      </c>
      <c r="C641" s="365">
        <v>4721072</v>
      </c>
      <c r="D641" s="365">
        <v>7340</v>
      </c>
      <c r="E641" s="365">
        <v>4728412</v>
      </c>
    </row>
    <row r="642" spans="1:5" ht="15" x14ac:dyDescent="0.2">
      <c r="B642" s="364" t="s">
        <v>526</v>
      </c>
      <c r="C642" s="365">
        <v>1801965</v>
      </c>
      <c r="D642" s="365">
        <v>13044</v>
      </c>
      <c r="E642" s="365">
        <v>1815009</v>
      </c>
    </row>
    <row r="643" spans="1:5" ht="15" x14ac:dyDescent="0.2">
      <c r="B643" s="364" t="s">
        <v>527</v>
      </c>
      <c r="C643" s="365">
        <v>455737</v>
      </c>
      <c r="D643" s="365">
        <v>-36908</v>
      </c>
      <c r="E643" s="365">
        <v>418829</v>
      </c>
    </row>
    <row r="644" spans="1:5" ht="15" x14ac:dyDescent="0.2">
      <c r="B644" s="364" t="s">
        <v>529</v>
      </c>
      <c r="C644" s="365">
        <v>2500</v>
      </c>
      <c r="D644" s="365">
        <v>1800</v>
      </c>
      <c r="E644" s="365">
        <v>4300</v>
      </c>
    </row>
    <row r="645" spans="1:5" ht="15" x14ac:dyDescent="0.2">
      <c r="B645" s="364" t="s">
        <v>587</v>
      </c>
      <c r="C645" s="365">
        <v>1925932</v>
      </c>
      <c r="D645" s="365">
        <v>20864</v>
      </c>
      <c r="E645" s="365">
        <v>1946796</v>
      </c>
    </row>
    <row r="646" spans="1:5" ht="30" x14ac:dyDescent="0.2">
      <c r="B646" s="364" t="s">
        <v>530</v>
      </c>
      <c r="C646" s="365">
        <v>534938</v>
      </c>
      <c r="D646" s="365">
        <v>8540</v>
      </c>
      <c r="E646" s="365">
        <v>543478</v>
      </c>
    </row>
    <row r="648" spans="1:5" ht="15.75" customHeight="1" x14ac:dyDescent="0.2">
      <c r="A648" s="387" t="s">
        <v>637</v>
      </c>
      <c r="B648" s="388"/>
      <c r="C648" s="388"/>
      <c r="D648" s="388"/>
      <c r="E648" s="388"/>
    </row>
    <row r="649" spans="1:5" s="361" customFormat="1" ht="14.25" x14ac:dyDescent="0.2">
      <c r="B649" s="362" t="s">
        <v>525</v>
      </c>
      <c r="C649" s="363">
        <v>532485</v>
      </c>
      <c r="D649" s="363">
        <v>0</v>
      </c>
      <c r="E649" s="363">
        <v>532485</v>
      </c>
    </row>
    <row r="650" spans="1:5" ht="30" x14ac:dyDescent="0.2">
      <c r="B650" s="359" t="s">
        <v>530</v>
      </c>
      <c r="C650" s="357">
        <v>532485</v>
      </c>
      <c r="D650" s="357">
        <v>0</v>
      </c>
      <c r="E650" s="357">
        <v>532485</v>
      </c>
    </row>
    <row r="652" spans="1:5" ht="15.75" customHeight="1" x14ac:dyDescent="0.2">
      <c r="A652" s="387" t="s">
        <v>638</v>
      </c>
      <c r="B652" s="388"/>
      <c r="C652" s="388"/>
      <c r="D652" s="388"/>
      <c r="E652" s="388"/>
    </row>
    <row r="653" spans="1:5" s="361" customFormat="1" ht="14.25" x14ac:dyDescent="0.2">
      <c r="B653" s="362" t="s">
        <v>525</v>
      </c>
      <c r="C653" s="363">
        <v>64900</v>
      </c>
      <c r="D653" s="363">
        <v>0</v>
      </c>
      <c r="E653" s="363">
        <v>64900</v>
      </c>
    </row>
    <row r="654" spans="1:5" ht="15" x14ac:dyDescent="0.2">
      <c r="B654" s="359" t="s">
        <v>587</v>
      </c>
      <c r="C654" s="357">
        <v>64900</v>
      </c>
      <c r="D654" s="357">
        <v>0</v>
      </c>
      <c r="E654" s="357">
        <v>64900</v>
      </c>
    </row>
    <row r="656" spans="1:5" ht="15.75" customHeight="1" x14ac:dyDescent="0.2">
      <c r="A656" s="387" t="s">
        <v>639</v>
      </c>
      <c r="B656" s="388"/>
      <c r="C656" s="388"/>
      <c r="D656" s="388"/>
      <c r="E656" s="388"/>
    </row>
    <row r="657" spans="1:5" s="361" customFormat="1" ht="14.25" x14ac:dyDescent="0.2">
      <c r="B657" s="362" t="s">
        <v>525</v>
      </c>
      <c r="C657" s="363">
        <v>12400</v>
      </c>
      <c r="D657" s="363">
        <v>0</v>
      </c>
      <c r="E657" s="363">
        <v>12400</v>
      </c>
    </row>
    <row r="658" spans="1:5" ht="15" x14ac:dyDescent="0.2">
      <c r="B658" s="359" t="s">
        <v>587</v>
      </c>
      <c r="C658" s="357">
        <v>12400</v>
      </c>
      <c r="D658" s="357">
        <v>0</v>
      </c>
      <c r="E658" s="357">
        <v>12400</v>
      </c>
    </row>
    <row r="660" spans="1:5" ht="15.75" customHeight="1" x14ac:dyDescent="0.2">
      <c r="A660" s="387" t="s">
        <v>640</v>
      </c>
      <c r="B660" s="388"/>
      <c r="C660" s="388"/>
      <c r="D660" s="388"/>
      <c r="E660" s="388"/>
    </row>
    <row r="661" spans="1:5" s="361" customFormat="1" ht="14.25" x14ac:dyDescent="0.2">
      <c r="B661" s="362" t="s">
        <v>525</v>
      </c>
      <c r="C661" s="363">
        <v>37500</v>
      </c>
      <c r="D661" s="363">
        <v>0</v>
      </c>
      <c r="E661" s="363">
        <v>37500</v>
      </c>
    </row>
    <row r="662" spans="1:5" ht="15" x14ac:dyDescent="0.2">
      <c r="B662" s="359" t="s">
        <v>587</v>
      </c>
      <c r="C662" s="357">
        <v>37500</v>
      </c>
      <c r="D662" s="357">
        <v>0</v>
      </c>
      <c r="E662" s="357">
        <v>37500</v>
      </c>
    </row>
    <row r="664" spans="1:5" ht="15.75" customHeight="1" x14ac:dyDescent="0.2">
      <c r="A664" s="387" t="s">
        <v>641</v>
      </c>
      <c r="B664" s="388"/>
      <c r="C664" s="388"/>
      <c r="D664" s="388"/>
      <c r="E664" s="388"/>
    </row>
    <row r="665" spans="1:5" s="361" customFormat="1" ht="14.25" x14ac:dyDescent="0.2">
      <c r="B665" s="362" t="s">
        <v>525</v>
      </c>
      <c r="C665" s="363">
        <v>4750</v>
      </c>
      <c r="D665" s="363">
        <v>0</v>
      </c>
      <c r="E665" s="363">
        <v>4750</v>
      </c>
    </row>
    <row r="666" spans="1:5" ht="15" x14ac:dyDescent="0.2">
      <c r="B666" s="359" t="s">
        <v>527</v>
      </c>
      <c r="C666" s="357">
        <v>4750</v>
      </c>
      <c r="D666" s="357">
        <v>0</v>
      </c>
      <c r="E666" s="357">
        <v>4750</v>
      </c>
    </row>
    <row r="668" spans="1:5" ht="15.75" customHeight="1" x14ac:dyDescent="0.2">
      <c r="A668" s="387" t="s">
        <v>642</v>
      </c>
      <c r="B668" s="388"/>
      <c r="C668" s="388"/>
      <c r="D668" s="388"/>
      <c r="E668" s="388"/>
    </row>
    <row r="669" spans="1:5" s="361" customFormat="1" ht="14.25" x14ac:dyDescent="0.2">
      <c r="B669" s="362" t="s">
        <v>525</v>
      </c>
      <c r="C669" s="363">
        <v>414041</v>
      </c>
      <c r="D669" s="363">
        <v>4678</v>
      </c>
      <c r="E669" s="363">
        <v>418719</v>
      </c>
    </row>
    <row r="670" spans="1:5" ht="15" x14ac:dyDescent="0.2">
      <c r="B670" s="359" t="s">
        <v>526</v>
      </c>
      <c r="C670" s="357">
        <v>293215</v>
      </c>
      <c r="D670" s="357">
        <v>0</v>
      </c>
      <c r="E670" s="357">
        <v>293215</v>
      </c>
    </row>
    <row r="671" spans="1:5" ht="15" x14ac:dyDescent="0.2">
      <c r="B671" s="359" t="s">
        <v>527</v>
      </c>
      <c r="C671" s="357">
        <v>11893</v>
      </c>
      <c r="D671" s="357">
        <v>0</v>
      </c>
      <c r="E671" s="357">
        <v>11893</v>
      </c>
    </row>
    <row r="672" spans="1:5" ht="15" x14ac:dyDescent="0.2">
      <c r="B672" s="359" t="s">
        <v>587</v>
      </c>
      <c r="C672" s="357">
        <v>108933</v>
      </c>
      <c r="D672" s="357">
        <v>4678</v>
      </c>
      <c r="E672" s="357">
        <v>113611</v>
      </c>
    </row>
    <row r="674" spans="1:5" ht="15.75" customHeight="1" x14ac:dyDescent="0.2">
      <c r="A674" s="387" t="s">
        <v>643</v>
      </c>
      <c r="B674" s="388"/>
      <c r="C674" s="388"/>
      <c r="D674" s="388"/>
      <c r="E674" s="388"/>
    </row>
    <row r="675" spans="1:5" s="361" customFormat="1" ht="14.25" x14ac:dyDescent="0.2">
      <c r="B675" s="362" t="s">
        <v>525</v>
      </c>
      <c r="C675" s="363">
        <v>89101</v>
      </c>
      <c r="D675" s="363">
        <v>0</v>
      </c>
      <c r="E675" s="363">
        <v>89101</v>
      </c>
    </row>
    <row r="676" spans="1:5" ht="15" x14ac:dyDescent="0.2">
      <c r="B676" s="359" t="s">
        <v>526</v>
      </c>
      <c r="C676" s="357">
        <v>70628</v>
      </c>
      <c r="D676" s="357">
        <v>0</v>
      </c>
      <c r="E676" s="357">
        <v>70628</v>
      </c>
    </row>
    <row r="677" spans="1:5" ht="15" x14ac:dyDescent="0.2">
      <c r="B677" s="359" t="s">
        <v>527</v>
      </c>
      <c r="C677" s="357">
        <v>18473</v>
      </c>
      <c r="D677" s="357">
        <v>0</v>
      </c>
      <c r="E677" s="357">
        <v>18473</v>
      </c>
    </row>
    <row r="679" spans="1:5" ht="15.75" customHeight="1" x14ac:dyDescent="0.2">
      <c r="A679" s="387" t="s">
        <v>644</v>
      </c>
      <c r="B679" s="388"/>
      <c r="C679" s="388"/>
      <c r="D679" s="388"/>
      <c r="E679" s="388"/>
    </row>
    <row r="680" spans="1:5" s="361" customFormat="1" ht="14.25" x14ac:dyDescent="0.2">
      <c r="B680" s="362" t="s">
        <v>525</v>
      </c>
      <c r="C680" s="363">
        <v>76015</v>
      </c>
      <c r="D680" s="363">
        <v>0</v>
      </c>
      <c r="E680" s="363">
        <v>76015</v>
      </c>
    </row>
    <row r="681" spans="1:5" ht="15" x14ac:dyDescent="0.2">
      <c r="B681" s="359" t="s">
        <v>526</v>
      </c>
      <c r="C681" s="357">
        <v>58090</v>
      </c>
      <c r="D681" s="357">
        <v>0</v>
      </c>
      <c r="E681" s="357">
        <v>58090</v>
      </c>
    </row>
    <row r="682" spans="1:5" ht="15" x14ac:dyDescent="0.2">
      <c r="B682" s="359" t="s">
        <v>527</v>
      </c>
      <c r="C682" s="357">
        <v>17925</v>
      </c>
      <c r="D682" s="357">
        <v>0</v>
      </c>
      <c r="E682" s="357">
        <v>17925</v>
      </c>
    </row>
    <row r="684" spans="1:5" ht="15.75" customHeight="1" x14ac:dyDescent="0.2">
      <c r="A684" s="387" t="s">
        <v>645</v>
      </c>
      <c r="B684" s="388"/>
      <c r="C684" s="388"/>
      <c r="D684" s="388"/>
      <c r="E684" s="388"/>
    </row>
    <row r="685" spans="1:5" s="361" customFormat="1" ht="14.25" x14ac:dyDescent="0.2">
      <c r="B685" s="362" t="s">
        <v>525</v>
      </c>
      <c r="C685" s="363">
        <v>68757</v>
      </c>
      <c r="D685" s="363">
        <v>0</v>
      </c>
      <c r="E685" s="363">
        <v>68757</v>
      </c>
    </row>
    <row r="686" spans="1:5" ht="15" x14ac:dyDescent="0.2">
      <c r="B686" s="359" t="s">
        <v>526</v>
      </c>
      <c r="C686" s="357">
        <v>43415</v>
      </c>
      <c r="D686" s="357">
        <v>0</v>
      </c>
      <c r="E686" s="357">
        <v>43415</v>
      </c>
    </row>
    <row r="687" spans="1:5" ht="15" x14ac:dyDescent="0.2">
      <c r="B687" s="359" t="s">
        <v>527</v>
      </c>
      <c r="C687" s="357">
        <v>25342</v>
      </c>
      <c r="D687" s="357">
        <v>0</v>
      </c>
      <c r="E687" s="357">
        <v>25342</v>
      </c>
    </row>
    <row r="689" spans="1:5" ht="15.75" customHeight="1" x14ac:dyDescent="0.2">
      <c r="A689" s="387" t="s">
        <v>646</v>
      </c>
      <c r="B689" s="388"/>
      <c r="C689" s="388"/>
      <c r="D689" s="388"/>
      <c r="E689" s="388"/>
    </row>
    <row r="690" spans="1:5" s="361" customFormat="1" ht="14.25" x14ac:dyDescent="0.2">
      <c r="B690" s="362" t="s">
        <v>525</v>
      </c>
      <c r="C690" s="363">
        <v>107204</v>
      </c>
      <c r="D690" s="363">
        <v>0</v>
      </c>
      <c r="E690" s="363">
        <v>107204</v>
      </c>
    </row>
    <row r="691" spans="1:5" ht="15" x14ac:dyDescent="0.2">
      <c r="B691" s="359" t="s">
        <v>526</v>
      </c>
      <c r="C691" s="357">
        <v>82654</v>
      </c>
      <c r="D691" s="357">
        <v>0</v>
      </c>
      <c r="E691" s="357">
        <v>82654</v>
      </c>
    </row>
    <row r="692" spans="1:5" ht="15" x14ac:dyDescent="0.2">
      <c r="B692" s="359" t="s">
        <v>527</v>
      </c>
      <c r="C692" s="357">
        <v>22050</v>
      </c>
      <c r="D692" s="357">
        <v>0</v>
      </c>
      <c r="E692" s="357">
        <v>22050</v>
      </c>
    </row>
    <row r="693" spans="1:5" ht="15" x14ac:dyDescent="0.2">
      <c r="B693" s="359" t="s">
        <v>529</v>
      </c>
      <c r="C693" s="357">
        <v>2500</v>
      </c>
      <c r="D693" s="357">
        <v>0</v>
      </c>
      <c r="E693" s="357">
        <v>2500</v>
      </c>
    </row>
    <row r="695" spans="1:5" ht="31.5" customHeight="1" x14ac:dyDescent="0.2">
      <c r="A695" s="387" t="s">
        <v>647</v>
      </c>
      <c r="B695" s="388"/>
      <c r="C695" s="388"/>
      <c r="D695" s="388"/>
      <c r="E695" s="388"/>
    </row>
    <row r="696" spans="1:5" s="361" customFormat="1" ht="14.25" x14ac:dyDescent="0.2">
      <c r="B696" s="362" t="s">
        <v>525</v>
      </c>
      <c r="C696" s="363">
        <v>81740</v>
      </c>
      <c r="D696" s="363">
        <v>0</v>
      </c>
      <c r="E696" s="363">
        <v>81740</v>
      </c>
    </row>
    <row r="697" spans="1:5" ht="15" x14ac:dyDescent="0.2">
      <c r="B697" s="359" t="s">
        <v>526</v>
      </c>
      <c r="C697" s="357">
        <v>21956</v>
      </c>
      <c r="D697" s="357">
        <v>0</v>
      </c>
      <c r="E697" s="357">
        <v>21956</v>
      </c>
    </row>
    <row r="698" spans="1:5" ht="15" x14ac:dyDescent="0.2">
      <c r="B698" s="359" t="s">
        <v>527</v>
      </c>
      <c r="C698" s="357">
        <v>1598</v>
      </c>
      <c r="D698" s="357">
        <v>0</v>
      </c>
      <c r="E698" s="357">
        <v>1598</v>
      </c>
    </row>
    <row r="699" spans="1:5" ht="15" x14ac:dyDescent="0.2">
      <c r="B699" s="359" t="s">
        <v>587</v>
      </c>
      <c r="C699" s="357">
        <v>56586</v>
      </c>
      <c r="D699" s="357">
        <v>-100</v>
      </c>
      <c r="E699" s="357">
        <v>56486</v>
      </c>
    </row>
    <row r="700" spans="1:5" ht="30" x14ac:dyDescent="0.2">
      <c r="B700" s="359" t="s">
        <v>530</v>
      </c>
      <c r="C700" s="357">
        <v>1600</v>
      </c>
      <c r="D700" s="357">
        <v>100</v>
      </c>
      <c r="E700" s="357">
        <v>1700</v>
      </c>
    </row>
    <row r="702" spans="1:5" ht="31.5" customHeight="1" x14ac:dyDescent="0.2">
      <c r="A702" s="387" t="s">
        <v>877</v>
      </c>
      <c r="B702" s="388"/>
      <c r="C702" s="388"/>
      <c r="D702" s="388"/>
      <c r="E702" s="388"/>
    </row>
    <row r="703" spans="1:5" s="361" customFormat="1" ht="14.25" x14ac:dyDescent="0.2">
      <c r="B703" s="362" t="s">
        <v>525</v>
      </c>
      <c r="C703" s="363">
        <v>0</v>
      </c>
      <c r="D703" s="363">
        <v>40500</v>
      </c>
      <c r="E703" s="363">
        <v>40500</v>
      </c>
    </row>
    <row r="704" spans="1:5" ht="15" x14ac:dyDescent="0.2">
      <c r="B704" s="359" t="s">
        <v>526</v>
      </c>
      <c r="C704" s="357">
        <v>0</v>
      </c>
      <c r="D704" s="357">
        <v>9878</v>
      </c>
      <c r="E704" s="357">
        <v>9878</v>
      </c>
    </row>
    <row r="705" spans="1:5" ht="15" x14ac:dyDescent="0.2">
      <c r="B705" s="359" t="s">
        <v>527</v>
      </c>
      <c r="C705" s="357">
        <v>0</v>
      </c>
      <c r="D705" s="357">
        <v>2282</v>
      </c>
      <c r="E705" s="357">
        <v>2282</v>
      </c>
    </row>
    <row r="706" spans="1:5" ht="15" x14ac:dyDescent="0.2">
      <c r="B706" s="359" t="s">
        <v>587</v>
      </c>
      <c r="C706" s="357">
        <v>0</v>
      </c>
      <c r="D706" s="357">
        <v>20000</v>
      </c>
      <c r="E706" s="357">
        <v>20000</v>
      </c>
    </row>
    <row r="707" spans="1:5" ht="30" x14ac:dyDescent="0.2">
      <c r="B707" s="359" t="s">
        <v>530</v>
      </c>
      <c r="C707" s="357">
        <v>0</v>
      </c>
      <c r="D707" s="357">
        <v>8340</v>
      </c>
      <c r="E707" s="357">
        <v>8340</v>
      </c>
    </row>
    <row r="709" spans="1:5" ht="15.75" customHeight="1" x14ac:dyDescent="0.2">
      <c r="A709" s="387" t="s">
        <v>648</v>
      </c>
      <c r="B709" s="388"/>
      <c r="C709" s="388"/>
      <c r="D709" s="388"/>
      <c r="E709" s="388"/>
    </row>
    <row r="710" spans="1:5" s="361" customFormat="1" ht="14.25" x14ac:dyDescent="0.2">
      <c r="B710" s="362" t="s">
        <v>525</v>
      </c>
      <c r="C710" s="363">
        <v>228305</v>
      </c>
      <c r="D710" s="363">
        <v>0</v>
      </c>
      <c r="E710" s="363">
        <v>228305</v>
      </c>
    </row>
    <row r="711" spans="1:5" ht="15" x14ac:dyDescent="0.2">
      <c r="B711" s="359" t="s">
        <v>526</v>
      </c>
      <c r="C711" s="357">
        <v>89882</v>
      </c>
      <c r="D711" s="357">
        <v>590</v>
      </c>
      <c r="E711" s="357">
        <v>90472</v>
      </c>
    </row>
    <row r="712" spans="1:5" ht="15" x14ac:dyDescent="0.2">
      <c r="B712" s="359" t="s">
        <v>527</v>
      </c>
      <c r="C712" s="357">
        <v>8977</v>
      </c>
      <c r="D712" s="357">
        <v>-590</v>
      </c>
      <c r="E712" s="357">
        <v>8387</v>
      </c>
    </row>
    <row r="713" spans="1:5" ht="15" x14ac:dyDescent="0.2">
      <c r="B713" s="359" t="s">
        <v>587</v>
      </c>
      <c r="C713" s="357">
        <v>129446</v>
      </c>
      <c r="D713" s="357">
        <v>0</v>
      </c>
      <c r="E713" s="357">
        <v>129446</v>
      </c>
    </row>
    <row r="715" spans="1:5" ht="15.75" customHeight="1" x14ac:dyDescent="0.2">
      <c r="A715" s="387" t="s">
        <v>649</v>
      </c>
      <c r="B715" s="388"/>
      <c r="C715" s="388"/>
      <c r="D715" s="388"/>
      <c r="E715" s="388"/>
    </row>
    <row r="716" spans="1:5" s="361" customFormat="1" ht="14.25" x14ac:dyDescent="0.2">
      <c r="B716" s="362" t="s">
        <v>525</v>
      </c>
      <c r="C716" s="363">
        <v>274277</v>
      </c>
      <c r="D716" s="363">
        <v>-7107</v>
      </c>
      <c r="E716" s="363">
        <v>267170</v>
      </c>
    </row>
    <row r="717" spans="1:5" ht="15" x14ac:dyDescent="0.2">
      <c r="B717" s="359" t="s">
        <v>587</v>
      </c>
      <c r="C717" s="357">
        <v>274277</v>
      </c>
      <c r="D717" s="357">
        <v>-7107</v>
      </c>
      <c r="E717" s="357">
        <v>267170</v>
      </c>
    </row>
    <row r="719" spans="1:5" ht="15.75" customHeight="1" x14ac:dyDescent="0.2">
      <c r="A719" s="387" t="s">
        <v>650</v>
      </c>
      <c r="B719" s="388"/>
      <c r="C719" s="388"/>
      <c r="D719" s="388"/>
      <c r="E719" s="388"/>
    </row>
    <row r="720" spans="1:5" s="361" customFormat="1" ht="14.25" x14ac:dyDescent="0.2">
      <c r="B720" s="362" t="s">
        <v>525</v>
      </c>
      <c r="C720" s="363">
        <v>810882</v>
      </c>
      <c r="D720" s="363">
        <v>63943</v>
      </c>
      <c r="E720" s="363">
        <v>874825</v>
      </c>
    </row>
    <row r="721" spans="1:5" ht="15" x14ac:dyDescent="0.2">
      <c r="B721" s="359" t="s">
        <v>526</v>
      </c>
      <c r="C721" s="357">
        <v>5685</v>
      </c>
      <c r="D721" s="357">
        <v>2366</v>
      </c>
      <c r="E721" s="357">
        <v>8051</v>
      </c>
    </row>
    <row r="722" spans="1:5" ht="15" x14ac:dyDescent="0.2">
      <c r="B722" s="359" t="s">
        <v>527</v>
      </c>
      <c r="C722" s="357">
        <v>0</v>
      </c>
      <c r="D722" s="357">
        <v>10</v>
      </c>
      <c r="E722" s="357">
        <v>10</v>
      </c>
    </row>
    <row r="723" spans="1:5" ht="15" x14ac:dyDescent="0.2">
      <c r="B723" s="359" t="s">
        <v>587</v>
      </c>
      <c r="C723" s="357">
        <v>805197</v>
      </c>
      <c r="D723" s="357">
        <v>61567</v>
      </c>
      <c r="E723" s="357">
        <v>866764</v>
      </c>
    </row>
    <row r="725" spans="1:5" ht="15.75" customHeight="1" x14ac:dyDescent="0.2">
      <c r="A725" s="387" t="s">
        <v>651</v>
      </c>
      <c r="B725" s="388"/>
      <c r="C725" s="388"/>
      <c r="D725" s="388"/>
      <c r="E725" s="388"/>
    </row>
    <row r="726" spans="1:5" s="361" customFormat="1" ht="14.25" x14ac:dyDescent="0.2">
      <c r="B726" s="362" t="s">
        <v>525</v>
      </c>
      <c r="C726" s="363">
        <v>345000</v>
      </c>
      <c r="D726" s="363">
        <v>-50000</v>
      </c>
      <c r="E726" s="363">
        <v>295000</v>
      </c>
    </row>
    <row r="727" spans="1:5" ht="15" x14ac:dyDescent="0.2">
      <c r="B727" s="359" t="s">
        <v>587</v>
      </c>
      <c r="C727" s="357">
        <v>345000</v>
      </c>
      <c r="D727" s="357">
        <v>-50000</v>
      </c>
      <c r="E727" s="357">
        <v>295000</v>
      </c>
    </row>
    <row r="729" spans="1:5" ht="15.75" customHeight="1" x14ac:dyDescent="0.2">
      <c r="A729" s="387" t="s">
        <v>652</v>
      </c>
      <c r="B729" s="388"/>
      <c r="C729" s="388"/>
      <c r="D729" s="388"/>
      <c r="E729" s="388"/>
    </row>
    <row r="730" spans="1:5" s="361" customFormat="1" ht="14.25" x14ac:dyDescent="0.2">
      <c r="B730" s="362" t="s">
        <v>525</v>
      </c>
      <c r="C730" s="363">
        <v>15677</v>
      </c>
      <c r="D730" s="363">
        <v>0</v>
      </c>
      <c r="E730" s="363">
        <v>15677</v>
      </c>
    </row>
    <row r="731" spans="1:5" ht="15" x14ac:dyDescent="0.2">
      <c r="B731" s="359" t="s">
        <v>527</v>
      </c>
      <c r="C731" s="357">
        <v>8392</v>
      </c>
      <c r="D731" s="357">
        <v>0</v>
      </c>
      <c r="E731" s="357">
        <v>8392</v>
      </c>
    </row>
    <row r="732" spans="1:5" ht="15" x14ac:dyDescent="0.2">
      <c r="B732" s="359" t="s">
        <v>587</v>
      </c>
      <c r="C732" s="357">
        <v>7285</v>
      </c>
      <c r="D732" s="357">
        <v>0</v>
      </c>
      <c r="E732" s="357">
        <v>7285</v>
      </c>
    </row>
    <row r="734" spans="1:5" ht="31.5" customHeight="1" x14ac:dyDescent="0.2">
      <c r="A734" s="387" t="s">
        <v>653</v>
      </c>
      <c r="B734" s="388"/>
      <c r="C734" s="388"/>
      <c r="D734" s="388"/>
      <c r="E734" s="388"/>
    </row>
    <row r="735" spans="1:5" s="361" customFormat="1" ht="14.25" x14ac:dyDescent="0.2">
      <c r="B735" s="362" t="s">
        <v>525</v>
      </c>
      <c r="C735" s="363">
        <v>67335</v>
      </c>
      <c r="D735" s="363">
        <v>974</v>
      </c>
      <c r="E735" s="363">
        <v>68309</v>
      </c>
    </row>
    <row r="736" spans="1:5" ht="15" x14ac:dyDescent="0.2">
      <c r="B736" s="359" t="s">
        <v>587</v>
      </c>
      <c r="C736" s="357">
        <v>67335</v>
      </c>
      <c r="D736" s="357">
        <v>974</v>
      </c>
      <c r="E736" s="357">
        <v>68309</v>
      </c>
    </row>
    <row r="738" spans="1:5" ht="15.75" customHeight="1" x14ac:dyDescent="0.2">
      <c r="A738" s="387" t="s">
        <v>654</v>
      </c>
      <c r="B738" s="388"/>
      <c r="C738" s="388"/>
      <c r="D738" s="388"/>
      <c r="E738" s="388"/>
    </row>
    <row r="739" spans="1:5" s="361" customFormat="1" ht="14.25" x14ac:dyDescent="0.2">
      <c r="B739" s="362" t="s">
        <v>525</v>
      </c>
      <c r="C739" s="363">
        <v>89649</v>
      </c>
      <c r="D739" s="363">
        <v>0</v>
      </c>
      <c r="E739" s="363">
        <v>89649</v>
      </c>
    </row>
    <row r="740" spans="1:5" ht="15" x14ac:dyDescent="0.2">
      <c r="B740" s="359" t="s">
        <v>526</v>
      </c>
      <c r="C740" s="357">
        <v>44467</v>
      </c>
      <c r="D740" s="357">
        <v>0</v>
      </c>
      <c r="E740" s="357">
        <v>44467</v>
      </c>
    </row>
    <row r="741" spans="1:5" ht="15" x14ac:dyDescent="0.2">
      <c r="B741" s="359" t="s">
        <v>527</v>
      </c>
      <c r="C741" s="357">
        <v>45182</v>
      </c>
      <c r="D741" s="357">
        <v>0</v>
      </c>
      <c r="E741" s="357">
        <v>45182</v>
      </c>
    </row>
    <row r="743" spans="1:5" ht="15.75" customHeight="1" x14ac:dyDescent="0.2">
      <c r="A743" s="387" t="s">
        <v>655</v>
      </c>
      <c r="B743" s="388"/>
      <c r="C743" s="388"/>
      <c r="D743" s="388"/>
      <c r="E743" s="388"/>
    </row>
    <row r="744" spans="1:5" s="361" customFormat="1" ht="14.25" x14ac:dyDescent="0.2">
      <c r="B744" s="362" t="s">
        <v>525</v>
      </c>
      <c r="C744" s="363">
        <v>15240</v>
      </c>
      <c r="D744" s="363">
        <v>0</v>
      </c>
      <c r="E744" s="363">
        <v>15240</v>
      </c>
    </row>
    <row r="745" spans="1:5" ht="15" x14ac:dyDescent="0.2">
      <c r="B745" s="359" t="s">
        <v>526</v>
      </c>
      <c r="C745" s="357">
        <v>7519</v>
      </c>
      <c r="D745" s="357">
        <v>210</v>
      </c>
      <c r="E745" s="357">
        <v>7729</v>
      </c>
    </row>
    <row r="746" spans="1:5" ht="15" x14ac:dyDescent="0.2">
      <c r="B746" s="359" t="s">
        <v>527</v>
      </c>
      <c r="C746" s="357">
        <v>7721</v>
      </c>
      <c r="D746" s="357">
        <v>-210</v>
      </c>
      <c r="E746" s="357">
        <v>7511</v>
      </c>
    </row>
    <row r="748" spans="1:5" ht="15.75" customHeight="1" x14ac:dyDescent="0.2">
      <c r="A748" s="387" t="s">
        <v>656</v>
      </c>
      <c r="B748" s="388"/>
      <c r="C748" s="388"/>
      <c r="D748" s="388"/>
      <c r="E748" s="388"/>
    </row>
    <row r="749" spans="1:5" s="361" customFormat="1" ht="14.25" x14ac:dyDescent="0.2">
      <c r="B749" s="362" t="s">
        <v>525</v>
      </c>
      <c r="C749" s="363">
        <v>333522</v>
      </c>
      <c r="D749" s="363">
        <v>-60398</v>
      </c>
      <c r="E749" s="363">
        <v>273124</v>
      </c>
    </row>
    <row r="750" spans="1:5" ht="15" x14ac:dyDescent="0.2">
      <c r="B750" s="359" t="s">
        <v>526</v>
      </c>
      <c r="C750" s="357">
        <v>174177</v>
      </c>
      <c r="D750" s="357">
        <v>0</v>
      </c>
      <c r="E750" s="357">
        <v>174177</v>
      </c>
    </row>
    <row r="751" spans="1:5" ht="15" x14ac:dyDescent="0.2">
      <c r="B751" s="359" t="s">
        <v>527</v>
      </c>
      <c r="C751" s="357">
        <v>149472</v>
      </c>
      <c r="D751" s="357">
        <v>-51250</v>
      </c>
      <c r="E751" s="357">
        <v>98222</v>
      </c>
    </row>
    <row r="752" spans="1:5" ht="15" x14ac:dyDescent="0.2">
      <c r="B752" s="359" t="s">
        <v>587</v>
      </c>
      <c r="C752" s="357">
        <v>9873</v>
      </c>
      <c r="D752" s="357">
        <v>-9148</v>
      </c>
      <c r="E752" s="357">
        <v>725</v>
      </c>
    </row>
    <row r="754" spans="1:5" ht="15.75" customHeight="1" x14ac:dyDescent="0.2">
      <c r="A754" s="387" t="s">
        <v>657</v>
      </c>
      <c r="B754" s="388"/>
      <c r="C754" s="388"/>
      <c r="D754" s="388"/>
      <c r="E754" s="388"/>
    </row>
    <row r="755" spans="1:5" s="361" customFormat="1" ht="14.25" x14ac:dyDescent="0.2">
      <c r="B755" s="362" t="s">
        <v>525</v>
      </c>
      <c r="C755" s="363">
        <v>1045092</v>
      </c>
      <c r="D755" s="363">
        <v>14750</v>
      </c>
      <c r="E755" s="363">
        <v>1059842</v>
      </c>
    </row>
    <row r="756" spans="1:5" ht="15" x14ac:dyDescent="0.2">
      <c r="B756" s="359" t="s">
        <v>526</v>
      </c>
      <c r="C756" s="357">
        <v>910277</v>
      </c>
      <c r="D756" s="357">
        <v>0</v>
      </c>
      <c r="E756" s="357">
        <v>910277</v>
      </c>
    </row>
    <row r="757" spans="1:5" ht="15" x14ac:dyDescent="0.2">
      <c r="B757" s="359" t="s">
        <v>527</v>
      </c>
      <c r="C757" s="357">
        <v>133962</v>
      </c>
      <c r="D757" s="357">
        <v>12850</v>
      </c>
      <c r="E757" s="357">
        <v>146812</v>
      </c>
    </row>
    <row r="758" spans="1:5" ht="15" x14ac:dyDescent="0.2">
      <c r="B758" s="359" t="s">
        <v>529</v>
      </c>
      <c r="C758" s="357">
        <v>0</v>
      </c>
      <c r="D758" s="357">
        <v>1800</v>
      </c>
      <c r="E758" s="357">
        <v>1800</v>
      </c>
    </row>
    <row r="759" spans="1:5" ht="30" x14ac:dyDescent="0.2">
      <c r="B759" s="359" t="s">
        <v>530</v>
      </c>
      <c r="C759" s="357">
        <v>853</v>
      </c>
      <c r="D759" s="357">
        <v>100</v>
      </c>
      <c r="E759" s="357">
        <v>953</v>
      </c>
    </row>
    <row r="761" spans="1:5" ht="15.75" customHeight="1" x14ac:dyDescent="0.2">
      <c r="A761" s="387" t="s">
        <v>658</v>
      </c>
      <c r="B761" s="388"/>
      <c r="C761" s="388"/>
      <c r="D761" s="388"/>
      <c r="E761" s="388"/>
    </row>
    <row r="762" spans="1:5" s="361" customFormat="1" ht="14.25" x14ac:dyDescent="0.2">
      <c r="B762" s="362" t="s">
        <v>525</v>
      </c>
      <c r="C762" s="363">
        <v>7200</v>
      </c>
      <c r="D762" s="363">
        <v>0</v>
      </c>
      <c r="E762" s="363">
        <v>7200</v>
      </c>
    </row>
    <row r="763" spans="1:5" ht="15" x14ac:dyDescent="0.2">
      <c r="B763" s="359" t="s">
        <v>587</v>
      </c>
      <c r="C763" s="357">
        <v>7200</v>
      </c>
      <c r="D763" s="357">
        <v>0</v>
      </c>
      <c r="E763" s="357">
        <v>7200</v>
      </c>
    </row>
    <row r="764" spans="1:5" ht="19.5" customHeight="1" x14ac:dyDescent="0.2"/>
    <row r="765" spans="1:5" ht="15.75" customHeight="1" x14ac:dyDescent="0.2">
      <c r="A765" s="389" t="s">
        <v>659</v>
      </c>
      <c r="B765" s="390"/>
      <c r="C765" s="390"/>
      <c r="D765" s="390"/>
      <c r="E765" s="390"/>
    </row>
    <row r="766" spans="1:5" ht="15" x14ac:dyDescent="0.2">
      <c r="B766" s="364" t="s">
        <v>525</v>
      </c>
      <c r="C766" s="365">
        <v>6942243</v>
      </c>
      <c r="D766" s="365">
        <v>4290</v>
      </c>
      <c r="E766" s="365">
        <v>6946533</v>
      </c>
    </row>
    <row r="767" spans="1:5" ht="15" x14ac:dyDescent="0.2">
      <c r="B767" s="364" t="s">
        <v>660</v>
      </c>
      <c r="C767" s="365">
        <v>5162310</v>
      </c>
      <c r="D767" s="365">
        <v>149930</v>
      </c>
      <c r="E767" s="365">
        <v>5312240</v>
      </c>
    </row>
    <row r="768" spans="1:5" ht="16.5" customHeight="1" x14ac:dyDescent="0.2">
      <c r="B768" s="364" t="s">
        <v>661</v>
      </c>
      <c r="C768" s="365">
        <v>1271178</v>
      </c>
      <c r="D768" s="365">
        <v>0</v>
      </c>
      <c r="E768" s="365">
        <v>1271178</v>
      </c>
    </row>
    <row r="769" spans="1:5" ht="15" x14ac:dyDescent="0.2">
      <c r="B769" s="364" t="s">
        <v>662</v>
      </c>
      <c r="C769" s="365">
        <v>508755</v>
      </c>
      <c r="D769" s="365">
        <v>-145640</v>
      </c>
      <c r="E769" s="365">
        <v>363115</v>
      </c>
    </row>
    <row r="771" spans="1:5" ht="15.75" customHeight="1" x14ac:dyDescent="0.2">
      <c r="A771" s="387" t="s">
        <v>663</v>
      </c>
      <c r="B771" s="388"/>
      <c r="C771" s="388"/>
      <c r="D771" s="388"/>
      <c r="E771" s="388"/>
    </row>
    <row r="772" spans="1:5" ht="15" x14ac:dyDescent="0.2">
      <c r="B772" s="359" t="s">
        <v>660</v>
      </c>
      <c r="C772" s="357">
        <v>5162310</v>
      </c>
      <c r="D772" s="357">
        <v>149930</v>
      </c>
      <c r="E772" s="357">
        <v>5312240</v>
      </c>
    </row>
    <row r="774" spans="1:5" ht="15.75" customHeight="1" x14ac:dyDescent="0.2">
      <c r="A774" s="387" t="s">
        <v>664</v>
      </c>
      <c r="B774" s="388"/>
      <c r="C774" s="388"/>
      <c r="D774" s="388"/>
      <c r="E774" s="388"/>
    </row>
    <row r="775" spans="1:5" ht="15" x14ac:dyDescent="0.2">
      <c r="B775" s="359" t="s">
        <v>661</v>
      </c>
      <c r="C775" s="357">
        <v>1271178</v>
      </c>
      <c r="D775" s="357">
        <v>0</v>
      </c>
      <c r="E775" s="357">
        <v>1271178</v>
      </c>
    </row>
    <row r="776" spans="1:5" ht="27" customHeight="1" x14ac:dyDescent="0.2"/>
    <row r="777" spans="1:5" ht="15.75" customHeight="1" x14ac:dyDescent="0.2">
      <c r="A777" s="387" t="s">
        <v>665</v>
      </c>
      <c r="B777" s="388"/>
      <c r="C777" s="388"/>
      <c r="D777" s="388"/>
      <c r="E777" s="388"/>
    </row>
    <row r="778" spans="1:5" s="361" customFormat="1" ht="14.25" x14ac:dyDescent="0.2">
      <c r="B778" s="362" t="s">
        <v>525</v>
      </c>
      <c r="C778" s="363">
        <v>108399150</v>
      </c>
      <c r="D778" s="363">
        <f>8843360-7000</f>
        <v>8836360</v>
      </c>
      <c r="E778" s="363">
        <f>117242510-7000</f>
        <v>117235510</v>
      </c>
    </row>
    <row r="779" spans="1:5" ht="15" x14ac:dyDescent="0.2">
      <c r="B779" s="359" t="s">
        <v>526</v>
      </c>
      <c r="C779" s="357">
        <v>30324605</v>
      </c>
      <c r="D779" s="357">
        <f>4727247-1900</f>
        <v>4725347</v>
      </c>
      <c r="E779" s="357">
        <f>35051852-1900</f>
        <v>35049952</v>
      </c>
    </row>
    <row r="780" spans="1:5" ht="15" x14ac:dyDescent="0.2">
      <c r="B780" s="359" t="s">
        <v>527</v>
      </c>
      <c r="C780" s="357">
        <v>16027589</v>
      </c>
      <c r="D780" s="357">
        <f>724004-600</f>
        <v>723404</v>
      </c>
      <c r="E780" s="357">
        <f>16751593-600</f>
        <v>16750993</v>
      </c>
    </row>
    <row r="781" spans="1:5" ht="15" x14ac:dyDescent="0.2">
      <c r="B781" s="359" t="s">
        <v>528</v>
      </c>
      <c r="C781" s="357">
        <v>5537356</v>
      </c>
      <c r="D781" s="357">
        <f>70493+10000</f>
        <v>80493</v>
      </c>
      <c r="E781" s="357">
        <f>5607849+10000</f>
        <v>5617849</v>
      </c>
    </row>
    <row r="782" spans="1:5" ht="15" x14ac:dyDescent="0.2">
      <c r="B782" s="359" t="s">
        <v>871</v>
      </c>
      <c r="C782" s="357">
        <v>0</v>
      </c>
      <c r="D782" s="357">
        <v>11</v>
      </c>
      <c r="E782" s="357">
        <v>11</v>
      </c>
    </row>
    <row r="783" spans="1:5" ht="15" x14ac:dyDescent="0.2">
      <c r="B783" s="359" t="s">
        <v>529</v>
      </c>
      <c r="C783" s="357">
        <v>45470834</v>
      </c>
      <c r="D783" s="357">
        <f>2849450+772+1900</f>
        <v>2852122</v>
      </c>
      <c r="E783" s="357">
        <f>48320284+772+1900</f>
        <v>48322956</v>
      </c>
    </row>
    <row r="784" spans="1:5" ht="15" x14ac:dyDescent="0.2">
      <c r="B784" s="359" t="s">
        <v>587</v>
      </c>
      <c r="C784" s="357">
        <v>2426192</v>
      </c>
      <c r="D784" s="357">
        <f>32458-172</f>
        <v>32286</v>
      </c>
      <c r="E784" s="357">
        <f>2458650-172</f>
        <v>2458478</v>
      </c>
    </row>
    <row r="785" spans="1:5" ht="30" x14ac:dyDescent="0.2">
      <c r="B785" s="359" t="s">
        <v>530</v>
      </c>
      <c r="C785" s="357">
        <v>1670331</v>
      </c>
      <c r="D785" s="357">
        <v>435407</v>
      </c>
      <c r="E785" s="357">
        <v>2105738</v>
      </c>
    </row>
    <row r="786" spans="1:5" ht="15" x14ac:dyDescent="0.2">
      <c r="B786" s="359" t="s">
        <v>660</v>
      </c>
      <c r="C786" s="357">
        <v>5162310</v>
      </c>
      <c r="D786" s="357">
        <v>149930</v>
      </c>
      <c r="E786" s="357">
        <v>5312240</v>
      </c>
    </row>
    <row r="787" spans="1:5" ht="15" x14ac:dyDescent="0.2">
      <c r="B787" s="359" t="s">
        <v>661</v>
      </c>
      <c r="C787" s="357">
        <v>1271178</v>
      </c>
      <c r="D787" s="357">
        <v>0</v>
      </c>
      <c r="E787" s="357">
        <v>1271178</v>
      </c>
    </row>
    <row r="788" spans="1:5" ht="15" x14ac:dyDescent="0.2">
      <c r="B788" s="359" t="s">
        <v>662</v>
      </c>
      <c r="C788" s="357">
        <v>508755</v>
      </c>
      <c r="D788" s="357">
        <f>-145640-7000-10000</f>
        <v>-162640</v>
      </c>
      <c r="E788" s="357">
        <f>363115-10000-7000</f>
        <v>346115</v>
      </c>
    </row>
    <row r="789" spans="1:5" x14ac:dyDescent="0.2">
      <c r="E789" s="358"/>
    </row>
    <row r="794" spans="1:5" s="282" customFormat="1" ht="18.75" x14ac:dyDescent="0.3">
      <c r="A794" s="127" t="s">
        <v>103</v>
      </c>
      <c r="B794" s="128"/>
      <c r="C794" s="125"/>
      <c r="D794" s="125"/>
      <c r="E794" s="128" t="s">
        <v>104</v>
      </c>
    </row>
  </sheetData>
  <mergeCells count="149">
    <mergeCell ref="A29:E29"/>
    <mergeCell ref="A23:E23"/>
    <mergeCell ref="A17:E17"/>
    <mergeCell ref="A8:E8"/>
    <mergeCell ref="C3:E3"/>
    <mergeCell ref="C4:E4"/>
    <mergeCell ref="A5:E5"/>
    <mergeCell ref="A6:B6"/>
    <mergeCell ref="A71:E71"/>
    <mergeCell ref="A67:E67"/>
    <mergeCell ref="A63:E63"/>
    <mergeCell ref="A59:E59"/>
    <mergeCell ref="A54:E54"/>
    <mergeCell ref="A48:E48"/>
    <mergeCell ref="A43:E43"/>
    <mergeCell ref="A38:E38"/>
    <mergeCell ref="A33:E33"/>
    <mergeCell ref="A120:E120"/>
    <mergeCell ref="A116:E116"/>
    <mergeCell ref="A110:E110"/>
    <mergeCell ref="A103:E103"/>
    <mergeCell ref="A97:E97"/>
    <mergeCell ref="A91:E91"/>
    <mergeCell ref="A86:E86"/>
    <mergeCell ref="A81:E81"/>
    <mergeCell ref="A75:E75"/>
    <mergeCell ref="A163:E163"/>
    <mergeCell ref="A159:E159"/>
    <mergeCell ref="A153:E153"/>
    <mergeCell ref="A149:E149"/>
    <mergeCell ref="A145:E145"/>
    <mergeCell ref="A141:E141"/>
    <mergeCell ref="A134:E134"/>
    <mergeCell ref="A130:E130"/>
    <mergeCell ref="A125:E125"/>
    <mergeCell ref="A206:E206"/>
    <mergeCell ref="A202:E202"/>
    <mergeCell ref="A195:E195"/>
    <mergeCell ref="A191:E191"/>
    <mergeCell ref="A185:E185"/>
    <mergeCell ref="A180:E180"/>
    <mergeCell ref="A176:E176"/>
    <mergeCell ref="A171:E171"/>
    <mergeCell ref="A167:E167"/>
    <mergeCell ref="A243:E243"/>
    <mergeCell ref="A239:E239"/>
    <mergeCell ref="A235:E235"/>
    <mergeCell ref="A231:E231"/>
    <mergeCell ref="A227:E227"/>
    <mergeCell ref="A223:E223"/>
    <mergeCell ref="A219:E219"/>
    <mergeCell ref="A215:E215"/>
    <mergeCell ref="A211:E211"/>
    <mergeCell ref="A287:E287"/>
    <mergeCell ref="A281:E281"/>
    <mergeCell ref="A275:E275"/>
    <mergeCell ref="A269:E269"/>
    <mergeCell ref="A263:E263"/>
    <mergeCell ref="A259:E259"/>
    <mergeCell ref="A255:E255"/>
    <mergeCell ref="A251:E251"/>
    <mergeCell ref="A247:E247"/>
    <mergeCell ref="A339:E339"/>
    <mergeCell ref="A335:E335"/>
    <mergeCell ref="A331:E331"/>
    <mergeCell ref="A325:E325"/>
    <mergeCell ref="A317:E317"/>
    <mergeCell ref="A311:E311"/>
    <mergeCell ref="A305:E305"/>
    <mergeCell ref="A299:E299"/>
    <mergeCell ref="A293:E293"/>
    <mergeCell ref="A389:E389"/>
    <mergeCell ref="A383:E383"/>
    <mergeCell ref="A376:E376"/>
    <mergeCell ref="A370:E370"/>
    <mergeCell ref="A364:E364"/>
    <mergeCell ref="A358:E358"/>
    <mergeCell ref="A354:E354"/>
    <mergeCell ref="A349:E349"/>
    <mergeCell ref="A344:E344"/>
    <mergeCell ref="A445:E445"/>
    <mergeCell ref="A439:E439"/>
    <mergeCell ref="A432:E432"/>
    <mergeCell ref="A426:E426"/>
    <mergeCell ref="A419:E419"/>
    <mergeCell ref="A413:E413"/>
    <mergeCell ref="A408:E408"/>
    <mergeCell ref="A402:E402"/>
    <mergeCell ref="A396:E396"/>
    <mergeCell ref="A498:E498"/>
    <mergeCell ref="A492:E492"/>
    <mergeCell ref="A485:E485"/>
    <mergeCell ref="A480:E480"/>
    <mergeCell ref="A475:E475"/>
    <mergeCell ref="A471:E471"/>
    <mergeCell ref="A465:E465"/>
    <mergeCell ref="A459:E459"/>
    <mergeCell ref="A451:E451"/>
    <mergeCell ref="A562:E562"/>
    <mergeCell ref="A554:E554"/>
    <mergeCell ref="A547:E547"/>
    <mergeCell ref="A542:E542"/>
    <mergeCell ref="A533:E533"/>
    <mergeCell ref="A525:E525"/>
    <mergeCell ref="A518:E518"/>
    <mergeCell ref="A510:E510"/>
    <mergeCell ref="A504:E504"/>
    <mergeCell ref="A621:E621"/>
    <mergeCell ref="A614:E614"/>
    <mergeCell ref="A607:E607"/>
    <mergeCell ref="A602:E602"/>
    <mergeCell ref="A596:E596"/>
    <mergeCell ref="A589:E589"/>
    <mergeCell ref="A581:E581"/>
    <mergeCell ref="A574:E574"/>
    <mergeCell ref="A568:E568"/>
    <mergeCell ref="A664:E664"/>
    <mergeCell ref="A660:E660"/>
    <mergeCell ref="A656:E656"/>
    <mergeCell ref="A652:E652"/>
    <mergeCell ref="A648:E648"/>
    <mergeCell ref="A640:E640"/>
    <mergeCell ref="A635:E635"/>
    <mergeCell ref="A630:E630"/>
    <mergeCell ref="A626:E626"/>
    <mergeCell ref="D1:E1"/>
    <mergeCell ref="C2:E2"/>
    <mergeCell ref="A777:E777"/>
    <mergeCell ref="A774:E774"/>
    <mergeCell ref="A771:E771"/>
    <mergeCell ref="A765:E765"/>
    <mergeCell ref="A761:E761"/>
    <mergeCell ref="A754:E754"/>
    <mergeCell ref="A748:E748"/>
    <mergeCell ref="A743:E743"/>
    <mergeCell ref="A738:E738"/>
    <mergeCell ref="A734:E734"/>
    <mergeCell ref="A729:E729"/>
    <mergeCell ref="A725:E725"/>
    <mergeCell ref="A719:E719"/>
    <mergeCell ref="A715:E715"/>
    <mergeCell ref="A709:E709"/>
    <mergeCell ref="A702:E702"/>
    <mergeCell ref="A695:E695"/>
    <mergeCell ref="A689:E689"/>
    <mergeCell ref="A684:E684"/>
    <mergeCell ref="A679:E679"/>
    <mergeCell ref="A674:E674"/>
    <mergeCell ref="A668:E668"/>
  </mergeCells>
  <pageMargins left="0.74803149606299213" right="0.74803149606299213" top="0.78740157480314965" bottom="0.39370078740157483" header="0.19685039370078741" footer="0.19685039370078741"/>
  <pageSetup scale="80" pageOrder="overThenDown" orientation="portrait" verticalDpi="0" r:id="rId1"/>
  <headerFooter>
    <oddFooter>&amp;R&amp;P</oddFooter>
  </headerFooter>
  <rowBreaks count="4" manualBreakCount="4">
    <brk id="210" max="16383" man="1"/>
    <brk id="503" max="16383" man="1"/>
    <brk id="553" max="16383" man="1"/>
    <brk id="6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3"/>
  <sheetViews>
    <sheetView zoomScale="90" zoomScaleNormal="9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N3" sqref="N3"/>
    </sheetView>
  </sheetViews>
  <sheetFormatPr defaultRowHeight="12.75" x14ac:dyDescent="0.2"/>
  <cols>
    <col min="1" max="1" width="3.28515625" style="129" customWidth="1"/>
    <col min="2" max="2" width="10.140625" style="136" customWidth="1"/>
    <col min="3" max="3" width="42.140625" style="137" customWidth="1"/>
    <col min="4" max="4" width="4.140625" style="137" customWidth="1"/>
    <col min="5" max="5" width="12.7109375" style="137" customWidth="1"/>
    <col min="6" max="6" width="10.42578125" style="129" customWidth="1"/>
    <col min="7" max="7" width="11" style="129" customWidth="1"/>
    <col min="8" max="8" width="12.28515625" style="129" customWidth="1"/>
    <col min="9" max="12" width="11.140625" style="129" customWidth="1"/>
    <col min="13" max="14" width="10.85546875" style="129" customWidth="1"/>
    <col min="15" max="15" width="11" style="129" customWidth="1"/>
    <col min="16" max="16" width="12.28515625" style="129" customWidth="1"/>
    <col min="17" max="20" width="11.140625" style="129" customWidth="1"/>
    <col min="21" max="23" width="11.7109375" style="129" customWidth="1"/>
    <col min="24" max="24" width="13.140625" style="129" customWidth="1"/>
    <col min="25" max="25" width="9.140625" style="129"/>
    <col min="26" max="26" width="10.5703125" style="129" customWidth="1"/>
    <col min="27" max="27" width="15.140625" style="129" customWidth="1"/>
    <col min="28" max="16384" width="9.140625" style="129"/>
  </cols>
  <sheetData>
    <row r="1" spans="1:27" x14ac:dyDescent="0.2">
      <c r="B1" s="130"/>
      <c r="C1" s="131"/>
      <c r="D1" s="131"/>
      <c r="E1" s="131"/>
      <c r="F1" s="132"/>
      <c r="G1" s="132"/>
      <c r="I1" s="133"/>
      <c r="L1" s="134" t="s">
        <v>670</v>
      </c>
    </row>
    <row r="2" spans="1:27" ht="15" x14ac:dyDescent="0.25">
      <c r="B2" s="130"/>
      <c r="C2" s="131"/>
      <c r="D2" s="131"/>
      <c r="E2" s="131"/>
      <c r="F2" s="132"/>
      <c r="G2" s="132"/>
      <c r="I2" s="133"/>
      <c r="L2" s="135" t="s">
        <v>881</v>
      </c>
    </row>
    <row r="3" spans="1:27" ht="15" x14ac:dyDescent="0.25">
      <c r="J3" s="356"/>
      <c r="K3" s="356"/>
      <c r="L3" s="135" t="s">
        <v>884</v>
      </c>
    </row>
    <row r="4" spans="1:27" ht="18" customHeight="1" x14ac:dyDescent="0.25">
      <c r="A4" s="468" t="s">
        <v>802</v>
      </c>
      <c r="B4" s="468"/>
      <c r="C4" s="468"/>
      <c r="D4" s="468"/>
      <c r="E4" s="468"/>
      <c r="F4" s="468"/>
      <c r="G4" s="468"/>
      <c r="H4" s="468"/>
      <c r="I4" s="46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pans="1:27" s="137" customFormat="1" ht="12.75" customHeight="1" x14ac:dyDescent="0.25">
      <c r="A5" s="400" t="s">
        <v>671</v>
      </c>
      <c r="B5" s="402" t="s">
        <v>672</v>
      </c>
      <c r="C5" s="404" t="s">
        <v>673</v>
      </c>
      <c r="D5" s="139"/>
      <c r="E5" s="139" t="s">
        <v>674</v>
      </c>
      <c r="F5" s="139" t="s">
        <v>675</v>
      </c>
      <c r="G5" s="139" t="s">
        <v>676</v>
      </c>
      <c r="H5" s="140"/>
      <c r="I5" s="141"/>
      <c r="J5" s="141"/>
      <c r="K5" s="141"/>
      <c r="L5" s="141"/>
      <c r="M5" s="141"/>
      <c r="N5" s="141"/>
      <c r="O5" s="141"/>
      <c r="P5" s="141"/>
      <c r="Q5" s="141"/>
      <c r="R5" s="142"/>
      <c r="S5" s="142"/>
      <c r="T5" s="142"/>
      <c r="U5" s="142"/>
      <c r="V5" s="142"/>
      <c r="W5" s="142"/>
      <c r="X5" s="143" t="s">
        <v>677</v>
      </c>
    </row>
    <row r="6" spans="1:27" s="137" customFormat="1" x14ac:dyDescent="0.2">
      <c r="A6" s="401"/>
      <c r="B6" s="403"/>
      <c r="C6" s="405"/>
      <c r="D6" s="144"/>
      <c r="E6" s="144" t="s">
        <v>678</v>
      </c>
      <c r="F6" s="144" t="s">
        <v>679</v>
      </c>
      <c r="G6" s="144" t="s">
        <v>10</v>
      </c>
      <c r="H6" s="145">
        <v>2019</v>
      </c>
      <c r="I6" s="144">
        <f>SUM(H6+1)</f>
        <v>2020</v>
      </c>
      <c r="J6" s="144">
        <f t="shared" ref="J6:R6" si="0">SUM(I6+1)</f>
        <v>2021</v>
      </c>
      <c r="K6" s="144">
        <f t="shared" si="0"/>
        <v>2022</v>
      </c>
      <c r="L6" s="144">
        <f t="shared" si="0"/>
        <v>2023</v>
      </c>
      <c r="M6" s="144">
        <f t="shared" si="0"/>
        <v>2024</v>
      </c>
      <c r="N6" s="144">
        <f t="shared" si="0"/>
        <v>2025</v>
      </c>
      <c r="O6" s="144">
        <f t="shared" si="0"/>
        <v>2026</v>
      </c>
      <c r="P6" s="144">
        <f t="shared" si="0"/>
        <v>2027</v>
      </c>
      <c r="Q6" s="144">
        <f t="shared" si="0"/>
        <v>2028</v>
      </c>
      <c r="R6" s="144">
        <f t="shared" si="0"/>
        <v>2029</v>
      </c>
      <c r="S6" s="146">
        <v>2030</v>
      </c>
      <c r="T6" s="146">
        <v>2031</v>
      </c>
      <c r="U6" s="146">
        <v>2032</v>
      </c>
      <c r="V6" s="146">
        <v>2033</v>
      </c>
      <c r="W6" s="146" t="s">
        <v>680</v>
      </c>
      <c r="X6" s="147" t="s">
        <v>681</v>
      </c>
      <c r="Z6" s="148"/>
    </row>
    <row r="7" spans="1:27" s="136" customFormat="1" x14ac:dyDescent="0.2">
      <c r="A7" s="406">
        <v>1</v>
      </c>
      <c r="B7" s="149" t="s">
        <v>682</v>
      </c>
      <c r="C7" s="408" t="s">
        <v>683</v>
      </c>
      <c r="D7" s="408">
        <v>648</v>
      </c>
      <c r="E7" s="410">
        <v>45201391.5</v>
      </c>
      <c r="F7" s="412" t="s">
        <v>684</v>
      </c>
      <c r="G7" s="150" t="s">
        <v>685</v>
      </c>
      <c r="H7" s="171">
        <v>5108904</v>
      </c>
      <c r="I7" s="151">
        <v>5489516</v>
      </c>
      <c r="J7" s="151">
        <v>5307920</v>
      </c>
      <c r="K7" s="151">
        <v>4563372</v>
      </c>
      <c r="L7" s="151">
        <v>4178496</v>
      </c>
      <c r="M7" s="151">
        <v>3888532</v>
      </c>
      <c r="N7" s="151">
        <v>3795232</v>
      </c>
      <c r="O7" s="151">
        <v>3470364</v>
      </c>
      <c r="P7" s="151">
        <v>1653540</v>
      </c>
      <c r="Q7" s="151">
        <v>1134524</v>
      </c>
      <c r="R7" s="151">
        <v>936532</v>
      </c>
      <c r="S7" s="151">
        <v>747604</v>
      </c>
      <c r="T7" s="151">
        <v>747604</v>
      </c>
      <c r="U7" s="151">
        <v>747604</v>
      </c>
      <c r="V7" s="151">
        <v>725552</v>
      </c>
      <c r="W7" s="152">
        <f>269152</f>
        <v>269152</v>
      </c>
      <c r="X7" s="153">
        <f>SUM(H7:W7)</f>
        <v>42764448</v>
      </c>
      <c r="Z7" s="148"/>
      <c r="AA7" s="154"/>
    </row>
    <row r="8" spans="1:27" s="136" customFormat="1" x14ac:dyDescent="0.2">
      <c r="A8" s="407"/>
      <c r="B8" s="155" t="s">
        <v>686</v>
      </c>
      <c r="C8" s="409"/>
      <c r="D8" s="409"/>
      <c r="E8" s="411"/>
      <c r="F8" s="413"/>
      <c r="G8" s="156">
        <v>2.5000000000000001E-3</v>
      </c>
      <c r="H8" s="287">
        <v>105443.81</v>
      </c>
      <c r="I8" s="157">
        <v>97955</v>
      </c>
      <c r="J8" s="157">
        <v>95385</v>
      </c>
      <c r="K8" s="157">
        <v>79680</v>
      </c>
      <c r="L8" s="157">
        <v>65920</v>
      </c>
      <c r="M8" s="157">
        <v>53485</v>
      </c>
      <c r="N8" s="157">
        <v>41515</v>
      </c>
      <c r="O8" s="157">
        <v>30165</v>
      </c>
      <c r="P8" s="157">
        <v>20710</v>
      </c>
      <c r="Q8" s="157">
        <v>15750</v>
      </c>
      <c r="R8" s="157">
        <v>12295</v>
      </c>
      <c r="S8" s="157">
        <v>9530</v>
      </c>
      <c r="T8" s="157">
        <v>7225</v>
      </c>
      <c r="U8" s="157">
        <v>4965</v>
      </c>
      <c r="V8" s="157">
        <v>2690</v>
      </c>
      <c r="W8" s="158">
        <v>815</v>
      </c>
      <c r="X8" s="159">
        <f>SUM(H8:W8)</f>
        <v>643528.81000000006</v>
      </c>
      <c r="Z8" s="148"/>
      <c r="AA8" s="154"/>
    </row>
    <row r="9" spans="1:27" s="136" customFormat="1" x14ac:dyDescent="0.2">
      <c r="A9" s="414">
        <v>2</v>
      </c>
      <c r="B9" s="160" t="s">
        <v>682</v>
      </c>
      <c r="C9" s="416" t="s">
        <v>687</v>
      </c>
      <c r="D9" s="418">
        <v>628</v>
      </c>
      <c r="E9" s="420">
        <v>119421</v>
      </c>
      <c r="F9" s="422" t="s">
        <v>688</v>
      </c>
      <c r="G9" s="161" t="s">
        <v>685</v>
      </c>
      <c r="H9" s="288">
        <v>6728</v>
      </c>
      <c r="I9" s="162">
        <v>6728</v>
      </c>
      <c r="J9" s="162">
        <v>6728</v>
      </c>
      <c r="K9" s="162">
        <v>6728</v>
      </c>
      <c r="L9" s="162">
        <v>6728</v>
      </c>
      <c r="M9" s="162">
        <v>6728</v>
      </c>
      <c r="N9" s="162">
        <v>6728</v>
      </c>
      <c r="O9" s="162">
        <v>6728</v>
      </c>
      <c r="P9" s="163">
        <v>6728</v>
      </c>
      <c r="Q9" s="162">
        <v>6728</v>
      </c>
      <c r="R9" s="162">
        <v>6728</v>
      </c>
      <c r="S9" s="162">
        <v>6728</v>
      </c>
      <c r="T9" s="162">
        <v>6728</v>
      </c>
      <c r="U9" s="162">
        <v>6728</v>
      </c>
      <c r="V9" s="164">
        <v>6728</v>
      </c>
      <c r="W9" s="164">
        <f>6728+1682</f>
        <v>8410</v>
      </c>
      <c r="X9" s="153">
        <f t="shared" ref="X9:X72" si="1">SUM(H9:W9)</f>
        <v>109330</v>
      </c>
      <c r="Z9" s="148"/>
      <c r="AA9" s="154"/>
    </row>
    <row r="10" spans="1:27" s="136" customFormat="1" x14ac:dyDescent="0.2">
      <c r="A10" s="415"/>
      <c r="B10" s="165" t="s">
        <v>689</v>
      </c>
      <c r="C10" s="417"/>
      <c r="D10" s="419"/>
      <c r="E10" s="421"/>
      <c r="F10" s="419"/>
      <c r="G10" s="156">
        <v>2.5000000000000001E-3</v>
      </c>
      <c r="H10" s="289">
        <v>273.64</v>
      </c>
      <c r="I10" s="166">
        <v>300</v>
      </c>
      <c r="J10" s="166">
        <v>290</v>
      </c>
      <c r="K10" s="166">
        <v>270</v>
      </c>
      <c r="L10" s="166">
        <v>250</v>
      </c>
      <c r="M10" s="166">
        <v>230</v>
      </c>
      <c r="N10" s="166">
        <v>210</v>
      </c>
      <c r="O10" s="166">
        <v>190</v>
      </c>
      <c r="P10" s="167">
        <v>170</v>
      </c>
      <c r="Q10" s="166">
        <v>150</v>
      </c>
      <c r="R10" s="166">
        <v>125</v>
      </c>
      <c r="S10" s="166">
        <v>105</v>
      </c>
      <c r="T10" s="166">
        <v>85</v>
      </c>
      <c r="U10" s="166">
        <v>65</v>
      </c>
      <c r="V10" s="168">
        <v>45</v>
      </c>
      <c r="W10" s="168">
        <v>30</v>
      </c>
      <c r="X10" s="159">
        <f t="shared" si="1"/>
        <v>2788.64</v>
      </c>
      <c r="Z10" s="148"/>
      <c r="AA10" s="154"/>
    </row>
    <row r="11" spans="1:27" s="136" customFormat="1" x14ac:dyDescent="0.2">
      <c r="A11" s="423">
        <v>3</v>
      </c>
      <c r="B11" s="169" t="s">
        <v>682</v>
      </c>
      <c r="C11" s="425" t="s">
        <v>690</v>
      </c>
      <c r="D11" s="427">
        <v>629</v>
      </c>
      <c r="E11" s="429">
        <v>463710</v>
      </c>
      <c r="F11" s="427" t="s">
        <v>691</v>
      </c>
      <c r="G11" s="170" t="s">
        <v>685</v>
      </c>
      <c r="H11" s="171">
        <v>25412</v>
      </c>
      <c r="I11" s="172">
        <v>25412</v>
      </c>
      <c r="J11" s="172">
        <v>25412</v>
      </c>
      <c r="K11" s="172">
        <v>25412</v>
      </c>
      <c r="L11" s="172">
        <v>25412</v>
      </c>
      <c r="M11" s="172">
        <v>25412</v>
      </c>
      <c r="N11" s="172">
        <v>25412</v>
      </c>
      <c r="O11" s="172">
        <v>25412</v>
      </c>
      <c r="P11" s="173">
        <v>25412</v>
      </c>
      <c r="Q11" s="172">
        <v>25412</v>
      </c>
      <c r="R11" s="172">
        <v>25412</v>
      </c>
      <c r="S11" s="172">
        <v>25412</v>
      </c>
      <c r="T11" s="172">
        <v>25412</v>
      </c>
      <c r="U11" s="172">
        <v>25412</v>
      </c>
      <c r="V11" s="174">
        <v>25412</v>
      </c>
      <c r="W11" s="174">
        <f>25412+6353</f>
        <v>31765</v>
      </c>
      <c r="X11" s="153">
        <f t="shared" si="1"/>
        <v>412945</v>
      </c>
      <c r="Z11" s="148"/>
      <c r="AA11" s="154"/>
    </row>
    <row r="12" spans="1:27" s="136" customFormat="1" x14ac:dyDescent="0.2">
      <c r="A12" s="424"/>
      <c r="B12" s="175" t="s">
        <v>692</v>
      </c>
      <c r="C12" s="426"/>
      <c r="D12" s="428"/>
      <c r="E12" s="430"/>
      <c r="F12" s="428"/>
      <c r="G12" s="156">
        <v>2.5000000000000001E-3</v>
      </c>
      <c r="H12" s="287">
        <v>1033.5999999999999</v>
      </c>
      <c r="I12" s="176">
        <v>1120</v>
      </c>
      <c r="J12" s="176">
        <v>1090</v>
      </c>
      <c r="K12" s="176">
        <v>1015</v>
      </c>
      <c r="L12" s="176">
        <v>935</v>
      </c>
      <c r="M12" s="176">
        <v>865</v>
      </c>
      <c r="N12" s="176">
        <v>785</v>
      </c>
      <c r="O12" s="176">
        <v>705</v>
      </c>
      <c r="P12" s="177">
        <v>630</v>
      </c>
      <c r="Q12" s="176">
        <v>555</v>
      </c>
      <c r="R12" s="176">
        <v>475</v>
      </c>
      <c r="S12" s="176">
        <v>395</v>
      </c>
      <c r="T12" s="176">
        <v>320</v>
      </c>
      <c r="U12" s="176">
        <v>240</v>
      </c>
      <c r="V12" s="178">
        <v>165</v>
      </c>
      <c r="W12" s="178">
        <v>100</v>
      </c>
      <c r="X12" s="159">
        <f t="shared" si="1"/>
        <v>10428.6</v>
      </c>
      <c r="Z12" s="148"/>
      <c r="AA12" s="154"/>
    </row>
    <row r="13" spans="1:27" s="181" customFormat="1" x14ac:dyDescent="0.2">
      <c r="A13" s="414">
        <v>4</v>
      </c>
      <c r="B13" s="160" t="s">
        <v>682</v>
      </c>
      <c r="C13" s="416" t="s">
        <v>693</v>
      </c>
      <c r="D13" s="416">
        <v>630</v>
      </c>
      <c r="E13" s="420">
        <v>162998</v>
      </c>
      <c r="F13" s="418" t="s">
        <v>694</v>
      </c>
      <c r="G13" s="161" t="s">
        <v>685</v>
      </c>
      <c r="H13" s="290"/>
      <c r="I13" s="179">
        <v>6950.39</v>
      </c>
      <c r="J13" s="180">
        <v>6976</v>
      </c>
      <c r="K13" s="180">
        <v>6976</v>
      </c>
      <c r="L13" s="180">
        <v>6976</v>
      </c>
      <c r="M13" s="180">
        <v>6976</v>
      </c>
      <c r="N13" s="180">
        <v>6976</v>
      </c>
      <c r="O13" s="180">
        <v>6976</v>
      </c>
      <c r="P13" s="180">
        <v>6976</v>
      </c>
      <c r="Q13" s="180">
        <v>6976</v>
      </c>
      <c r="R13" s="180">
        <v>6976</v>
      </c>
      <c r="S13" s="180">
        <v>6976</v>
      </c>
      <c r="T13" s="180">
        <v>6976</v>
      </c>
      <c r="U13" s="180">
        <v>6976</v>
      </c>
      <c r="V13" s="180">
        <v>6976</v>
      </c>
      <c r="W13" s="180">
        <v>10464</v>
      </c>
      <c r="X13" s="153">
        <f t="shared" si="1"/>
        <v>108102.39</v>
      </c>
      <c r="Z13" s="148"/>
      <c r="AA13" s="154"/>
    </row>
    <row r="14" spans="1:27" s="136" customFormat="1" x14ac:dyDescent="0.2">
      <c r="A14" s="415"/>
      <c r="B14" s="165" t="s">
        <v>695</v>
      </c>
      <c r="C14" s="417"/>
      <c r="D14" s="417"/>
      <c r="E14" s="421"/>
      <c r="F14" s="419"/>
      <c r="G14" s="156">
        <v>2.5000000000000001E-3</v>
      </c>
      <c r="H14" s="291">
        <v>274.01</v>
      </c>
      <c r="I14" s="166">
        <v>300</v>
      </c>
      <c r="J14" s="182">
        <v>305</v>
      </c>
      <c r="K14" s="182">
        <v>285</v>
      </c>
      <c r="L14" s="182">
        <v>265</v>
      </c>
      <c r="M14" s="182">
        <v>245</v>
      </c>
      <c r="N14" s="182">
        <v>220</v>
      </c>
      <c r="O14" s="182">
        <v>200</v>
      </c>
      <c r="P14" s="182">
        <v>180</v>
      </c>
      <c r="Q14" s="182">
        <v>160</v>
      </c>
      <c r="R14" s="182">
        <v>135</v>
      </c>
      <c r="S14" s="182">
        <v>115</v>
      </c>
      <c r="T14" s="182">
        <v>95</v>
      </c>
      <c r="U14" s="182">
        <v>75</v>
      </c>
      <c r="V14" s="183">
        <v>50</v>
      </c>
      <c r="W14" s="183">
        <v>40</v>
      </c>
      <c r="X14" s="159">
        <f t="shared" si="1"/>
        <v>2944.01</v>
      </c>
      <c r="Z14" s="148"/>
      <c r="AA14" s="154"/>
    </row>
    <row r="15" spans="1:27" s="136" customFormat="1" x14ac:dyDescent="0.2">
      <c r="A15" s="423">
        <v>5</v>
      </c>
      <c r="B15" s="169" t="s">
        <v>696</v>
      </c>
      <c r="C15" s="425" t="s">
        <v>697</v>
      </c>
      <c r="D15" s="425">
        <v>631</v>
      </c>
      <c r="E15" s="429">
        <f>89504-0.24</f>
        <v>89503.76</v>
      </c>
      <c r="F15" s="427" t="s">
        <v>698</v>
      </c>
      <c r="G15" s="170" t="s">
        <v>685</v>
      </c>
      <c r="H15" s="184">
        <v>5116</v>
      </c>
      <c r="I15" s="184">
        <v>5116</v>
      </c>
      <c r="J15" s="184">
        <v>5116</v>
      </c>
      <c r="K15" s="184">
        <v>5116</v>
      </c>
      <c r="L15" s="184">
        <v>5116</v>
      </c>
      <c r="M15" s="184">
        <v>5116</v>
      </c>
      <c r="N15" s="184">
        <v>5116</v>
      </c>
      <c r="O15" s="184">
        <v>5116</v>
      </c>
      <c r="P15" s="184">
        <v>5116</v>
      </c>
      <c r="Q15" s="184">
        <v>5116</v>
      </c>
      <c r="R15" s="184">
        <v>5116</v>
      </c>
      <c r="S15" s="184">
        <v>5116</v>
      </c>
      <c r="T15" s="184">
        <v>5116</v>
      </c>
      <c r="U15" s="184">
        <v>5116</v>
      </c>
      <c r="V15" s="185">
        <f>5116</f>
        <v>5116</v>
      </c>
      <c r="W15" s="185">
        <f>5116+2557.76</f>
        <v>7673.76</v>
      </c>
      <c r="X15" s="153">
        <f t="shared" si="1"/>
        <v>84413.759999999995</v>
      </c>
      <c r="Z15" s="148"/>
      <c r="AA15" s="154"/>
    </row>
    <row r="16" spans="1:27" s="136" customFormat="1" x14ac:dyDescent="0.2">
      <c r="A16" s="424"/>
      <c r="B16" s="175" t="s">
        <v>699</v>
      </c>
      <c r="C16" s="426"/>
      <c r="D16" s="426"/>
      <c r="E16" s="430"/>
      <c r="F16" s="428"/>
      <c r="G16" s="156">
        <v>2.5000000000000001E-3</v>
      </c>
      <c r="H16" s="292">
        <v>211.34</v>
      </c>
      <c r="I16" s="176">
        <v>220</v>
      </c>
      <c r="J16" s="186">
        <v>225</v>
      </c>
      <c r="K16" s="186">
        <v>210</v>
      </c>
      <c r="L16" s="186">
        <v>195</v>
      </c>
      <c r="M16" s="186">
        <v>180</v>
      </c>
      <c r="N16" s="186">
        <v>165</v>
      </c>
      <c r="O16" s="186">
        <v>150</v>
      </c>
      <c r="P16" s="186">
        <v>130</v>
      </c>
      <c r="Q16" s="186">
        <v>115</v>
      </c>
      <c r="R16" s="186">
        <v>100</v>
      </c>
      <c r="S16" s="186">
        <v>85</v>
      </c>
      <c r="T16" s="186">
        <v>70</v>
      </c>
      <c r="U16" s="186">
        <v>55</v>
      </c>
      <c r="V16" s="187">
        <v>40</v>
      </c>
      <c r="W16" s="187">
        <v>30</v>
      </c>
      <c r="X16" s="159">
        <f t="shared" si="1"/>
        <v>2181.34</v>
      </c>
      <c r="Z16" s="148"/>
      <c r="AA16" s="154"/>
    </row>
    <row r="17" spans="1:27" s="136" customFormat="1" ht="16.5" customHeight="1" x14ac:dyDescent="0.2">
      <c r="A17" s="414">
        <v>6</v>
      </c>
      <c r="B17" s="169" t="s">
        <v>682</v>
      </c>
      <c r="C17" s="416" t="s">
        <v>700</v>
      </c>
      <c r="D17" s="416">
        <v>632</v>
      </c>
      <c r="E17" s="420">
        <v>1331708.19</v>
      </c>
      <c r="F17" s="418" t="s">
        <v>701</v>
      </c>
      <c r="G17" s="170" t="s">
        <v>685</v>
      </c>
      <c r="H17" s="288">
        <v>4000</v>
      </c>
      <c r="I17" s="162">
        <v>4000</v>
      </c>
      <c r="J17" s="162">
        <v>4000</v>
      </c>
      <c r="K17" s="162">
        <v>20000</v>
      </c>
      <c r="L17" s="162">
        <v>20000</v>
      </c>
      <c r="M17" s="162">
        <v>20000</v>
      </c>
      <c r="N17" s="162">
        <v>20000</v>
      </c>
      <c r="O17" s="162">
        <v>50000</v>
      </c>
      <c r="P17" s="163">
        <v>79000</v>
      </c>
      <c r="Q17" s="162">
        <v>79000</v>
      </c>
      <c r="R17" s="162">
        <v>79000</v>
      </c>
      <c r="S17" s="162">
        <v>79000</v>
      </c>
      <c r="T17" s="162">
        <v>79000</v>
      </c>
      <c r="U17" s="188">
        <v>79000</v>
      </c>
      <c r="V17" s="189">
        <f>79000</f>
        <v>79000</v>
      </c>
      <c r="W17" s="189">
        <f>79000+59250</f>
        <v>138250</v>
      </c>
      <c r="X17" s="153">
        <f t="shared" si="1"/>
        <v>833250</v>
      </c>
      <c r="Z17" s="148"/>
      <c r="AA17" s="154"/>
    </row>
    <row r="18" spans="1:27" s="136" customFormat="1" ht="16.5" customHeight="1" x14ac:dyDescent="0.2">
      <c r="A18" s="415"/>
      <c r="B18" s="175" t="s">
        <v>702</v>
      </c>
      <c r="C18" s="417"/>
      <c r="D18" s="417"/>
      <c r="E18" s="421"/>
      <c r="F18" s="419"/>
      <c r="G18" s="156">
        <v>2.5000000000000001E-3</v>
      </c>
      <c r="H18" s="289">
        <v>2110.0100000000002</v>
      </c>
      <c r="I18" s="166">
        <v>2215</v>
      </c>
      <c r="J18" s="166">
        <v>2510</v>
      </c>
      <c r="K18" s="166">
        <v>2490</v>
      </c>
      <c r="L18" s="166">
        <v>2430</v>
      </c>
      <c r="M18" s="166">
        <v>2375</v>
      </c>
      <c r="N18" s="166">
        <v>2310</v>
      </c>
      <c r="O18" s="166">
        <v>2230</v>
      </c>
      <c r="P18" s="167">
        <v>2065</v>
      </c>
      <c r="Q18" s="166">
        <v>1835</v>
      </c>
      <c r="R18" s="166">
        <v>1585</v>
      </c>
      <c r="S18" s="166">
        <v>1345</v>
      </c>
      <c r="T18" s="166">
        <v>1105</v>
      </c>
      <c r="U18" s="166">
        <v>870</v>
      </c>
      <c r="V18" s="168">
        <v>625</v>
      </c>
      <c r="W18" s="168">
        <v>530</v>
      </c>
      <c r="X18" s="159">
        <f t="shared" si="1"/>
        <v>28630.010000000002</v>
      </c>
      <c r="Z18" s="148"/>
      <c r="AA18" s="154"/>
    </row>
    <row r="19" spans="1:27" s="136" customFormat="1" x14ac:dyDescent="0.2">
      <c r="A19" s="423">
        <v>7</v>
      </c>
      <c r="B19" s="160" t="s">
        <v>682</v>
      </c>
      <c r="C19" s="431" t="s">
        <v>419</v>
      </c>
      <c r="D19" s="425">
        <v>633</v>
      </c>
      <c r="E19" s="433">
        <f>8339124-3412924+1558975</f>
        <v>6485175</v>
      </c>
      <c r="F19" s="427" t="s">
        <v>703</v>
      </c>
      <c r="G19" s="170" t="s">
        <v>685</v>
      </c>
      <c r="H19" s="197"/>
      <c r="I19" s="190">
        <v>750</v>
      </c>
      <c r="J19" s="190">
        <v>1000</v>
      </c>
      <c r="K19" s="190">
        <v>5000</v>
      </c>
      <c r="L19" s="190">
        <v>5000</v>
      </c>
      <c r="M19" s="190">
        <v>8000</v>
      </c>
      <c r="N19" s="190">
        <v>20000</v>
      </c>
      <c r="O19" s="190">
        <v>60000</v>
      </c>
      <c r="P19" s="190">
        <v>238000</v>
      </c>
      <c r="Q19" s="190">
        <v>238000</v>
      </c>
      <c r="R19" s="190">
        <v>324000</v>
      </c>
      <c r="S19" s="190">
        <v>324000</v>
      </c>
      <c r="T19" s="190">
        <v>324000</v>
      </c>
      <c r="U19" s="190">
        <v>324000</v>
      </c>
      <c r="V19" s="190">
        <v>324000</v>
      </c>
      <c r="W19" s="190">
        <v>4289425</v>
      </c>
      <c r="X19" s="153">
        <f t="shared" si="1"/>
        <v>6485175</v>
      </c>
      <c r="Z19" s="148"/>
      <c r="AA19" s="191"/>
    </row>
    <row r="20" spans="1:27" s="136" customFormat="1" ht="15" customHeight="1" x14ac:dyDescent="0.2">
      <c r="A20" s="424"/>
      <c r="B20" s="175" t="s">
        <v>704</v>
      </c>
      <c r="C20" s="432"/>
      <c r="D20" s="426"/>
      <c r="E20" s="434"/>
      <c r="F20" s="428"/>
      <c r="G20" s="156">
        <v>2.5000000000000001E-3</v>
      </c>
      <c r="H20" s="293">
        <v>11859.24</v>
      </c>
      <c r="I20" s="192">
        <v>18135</v>
      </c>
      <c r="J20" s="192">
        <v>19725</v>
      </c>
      <c r="K20" s="192">
        <v>19720</v>
      </c>
      <c r="L20" s="192">
        <v>19705</v>
      </c>
      <c r="M20" s="192">
        <v>19740</v>
      </c>
      <c r="N20" s="192">
        <v>19655</v>
      </c>
      <c r="O20" s="192">
        <v>19570</v>
      </c>
      <c r="P20" s="192">
        <v>19285</v>
      </c>
      <c r="Q20" s="192">
        <v>18640</v>
      </c>
      <c r="R20" s="192">
        <v>17810</v>
      </c>
      <c r="S20" s="192">
        <v>16840</v>
      </c>
      <c r="T20" s="192">
        <v>15855</v>
      </c>
      <c r="U20" s="192">
        <v>14910</v>
      </c>
      <c r="V20" s="192">
        <v>13885</v>
      </c>
      <c r="W20" s="192">
        <v>90995</v>
      </c>
      <c r="X20" s="159">
        <f t="shared" si="1"/>
        <v>356329.24</v>
      </c>
      <c r="Z20" s="148"/>
      <c r="AA20" s="191"/>
    </row>
    <row r="21" spans="1:27" s="136" customFormat="1" ht="12.75" customHeight="1" x14ac:dyDescent="0.2">
      <c r="A21" s="414">
        <v>8</v>
      </c>
      <c r="B21" s="160" t="s">
        <v>682</v>
      </c>
      <c r="C21" s="431" t="s">
        <v>705</v>
      </c>
      <c r="D21" s="425">
        <v>634</v>
      </c>
      <c r="E21" s="429">
        <f>206622-0.62</f>
        <v>206621.38</v>
      </c>
      <c r="F21" s="427" t="s">
        <v>706</v>
      </c>
      <c r="G21" s="170" t="s">
        <v>685</v>
      </c>
      <c r="H21" s="197"/>
      <c r="I21" s="190">
        <v>1000</v>
      </c>
      <c r="J21" s="190">
        <v>1000</v>
      </c>
      <c r="K21" s="190">
        <v>13640</v>
      </c>
      <c r="L21" s="190">
        <v>13640</v>
      </c>
      <c r="M21" s="190">
        <v>13640</v>
      </c>
      <c r="N21" s="190">
        <v>13640</v>
      </c>
      <c r="O21" s="190">
        <v>13640</v>
      </c>
      <c r="P21" s="190">
        <v>13640</v>
      </c>
      <c r="Q21" s="190">
        <v>13640</v>
      </c>
      <c r="R21" s="190">
        <v>13640</v>
      </c>
      <c r="S21" s="190">
        <v>13640</v>
      </c>
      <c r="T21" s="190">
        <v>13640</v>
      </c>
      <c r="U21" s="190">
        <v>13640</v>
      </c>
      <c r="V21" s="193">
        <v>13640</v>
      </c>
      <c r="W21" s="193">
        <f>40942</f>
        <v>40942</v>
      </c>
      <c r="X21" s="153">
        <f t="shared" si="1"/>
        <v>206622</v>
      </c>
      <c r="Z21" s="148"/>
      <c r="AA21" s="154"/>
    </row>
    <row r="22" spans="1:27" s="136" customFormat="1" x14ac:dyDescent="0.2">
      <c r="A22" s="415"/>
      <c r="B22" s="175" t="s">
        <v>707</v>
      </c>
      <c r="C22" s="432"/>
      <c r="D22" s="426"/>
      <c r="E22" s="430"/>
      <c r="F22" s="428"/>
      <c r="G22" s="156">
        <v>2.5000000000000001E-3</v>
      </c>
      <c r="H22" s="293">
        <v>523.73</v>
      </c>
      <c r="I22" s="192">
        <v>580</v>
      </c>
      <c r="J22" s="192">
        <v>625</v>
      </c>
      <c r="K22" s="192">
        <v>615</v>
      </c>
      <c r="L22" s="192">
        <v>575</v>
      </c>
      <c r="M22" s="192">
        <v>535</v>
      </c>
      <c r="N22" s="192">
        <v>495</v>
      </c>
      <c r="O22" s="192">
        <v>455</v>
      </c>
      <c r="P22" s="192">
        <v>410</v>
      </c>
      <c r="Q22" s="192">
        <v>370</v>
      </c>
      <c r="R22" s="192">
        <v>330</v>
      </c>
      <c r="S22" s="192">
        <v>285</v>
      </c>
      <c r="T22" s="192">
        <v>245</v>
      </c>
      <c r="U22" s="192">
        <v>205</v>
      </c>
      <c r="V22" s="194">
        <v>160</v>
      </c>
      <c r="W22" s="194">
        <v>235</v>
      </c>
      <c r="X22" s="159">
        <f t="shared" si="1"/>
        <v>6643.73</v>
      </c>
      <c r="Z22" s="148"/>
      <c r="AA22" s="154"/>
    </row>
    <row r="23" spans="1:27" s="136" customFormat="1" ht="12.75" customHeight="1" x14ac:dyDescent="0.2">
      <c r="A23" s="423">
        <v>9</v>
      </c>
      <c r="B23" s="160" t="s">
        <v>682</v>
      </c>
      <c r="C23" s="435" t="s">
        <v>708</v>
      </c>
      <c r="D23" s="425">
        <v>635</v>
      </c>
      <c r="E23" s="436">
        <v>307624.96000000002</v>
      </c>
      <c r="F23" s="427" t="s">
        <v>709</v>
      </c>
      <c r="G23" s="170" t="s">
        <v>685</v>
      </c>
      <c r="H23" s="197"/>
      <c r="I23" s="195">
        <v>750</v>
      </c>
      <c r="J23" s="195">
        <v>1000</v>
      </c>
      <c r="K23" s="195">
        <v>5000</v>
      </c>
      <c r="L23" s="195">
        <v>5000</v>
      </c>
      <c r="M23" s="195">
        <v>10000</v>
      </c>
      <c r="N23" s="195">
        <v>23824</v>
      </c>
      <c r="O23" s="195">
        <v>23824</v>
      </c>
      <c r="P23" s="196">
        <v>23824</v>
      </c>
      <c r="Q23" s="195">
        <v>23824</v>
      </c>
      <c r="R23" s="195">
        <v>23824</v>
      </c>
      <c r="S23" s="195">
        <v>23824</v>
      </c>
      <c r="T23" s="195">
        <v>23824</v>
      </c>
      <c r="U23" s="172">
        <v>23824</v>
      </c>
      <c r="V23" s="172">
        <f>23824</f>
        <v>23824</v>
      </c>
      <c r="W23" s="172">
        <f>71458.96</f>
        <v>71458.960000000006</v>
      </c>
      <c r="X23" s="153">
        <f t="shared" si="1"/>
        <v>307624.96000000002</v>
      </c>
      <c r="Z23" s="148"/>
      <c r="AA23" s="154"/>
    </row>
    <row r="24" spans="1:27" s="136" customFormat="1" x14ac:dyDescent="0.2">
      <c r="A24" s="424"/>
      <c r="B24" s="175" t="s">
        <v>710</v>
      </c>
      <c r="C24" s="432"/>
      <c r="D24" s="426"/>
      <c r="E24" s="437"/>
      <c r="F24" s="428"/>
      <c r="G24" s="156">
        <v>2.5000000000000001E-3</v>
      </c>
      <c r="H24" s="293">
        <v>779.75</v>
      </c>
      <c r="I24" s="176">
        <v>860</v>
      </c>
      <c r="J24" s="176">
        <v>935</v>
      </c>
      <c r="K24" s="176">
        <v>930</v>
      </c>
      <c r="L24" s="176">
        <v>915</v>
      </c>
      <c r="M24" s="176">
        <v>900</v>
      </c>
      <c r="N24" s="176">
        <v>860</v>
      </c>
      <c r="O24" s="176">
        <v>790</v>
      </c>
      <c r="P24" s="177">
        <v>715</v>
      </c>
      <c r="Q24" s="176">
        <v>645</v>
      </c>
      <c r="R24" s="176">
        <v>570</v>
      </c>
      <c r="S24" s="176">
        <v>500</v>
      </c>
      <c r="T24" s="176">
        <v>425</v>
      </c>
      <c r="U24" s="176">
        <v>355</v>
      </c>
      <c r="V24" s="176">
        <v>280</v>
      </c>
      <c r="W24" s="176">
        <v>410</v>
      </c>
      <c r="X24" s="159">
        <f t="shared" si="1"/>
        <v>10869.75</v>
      </c>
      <c r="Z24" s="148"/>
      <c r="AA24" s="154"/>
    </row>
    <row r="25" spans="1:27" s="136" customFormat="1" ht="12.75" customHeight="1" x14ac:dyDescent="0.2">
      <c r="A25" s="414">
        <v>10</v>
      </c>
      <c r="B25" s="160" t="s">
        <v>682</v>
      </c>
      <c r="C25" s="435" t="s">
        <v>711</v>
      </c>
      <c r="D25" s="425">
        <v>636</v>
      </c>
      <c r="E25" s="436">
        <v>69989</v>
      </c>
      <c r="F25" s="427" t="s">
        <v>709</v>
      </c>
      <c r="G25" s="170" t="s">
        <v>685</v>
      </c>
      <c r="H25" s="197"/>
      <c r="I25" s="195">
        <v>1000</v>
      </c>
      <c r="J25" s="195">
        <v>1000</v>
      </c>
      <c r="K25" s="195">
        <v>1000</v>
      </c>
      <c r="L25" s="195">
        <v>2000</v>
      </c>
      <c r="M25" s="195">
        <v>2000</v>
      </c>
      <c r="N25" s="195">
        <v>5000</v>
      </c>
      <c r="O25" s="195">
        <v>5272</v>
      </c>
      <c r="P25" s="196">
        <v>5272</v>
      </c>
      <c r="Q25" s="195">
        <v>5272</v>
      </c>
      <c r="R25" s="195">
        <v>5272</v>
      </c>
      <c r="S25" s="195">
        <v>5272</v>
      </c>
      <c r="T25" s="195">
        <v>5272</v>
      </c>
      <c r="U25" s="195">
        <v>5272</v>
      </c>
      <c r="V25" s="195">
        <v>5272</v>
      </c>
      <c r="W25" s="195">
        <v>15813</v>
      </c>
      <c r="X25" s="153">
        <f t="shared" si="1"/>
        <v>69989</v>
      </c>
      <c r="Z25" s="148"/>
      <c r="AA25" s="154"/>
    </row>
    <row r="26" spans="1:27" s="136" customFormat="1" x14ac:dyDescent="0.2">
      <c r="A26" s="415"/>
      <c r="B26" s="175" t="s">
        <v>712</v>
      </c>
      <c r="C26" s="432"/>
      <c r="D26" s="426"/>
      <c r="E26" s="437"/>
      <c r="F26" s="428"/>
      <c r="G26" s="156">
        <v>2.5000000000000001E-3</v>
      </c>
      <c r="H26" s="293">
        <v>177.41</v>
      </c>
      <c r="I26" s="176">
        <v>200</v>
      </c>
      <c r="J26" s="176">
        <v>210</v>
      </c>
      <c r="K26" s="176">
        <v>210</v>
      </c>
      <c r="L26" s="176">
        <v>205</v>
      </c>
      <c r="M26" s="176">
        <v>200</v>
      </c>
      <c r="N26" s="176">
        <v>190</v>
      </c>
      <c r="O26" s="176">
        <v>175</v>
      </c>
      <c r="P26" s="177">
        <v>160</v>
      </c>
      <c r="Q26" s="176">
        <v>145</v>
      </c>
      <c r="R26" s="176">
        <v>130</v>
      </c>
      <c r="S26" s="176">
        <v>110</v>
      </c>
      <c r="T26" s="176">
        <v>95</v>
      </c>
      <c r="U26" s="176">
        <v>80</v>
      </c>
      <c r="V26" s="176">
        <v>65</v>
      </c>
      <c r="W26" s="176">
        <v>90</v>
      </c>
      <c r="X26" s="159">
        <f t="shared" si="1"/>
        <v>2442.41</v>
      </c>
      <c r="Z26" s="148"/>
      <c r="AA26" s="154"/>
    </row>
    <row r="27" spans="1:27" s="136" customFormat="1" ht="12.75" customHeight="1" x14ac:dyDescent="0.2">
      <c r="A27" s="406">
        <v>11</v>
      </c>
      <c r="B27" s="169" t="s">
        <v>682</v>
      </c>
      <c r="C27" s="435" t="s">
        <v>713</v>
      </c>
      <c r="D27" s="435">
        <v>637</v>
      </c>
      <c r="E27" s="429">
        <v>212555.77</v>
      </c>
      <c r="F27" s="427" t="s">
        <v>714</v>
      </c>
      <c r="G27" s="150" t="s">
        <v>685</v>
      </c>
      <c r="H27" s="197"/>
      <c r="I27" s="190">
        <v>750</v>
      </c>
      <c r="J27" s="190">
        <v>1000</v>
      </c>
      <c r="K27" s="190">
        <v>1000</v>
      </c>
      <c r="L27" s="190">
        <v>2000</v>
      </c>
      <c r="M27" s="190">
        <v>2000</v>
      </c>
      <c r="N27" s="190">
        <v>2000</v>
      </c>
      <c r="O27" s="190">
        <v>5000</v>
      </c>
      <c r="P27" s="190">
        <v>19920</v>
      </c>
      <c r="Q27" s="190">
        <v>19920</v>
      </c>
      <c r="R27" s="190">
        <v>19920</v>
      </c>
      <c r="S27" s="190">
        <v>19920</v>
      </c>
      <c r="T27" s="190">
        <v>19920</v>
      </c>
      <c r="U27" s="197">
        <v>19920</v>
      </c>
      <c r="V27" s="198">
        <v>19920</v>
      </c>
      <c r="W27" s="198">
        <f>59365.77</f>
        <v>59365.77</v>
      </c>
      <c r="X27" s="153">
        <f t="shared" si="1"/>
        <v>212555.77</v>
      </c>
      <c r="Z27" s="148"/>
      <c r="AA27" s="154"/>
    </row>
    <row r="28" spans="1:27" s="136" customFormat="1" x14ac:dyDescent="0.2">
      <c r="A28" s="407"/>
      <c r="B28" s="175" t="s">
        <v>715</v>
      </c>
      <c r="C28" s="432"/>
      <c r="D28" s="432"/>
      <c r="E28" s="430"/>
      <c r="F28" s="428"/>
      <c r="G28" s="156">
        <v>2.5000000000000001E-3</v>
      </c>
      <c r="H28" s="293">
        <v>538.77</v>
      </c>
      <c r="I28" s="192">
        <v>570</v>
      </c>
      <c r="J28" s="192">
        <v>645</v>
      </c>
      <c r="K28" s="192">
        <v>645</v>
      </c>
      <c r="L28" s="192">
        <v>640</v>
      </c>
      <c r="M28" s="192">
        <v>635</v>
      </c>
      <c r="N28" s="192">
        <v>630</v>
      </c>
      <c r="O28" s="192">
        <v>620</v>
      </c>
      <c r="P28" s="192">
        <v>595</v>
      </c>
      <c r="Q28" s="192">
        <v>540</v>
      </c>
      <c r="R28" s="192">
        <v>475</v>
      </c>
      <c r="S28" s="192">
        <v>415</v>
      </c>
      <c r="T28" s="192">
        <v>355</v>
      </c>
      <c r="U28" s="192">
        <v>295</v>
      </c>
      <c r="V28" s="194">
        <v>235</v>
      </c>
      <c r="W28" s="194">
        <v>340</v>
      </c>
      <c r="X28" s="159">
        <f t="shared" si="1"/>
        <v>8173.77</v>
      </c>
      <c r="Z28" s="148"/>
      <c r="AA28" s="154"/>
    </row>
    <row r="29" spans="1:27" s="199" customFormat="1" ht="18" customHeight="1" x14ac:dyDescent="0.2">
      <c r="A29" s="414">
        <v>12</v>
      </c>
      <c r="B29" s="169" t="s">
        <v>682</v>
      </c>
      <c r="C29" s="435" t="s">
        <v>716</v>
      </c>
      <c r="D29" s="435">
        <v>638</v>
      </c>
      <c r="E29" s="429">
        <v>1496459</v>
      </c>
      <c r="F29" s="427" t="s">
        <v>717</v>
      </c>
      <c r="G29" s="150" t="s">
        <v>685</v>
      </c>
      <c r="H29" s="197"/>
      <c r="I29" s="190">
        <v>750</v>
      </c>
      <c r="J29" s="190">
        <v>1000</v>
      </c>
      <c r="K29" s="190">
        <v>3000</v>
      </c>
      <c r="L29" s="190">
        <v>5000</v>
      </c>
      <c r="M29" s="190">
        <v>5000</v>
      </c>
      <c r="N29" s="190">
        <v>10000</v>
      </c>
      <c r="O29" s="190">
        <v>20000</v>
      </c>
      <c r="P29" s="190">
        <v>50000</v>
      </c>
      <c r="Q29" s="190">
        <v>50000</v>
      </c>
      <c r="R29" s="190">
        <v>50000</v>
      </c>
      <c r="S29" s="190">
        <v>69458</v>
      </c>
      <c r="T29" s="190">
        <v>75944</v>
      </c>
      <c r="U29" s="197">
        <v>75944</v>
      </c>
      <c r="V29" s="198">
        <f>75944</f>
        <v>75944</v>
      </c>
      <c r="W29" s="198">
        <v>1004419</v>
      </c>
      <c r="X29" s="153">
        <f t="shared" si="1"/>
        <v>1496459</v>
      </c>
      <c r="Z29" s="148"/>
      <c r="AA29" s="154"/>
    </row>
    <row r="30" spans="1:27" s="199" customFormat="1" ht="18" customHeight="1" x14ac:dyDescent="0.2">
      <c r="A30" s="415"/>
      <c r="B30" s="175" t="s">
        <v>718</v>
      </c>
      <c r="C30" s="432"/>
      <c r="D30" s="432"/>
      <c r="E30" s="430"/>
      <c r="F30" s="428"/>
      <c r="G30" s="156">
        <v>2.5000000000000001E-3</v>
      </c>
      <c r="H30" s="293">
        <v>3793.11</v>
      </c>
      <c r="I30" s="192">
        <v>3995</v>
      </c>
      <c r="J30" s="192">
        <v>4550</v>
      </c>
      <c r="K30" s="192">
        <v>4545</v>
      </c>
      <c r="L30" s="192">
        <v>4535</v>
      </c>
      <c r="M30" s="192">
        <v>4535</v>
      </c>
      <c r="N30" s="192">
        <v>4505</v>
      </c>
      <c r="O30" s="192">
        <v>4470</v>
      </c>
      <c r="P30" s="192">
        <v>4390</v>
      </c>
      <c r="Q30" s="192">
        <v>4255</v>
      </c>
      <c r="R30" s="192">
        <v>4090</v>
      </c>
      <c r="S30" s="192">
        <v>3930</v>
      </c>
      <c r="T30" s="192">
        <v>3715</v>
      </c>
      <c r="U30" s="192">
        <v>3495</v>
      </c>
      <c r="V30" s="194">
        <v>3255</v>
      </c>
      <c r="W30" s="194">
        <v>21290</v>
      </c>
      <c r="X30" s="159">
        <f t="shared" si="1"/>
        <v>83348.11</v>
      </c>
      <c r="Z30" s="148"/>
      <c r="AA30" s="154"/>
    </row>
    <row r="31" spans="1:27" s="199" customFormat="1" x14ac:dyDescent="0.2">
      <c r="A31" s="423">
        <v>13</v>
      </c>
      <c r="B31" s="169" t="s">
        <v>682</v>
      </c>
      <c r="C31" s="435" t="s">
        <v>719</v>
      </c>
      <c r="D31" s="435">
        <v>639</v>
      </c>
      <c r="E31" s="429">
        <v>520249</v>
      </c>
      <c r="F31" s="427" t="s">
        <v>720</v>
      </c>
      <c r="G31" s="150" t="s">
        <v>685</v>
      </c>
      <c r="H31" s="197"/>
      <c r="I31" s="190">
        <v>300</v>
      </c>
      <c r="J31" s="190">
        <v>1000</v>
      </c>
      <c r="K31" s="190">
        <v>2000</v>
      </c>
      <c r="L31" s="190">
        <v>2000</v>
      </c>
      <c r="M31" s="190">
        <v>5000</v>
      </c>
      <c r="N31" s="190">
        <v>5000</v>
      </c>
      <c r="O31" s="190">
        <v>10000</v>
      </c>
      <c r="P31" s="190">
        <v>45000</v>
      </c>
      <c r="Q31" s="190">
        <v>45000</v>
      </c>
      <c r="R31" s="190">
        <v>45000</v>
      </c>
      <c r="S31" s="190">
        <v>45000</v>
      </c>
      <c r="T31" s="190">
        <v>45000</v>
      </c>
      <c r="U31" s="197">
        <v>45000</v>
      </c>
      <c r="V31" s="198">
        <v>45000</v>
      </c>
      <c r="W31" s="198">
        <f>179949</f>
        <v>179949</v>
      </c>
      <c r="X31" s="153">
        <f t="shared" si="1"/>
        <v>520249</v>
      </c>
      <c r="Z31" s="148"/>
      <c r="AA31" s="154"/>
    </row>
    <row r="32" spans="1:27" s="199" customFormat="1" x14ac:dyDescent="0.2">
      <c r="A32" s="424"/>
      <c r="B32" s="175" t="s">
        <v>721</v>
      </c>
      <c r="C32" s="432"/>
      <c r="D32" s="432"/>
      <c r="E32" s="430"/>
      <c r="F32" s="428"/>
      <c r="G32" s="156">
        <v>2.5000000000000001E-3</v>
      </c>
      <c r="H32" s="293">
        <v>1318.69</v>
      </c>
      <c r="I32" s="192">
        <v>1390</v>
      </c>
      <c r="J32" s="192">
        <v>1585</v>
      </c>
      <c r="K32" s="192">
        <v>1580</v>
      </c>
      <c r="L32" s="192">
        <v>1575</v>
      </c>
      <c r="M32" s="192">
        <v>1570</v>
      </c>
      <c r="N32" s="192">
        <v>1550</v>
      </c>
      <c r="O32" s="192">
        <v>1535</v>
      </c>
      <c r="P32" s="192">
        <v>1480</v>
      </c>
      <c r="Q32" s="192">
        <v>1355</v>
      </c>
      <c r="R32" s="192">
        <v>1215</v>
      </c>
      <c r="S32" s="192">
        <v>1075</v>
      </c>
      <c r="T32" s="192">
        <v>940</v>
      </c>
      <c r="U32" s="192">
        <v>805</v>
      </c>
      <c r="V32" s="194">
        <v>665</v>
      </c>
      <c r="W32" s="194">
        <v>1275</v>
      </c>
      <c r="X32" s="159">
        <f t="shared" si="1"/>
        <v>20913.690000000002</v>
      </c>
      <c r="Z32" s="148"/>
      <c r="AA32" s="154"/>
    </row>
    <row r="33" spans="1:27" s="136" customFormat="1" x14ac:dyDescent="0.2">
      <c r="A33" s="414">
        <v>14</v>
      </c>
      <c r="B33" s="169" t="s">
        <v>682</v>
      </c>
      <c r="C33" s="435" t="s">
        <v>722</v>
      </c>
      <c r="D33" s="435">
        <v>640</v>
      </c>
      <c r="E33" s="429">
        <f>409900-0.21</f>
        <v>409899.79</v>
      </c>
      <c r="F33" s="427" t="s">
        <v>723</v>
      </c>
      <c r="G33" s="150" t="s">
        <v>685</v>
      </c>
      <c r="H33" s="197"/>
      <c r="I33" s="190">
        <v>300</v>
      </c>
      <c r="J33" s="190">
        <v>1000</v>
      </c>
      <c r="K33" s="190">
        <v>2000</v>
      </c>
      <c r="L33" s="190">
        <v>2000</v>
      </c>
      <c r="M33" s="190">
        <v>5000</v>
      </c>
      <c r="N33" s="190">
        <v>5000</v>
      </c>
      <c r="O33" s="190">
        <v>10000</v>
      </c>
      <c r="P33" s="190">
        <v>34964</v>
      </c>
      <c r="Q33" s="190">
        <v>34964</v>
      </c>
      <c r="R33" s="190">
        <v>34964</v>
      </c>
      <c r="S33" s="190">
        <v>34964</v>
      </c>
      <c r="T33" s="190">
        <v>34964</v>
      </c>
      <c r="U33" s="197">
        <v>34964</v>
      </c>
      <c r="V33" s="198">
        <v>34964</v>
      </c>
      <c r="W33" s="198">
        <f>139852</f>
        <v>139852</v>
      </c>
      <c r="X33" s="153">
        <f t="shared" si="1"/>
        <v>409900</v>
      </c>
      <c r="Z33" s="148"/>
      <c r="AA33" s="154"/>
    </row>
    <row r="34" spans="1:27" s="136" customFormat="1" x14ac:dyDescent="0.2">
      <c r="A34" s="415"/>
      <c r="B34" s="175" t="s">
        <v>724</v>
      </c>
      <c r="C34" s="432"/>
      <c r="D34" s="432"/>
      <c r="E34" s="430"/>
      <c r="F34" s="428"/>
      <c r="G34" s="156">
        <v>2.5000000000000001E-3</v>
      </c>
      <c r="H34" s="293">
        <v>1038.98</v>
      </c>
      <c r="I34" s="192">
        <v>1045</v>
      </c>
      <c r="J34" s="192">
        <v>1250</v>
      </c>
      <c r="K34" s="192">
        <v>1245</v>
      </c>
      <c r="L34" s="192">
        <v>1240</v>
      </c>
      <c r="M34" s="192">
        <v>1235</v>
      </c>
      <c r="N34" s="192">
        <v>1215</v>
      </c>
      <c r="O34" s="192">
        <v>1195</v>
      </c>
      <c r="P34" s="192">
        <v>1150</v>
      </c>
      <c r="Q34" s="192">
        <v>1055</v>
      </c>
      <c r="R34" s="192">
        <v>945</v>
      </c>
      <c r="S34" s="192">
        <v>835</v>
      </c>
      <c r="T34" s="192">
        <v>730</v>
      </c>
      <c r="U34" s="192">
        <v>625</v>
      </c>
      <c r="V34" s="194">
        <v>520</v>
      </c>
      <c r="W34" s="194">
        <v>1005</v>
      </c>
      <c r="X34" s="159">
        <f t="shared" si="1"/>
        <v>16328.98</v>
      </c>
      <c r="Z34" s="148"/>
      <c r="AA34" s="154"/>
    </row>
    <row r="35" spans="1:27" s="136" customFormat="1" ht="17.25" customHeight="1" x14ac:dyDescent="0.2">
      <c r="A35" s="423">
        <v>15</v>
      </c>
      <c r="B35" s="169" t="s">
        <v>682</v>
      </c>
      <c r="C35" s="438" t="s">
        <v>725</v>
      </c>
      <c r="D35" s="435">
        <v>641</v>
      </c>
      <c r="E35" s="429">
        <f>157928-30001.8</f>
        <v>127926.2</v>
      </c>
      <c r="F35" s="427" t="s">
        <v>726</v>
      </c>
      <c r="G35" s="150" t="s">
        <v>685</v>
      </c>
      <c r="H35" s="173">
        <v>12150</v>
      </c>
      <c r="I35" s="195">
        <v>38592</v>
      </c>
      <c r="J35" s="195">
        <v>38592</v>
      </c>
      <c r="K35" s="172">
        <v>38592.199999999997</v>
      </c>
      <c r="L35" s="195"/>
      <c r="M35" s="195"/>
      <c r="N35" s="195"/>
      <c r="O35" s="195"/>
      <c r="P35" s="196"/>
      <c r="Q35" s="195"/>
      <c r="R35" s="195"/>
      <c r="S35" s="195"/>
      <c r="T35" s="195"/>
      <c r="U35" s="195"/>
      <c r="V35" s="200"/>
      <c r="W35" s="200"/>
      <c r="X35" s="153">
        <f t="shared" si="1"/>
        <v>127926.2</v>
      </c>
      <c r="Z35" s="148"/>
      <c r="AA35" s="154"/>
    </row>
    <row r="36" spans="1:27" s="136" customFormat="1" ht="17.25" customHeight="1" x14ac:dyDescent="0.2">
      <c r="A36" s="424"/>
      <c r="B36" s="175" t="s">
        <v>727</v>
      </c>
      <c r="C36" s="439"/>
      <c r="D36" s="432"/>
      <c r="E36" s="430"/>
      <c r="F36" s="428"/>
      <c r="G36" s="156">
        <v>2.5000000000000001E-3</v>
      </c>
      <c r="H36" s="253">
        <v>324.25</v>
      </c>
      <c r="I36" s="176">
        <v>285</v>
      </c>
      <c r="J36" s="176">
        <v>220</v>
      </c>
      <c r="K36" s="176">
        <f>100+10</f>
        <v>110</v>
      </c>
      <c r="L36" s="176"/>
      <c r="M36" s="176"/>
      <c r="N36" s="176"/>
      <c r="O36" s="176"/>
      <c r="P36" s="177"/>
      <c r="Q36" s="176"/>
      <c r="R36" s="176"/>
      <c r="S36" s="176"/>
      <c r="T36" s="176"/>
      <c r="U36" s="176"/>
      <c r="V36" s="178"/>
      <c r="W36" s="178"/>
      <c r="X36" s="159">
        <f t="shared" si="1"/>
        <v>939.25</v>
      </c>
      <c r="Z36" s="148"/>
      <c r="AA36" s="154"/>
    </row>
    <row r="37" spans="1:27" s="136" customFormat="1" x14ac:dyDescent="0.2">
      <c r="A37" s="414">
        <v>16</v>
      </c>
      <c r="B37" s="169" t="s">
        <v>682</v>
      </c>
      <c r="C37" s="438" t="s">
        <v>728</v>
      </c>
      <c r="D37" s="435">
        <v>642</v>
      </c>
      <c r="E37" s="429">
        <f>231313-0.12</f>
        <v>231312.88</v>
      </c>
      <c r="F37" s="427" t="s">
        <v>729</v>
      </c>
      <c r="G37" s="150" t="s">
        <v>685</v>
      </c>
      <c r="H37" s="171"/>
      <c r="I37" s="195">
        <v>0</v>
      </c>
      <c r="J37" s="195">
        <v>6000</v>
      </c>
      <c r="K37" s="195">
        <v>6000</v>
      </c>
      <c r="L37" s="195">
        <v>14620</v>
      </c>
      <c r="M37" s="195">
        <v>14620</v>
      </c>
      <c r="N37" s="195">
        <v>14620</v>
      </c>
      <c r="O37" s="195">
        <v>14620</v>
      </c>
      <c r="P37" s="151">
        <v>14620</v>
      </c>
      <c r="Q37" s="195">
        <v>14620</v>
      </c>
      <c r="R37" s="195">
        <v>14620</v>
      </c>
      <c r="S37" s="195">
        <v>14620</v>
      </c>
      <c r="T37" s="195">
        <v>14620</v>
      </c>
      <c r="U37" s="195">
        <v>14620</v>
      </c>
      <c r="V37" s="195">
        <f>14620</f>
        <v>14620</v>
      </c>
      <c r="W37" s="195">
        <f>58493</f>
        <v>58493</v>
      </c>
      <c r="X37" s="153">
        <f t="shared" si="1"/>
        <v>231313</v>
      </c>
      <c r="Z37" s="148"/>
      <c r="AA37" s="154"/>
    </row>
    <row r="38" spans="1:27" s="136" customFormat="1" ht="15" customHeight="1" x14ac:dyDescent="0.2">
      <c r="A38" s="415"/>
      <c r="B38" s="175" t="s">
        <v>730</v>
      </c>
      <c r="C38" s="439"/>
      <c r="D38" s="432"/>
      <c r="E38" s="430"/>
      <c r="F38" s="428"/>
      <c r="G38" s="156">
        <v>2.5000000000000001E-3</v>
      </c>
      <c r="H38" s="287">
        <v>586.30999999999995</v>
      </c>
      <c r="I38" s="176">
        <v>680</v>
      </c>
      <c r="J38" s="176">
        <v>700</v>
      </c>
      <c r="K38" s="176">
        <v>685</v>
      </c>
      <c r="L38" s="176">
        <v>660</v>
      </c>
      <c r="M38" s="176">
        <v>620</v>
      </c>
      <c r="N38" s="176">
        <v>575</v>
      </c>
      <c r="O38" s="176">
        <v>530</v>
      </c>
      <c r="P38" s="157">
        <v>485</v>
      </c>
      <c r="Q38" s="176">
        <v>440</v>
      </c>
      <c r="R38" s="176">
        <v>395</v>
      </c>
      <c r="S38" s="176">
        <v>350</v>
      </c>
      <c r="T38" s="176">
        <v>305</v>
      </c>
      <c r="U38" s="176">
        <v>265</v>
      </c>
      <c r="V38" s="176">
        <v>220</v>
      </c>
      <c r="W38" s="176">
        <v>425</v>
      </c>
      <c r="X38" s="159">
        <f t="shared" si="1"/>
        <v>7921.3099999999995</v>
      </c>
      <c r="Z38" s="148"/>
      <c r="AA38" s="154"/>
    </row>
    <row r="39" spans="1:27" s="136" customFormat="1" ht="15.75" customHeight="1" x14ac:dyDescent="0.2">
      <c r="A39" s="423">
        <v>17</v>
      </c>
      <c r="B39" s="169" t="s">
        <v>682</v>
      </c>
      <c r="C39" s="438" t="s">
        <v>731</v>
      </c>
      <c r="D39" s="435">
        <v>643</v>
      </c>
      <c r="E39" s="429">
        <f>65353+64222+85311-80000</f>
        <v>134886</v>
      </c>
      <c r="F39" s="427" t="s">
        <v>732</v>
      </c>
      <c r="G39" s="150" t="s">
        <v>685</v>
      </c>
      <c r="H39" s="171"/>
      <c r="I39" s="151"/>
      <c r="J39" s="151">
        <v>500</v>
      </c>
      <c r="K39" s="151">
        <v>1000</v>
      </c>
      <c r="L39" s="151">
        <v>2000</v>
      </c>
      <c r="M39" s="151">
        <v>32848</v>
      </c>
      <c r="N39" s="151">
        <v>32848</v>
      </c>
      <c r="O39" s="151">
        <v>32848</v>
      </c>
      <c r="P39" s="151">
        <v>32842</v>
      </c>
      <c r="Q39" s="195"/>
      <c r="R39" s="195"/>
      <c r="S39" s="195"/>
      <c r="T39" s="195"/>
      <c r="U39" s="195"/>
      <c r="V39" s="200"/>
      <c r="W39" s="200"/>
      <c r="X39" s="153">
        <f t="shared" si="1"/>
        <v>134886</v>
      </c>
      <c r="Z39" s="148"/>
      <c r="AA39" s="154"/>
    </row>
    <row r="40" spans="1:27" s="136" customFormat="1" ht="15.75" customHeight="1" x14ac:dyDescent="0.2">
      <c r="A40" s="424"/>
      <c r="B40" s="175" t="s">
        <v>733</v>
      </c>
      <c r="C40" s="439"/>
      <c r="D40" s="432"/>
      <c r="E40" s="430"/>
      <c r="F40" s="428"/>
      <c r="G40" s="156">
        <v>2.5000000000000001E-3</v>
      </c>
      <c r="H40" s="287">
        <v>323.81</v>
      </c>
      <c r="I40" s="157">
        <v>395</v>
      </c>
      <c r="J40" s="157">
        <v>410</v>
      </c>
      <c r="K40" s="157">
        <v>410</v>
      </c>
      <c r="L40" s="157">
        <v>405</v>
      </c>
      <c r="M40" s="157">
        <v>385</v>
      </c>
      <c r="N40" s="157">
        <v>285</v>
      </c>
      <c r="O40" s="157">
        <v>185</v>
      </c>
      <c r="P40" s="157">
        <f>85+10</f>
        <v>95</v>
      </c>
      <c r="Q40" s="176"/>
      <c r="R40" s="176"/>
      <c r="S40" s="176"/>
      <c r="T40" s="176"/>
      <c r="U40" s="176"/>
      <c r="V40" s="178"/>
      <c r="W40" s="178"/>
      <c r="X40" s="159">
        <f t="shared" si="1"/>
        <v>2893.81</v>
      </c>
      <c r="Z40" s="148"/>
      <c r="AA40" s="154"/>
    </row>
    <row r="41" spans="1:27" s="136" customFormat="1" x14ac:dyDescent="0.2">
      <c r="A41" s="414">
        <v>18</v>
      </c>
      <c r="B41" s="169" t="s">
        <v>682</v>
      </c>
      <c r="C41" s="435" t="s">
        <v>734</v>
      </c>
      <c r="D41" s="435">
        <v>644</v>
      </c>
      <c r="E41" s="429">
        <f>1188567-257831-28891.82</f>
        <v>901844.18</v>
      </c>
      <c r="F41" s="427" t="s">
        <v>735</v>
      </c>
      <c r="G41" s="150" t="s">
        <v>685</v>
      </c>
      <c r="H41" s="171"/>
      <c r="I41" s="151"/>
      <c r="J41" s="171">
        <v>375.18</v>
      </c>
      <c r="K41" s="151">
        <v>1000</v>
      </c>
      <c r="L41" s="151">
        <v>2000</v>
      </c>
      <c r="M41" s="151">
        <v>6000</v>
      </c>
      <c r="N41" s="151">
        <v>10000</v>
      </c>
      <c r="O41" s="151">
        <v>16000</v>
      </c>
      <c r="P41" s="151">
        <v>40780</v>
      </c>
      <c r="Q41" s="151">
        <v>40780</v>
      </c>
      <c r="R41" s="151">
        <v>40780</v>
      </c>
      <c r="S41" s="151">
        <v>40780</v>
      </c>
      <c r="T41" s="151">
        <v>40780</v>
      </c>
      <c r="U41" s="151">
        <v>40780</v>
      </c>
      <c r="V41" s="151">
        <v>40780</v>
      </c>
      <c r="W41" s="152">
        <v>581009</v>
      </c>
      <c r="X41" s="153">
        <f t="shared" si="1"/>
        <v>901844.17999999993</v>
      </c>
      <c r="Z41" s="148"/>
      <c r="AA41" s="154"/>
    </row>
    <row r="42" spans="1:27" s="136" customFormat="1" x14ac:dyDescent="0.2">
      <c r="A42" s="415"/>
      <c r="B42" s="155" t="s">
        <v>736</v>
      </c>
      <c r="C42" s="432"/>
      <c r="D42" s="432"/>
      <c r="E42" s="430"/>
      <c r="F42" s="428"/>
      <c r="G42" s="156">
        <v>2.5000000000000001E-3</v>
      </c>
      <c r="H42" s="287">
        <v>1965.19</v>
      </c>
      <c r="I42" s="157">
        <v>2525</v>
      </c>
      <c r="J42" s="157">
        <v>2745</v>
      </c>
      <c r="K42" s="157">
        <v>2745</v>
      </c>
      <c r="L42" s="157">
        <v>2740</v>
      </c>
      <c r="M42" s="157">
        <v>2740</v>
      </c>
      <c r="N42" s="157">
        <v>2710</v>
      </c>
      <c r="O42" s="157">
        <v>2680</v>
      </c>
      <c r="P42" s="157">
        <v>2615</v>
      </c>
      <c r="Q42" s="157">
        <v>2500</v>
      </c>
      <c r="R42" s="157">
        <v>2370</v>
      </c>
      <c r="S42" s="157">
        <v>2245</v>
      </c>
      <c r="T42" s="157">
        <v>2125</v>
      </c>
      <c r="U42" s="157">
        <v>2005</v>
      </c>
      <c r="V42" s="157">
        <v>1875</v>
      </c>
      <c r="W42" s="158">
        <v>13220</v>
      </c>
      <c r="X42" s="159">
        <f t="shared" si="1"/>
        <v>49805.19</v>
      </c>
      <c r="Z42" s="148"/>
      <c r="AA42" s="154"/>
    </row>
    <row r="43" spans="1:27" s="136" customFormat="1" x14ac:dyDescent="0.2">
      <c r="A43" s="423">
        <v>19</v>
      </c>
      <c r="B43" s="169" t="s">
        <v>682</v>
      </c>
      <c r="C43" s="435" t="s">
        <v>737</v>
      </c>
      <c r="D43" s="435">
        <v>645</v>
      </c>
      <c r="E43" s="429">
        <v>785535</v>
      </c>
      <c r="F43" s="427" t="s">
        <v>738</v>
      </c>
      <c r="G43" s="150" t="s">
        <v>685</v>
      </c>
      <c r="H43" s="171"/>
      <c r="I43" s="151"/>
      <c r="J43" s="151">
        <v>375</v>
      </c>
      <c r="K43" s="151">
        <v>2000</v>
      </c>
      <c r="L43" s="151">
        <v>4000</v>
      </c>
      <c r="M43" s="151">
        <v>6000</v>
      </c>
      <c r="N43" s="151">
        <v>10000</v>
      </c>
      <c r="O43" s="151">
        <v>20000</v>
      </c>
      <c r="P43" s="151">
        <v>66200</v>
      </c>
      <c r="Q43" s="151">
        <v>66200</v>
      </c>
      <c r="R43" s="151">
        <v>66200</v>
      </c>
      <c r="S43" s="151">
        <v>66200</v>
      </c>
      <c r="T43" s="151">
        <v>66200</v>
      </c>
      <c r="U43" s="151">
        <v>66200</v>
      </c>
      <c r="V43" s="151">
        <v>66200</v>
      </c>
      <c r="W43" s="152">
        <v>279760</v>
      </c>
      <c r="X43" s="153">
        <f t="shared" si="1"/>
        <v>785535</v>
      </c>
      <c r="Z43" s="148"/>
      <c r="AA43" s="154"/>
    </row>
    <row r="44" spans="1:27" s="136" customFormat="1" x14ac:dyDescent="0.2">
      <c r="A44" s="424"/>
      <c r="B44" s="155" t="s">
        <v>739</v>
      </c>
      <c r="C44" s="432"/>
      <c r="D44" s="432"/>
      <c r="E44" s="430"/>
      <c r="F44" s="428"/>
      <c r="G44" s="156">
        <v>2.5000000000000001E-3</v>
      </c>
      <c r="H44" s="287">
        <v>1930.52</v>
      </c>
      <c r="I44" s="157">
        <v>2100</v>
      </c>
      <c r="J44" s="157">
        <v>2390</v>
      </c>
      <c r="K44" s="157">
        <v>2390</v>
      </c>
      <c r="L44" s="157">
        <v>2380</v>
      </c>
      <c r="M44" s="157">
        <v>2375</v>
      </c>
      <c r="N44" s="157">
        <v>2350</v>
      </c>
      <c r="O44" s="157">
        <v>2315</v>
      </c>
      <c r="P44" s="157">
        <v>2225</v>
      </c>
      <c r="Q44" s="157">
        <v>2035</v>
      </c>
      <c r="R44" s="157">
        <v>1830</v>
      </c>
      <c r="S44" s="157">
        <v>1630</v>
      </c>
      <c r="T44" s="157">
        <v>1425</v>
      </c>
      <c r="U44" s="157">
        <v>1230</v>
      </c>
      <c r="V44" s="157">
        <v>1025</v>
      </c>
      <c r="W44" s="158">
        <v>2110</v>
      </c>
      <c r="X44" s="159">
        <f t="shared" si="1"/>
        <v>31740.52</v>
      </c>
      <c r="Z44" s="148"/>
      <c r="AA44" s="154"/>
    </row>
    <row r="45" spans="1:27" s="136" customFormat="1" ht="22.5" customHeight="1" x14ac:dyDescent="0.2">
      <c r="A45" s="414">
        <v>20</v>
      </c>
      <c r="B45" s="149" t="s">
        <v>682</v>
      </c>
      <c r="C45" s="408" t="s">
        <v>740</v>
      </c>
      <c r="D45" s="408">
        <v>646</v>
      </c>
      <c r="E45" s="440">
        <f>2223157+31089</f>
        <v>2254246</v>
      </c>
      <c r="F45" s="412" t="s">
        <v>741</v>
      </c>
      <c r="G45" s="150" t="s">
        <v>685</v>
      </c>
      <c r="H45" s="171"/>
      <c r="I45" s="151"/>
      <c r="J45" s="151">
        <v>1500</v>
      </c>
      <c r="K45" s="151">
        <v>4000</v>
      </c>
      <c r="L45" s="151">
        <v>6000</v>
      </c>
      <c r="M45" s="151">
        <v>10000</v>
      </c>
      <c r="N45" s="151">
        <v>20000</v>
      </c>
      <c r="O45" s="151">
        <v>40000</v>
      </c>
      <c r="P45" s="151">
        <v>102248</v>
      </c>
      <c r="Q45" s="151">
        <v>102248</v>
      </c>
      <c r="R45" s="151">
        <v>102248</v>
      </c>
      <c r="S45" s="151">
        <v>102248</v>
      </c>
      <c r="T45" s="151">
        <v>102248</v>
      </c>
      <c r="U45" s="151">
        <v>102248</v>
      </c>
      <c r="V45" s="151">
        <v>102248</v>
      </c>
      <c r="W45" s="152">
        <v>1457010</v>
      </c>
      <c r="X45" s="153">
        <f t="shared" si="1"/>
        <v>2254246</v>
      </c>
      <c r="Z45" s="148"/>
      <c r="AA45" s="154"/>
    </row>
    <row r="46" spans="1:27" s="136" customFormat="1" ht="21" customHeight="1" x14ac:dyDescent="0.2">
      <c r="A46" s="415"/>
      <c r="B46" s="155" t="s">
        <v>742</v>
      </c>
      <c r="C46" s="409"/>
      <c r="D46" s="409"/>
      <c r="E46" s="441"/>
      <c r="F46" s="413"/>
      <c r="G46" s="156">
        <v>2.5000000000000001E-3</v>
      </c>
      <c r="H46" s="287">
        <v>2062.7399999999998</v>
      </c>
      <c r="I46" s="157">
        <v>5580</v>
      </c>
      <c r="J46" s="157">
        <v>6860</v>
      </c>
      <c r="K46" s="157">
        <v>6850</v>
      </c>
      <c r="L46" s="157">
        <v>6840</v>
      </c>
      <c r="M46" s="157">
        <v>6840</v>
      </c>
      <c r="N46" s="157">
        <v>6785</v>
      </c>
      <c r="O46" s="157">
        <v>6710</v>
      </c>
      <c r="P46" s="157">
        <v>6555</v>
      </c>
      <c r="Q46" s="157">
        <v>6270</v>
      </c>
      <c r="R46" s="157">
        <v>5940</v>
      </c>
      <c r="S46" s="157">
        <v>5630</v>
      </c>
      <c r="T46" s="157">
        <v>5320</v>
      </c>
      <c r="U46" s="157">
        <v>5020</v>
      </c>
      <c r="V46" s="157">
        <v>4695</v>
      </c>
      <c r="W46" s="158">
        <v>33150</v>
      </c>
      <c r="X46" s="159">
        <f t="shared" si="1"/>
        <v>121107.73999999999</v>
      </c>
      <c r="Z46" s="148"/>
      <c r="AA46" s="154"/>
    </row>
    <row r="47" spans="1:27" s="136" customFormat="1" ht="18" customHeight="1" x14ac:dyDescent="0.2">
      <c r="A47" s="406">
        <v>21</v>
      </c>
      <c r="B47" s="149" t="s">
        <v>682</v>
      </c>
      <c r="C47" s="408" t="s">
        <v>405</v>
      </c>
      <c r="D47" s="408">
        <v>647</v>
      </c>
      <c r="E47" s="410">
        <v>1632032</v>
      </c>
      <c r="F47" s="412" t="s">
        <v>741</v>
      </c>
      <c r="G47" s="150" t="s">
        <v>685</v>
      </c>
      <c r="H47" s="301">
        <f>90095.7</f>
        <v>90095.7</v>
      </c>
      <c r="I47" s="151"/>
      <c r="J47" s="171">
        <v>375.3</v>
      </c>
      <c r="K47" s="151">
        <v>2000</v>
      </c>
      <c r="L47" s="151">
        <v>6000</v>
      </c>
      <c r="M47" s="151">
        <v>20000</v>
      </c>
      <c r="N47" s="151">
        <v>40000</v>
      </c>
      <c r="O47" s="151">
        <v>60000</v>
      </c>
      <c r="P47" s="151">
        <v>66520</v>
      </c>
      <c r="Q47" s="151">
        <v>66520</v>
      </c>
      <c r="R47" s="151">
        <v>66520</v>
      </c>
      <c r="S47" s="151">
        <v>66520</v>
      </c>
      <c r="T47" s="151">
        <v>66520</v>
      </c>
      <c r="U47" s="151">
        <v>66520</v>
      </c>
      <c r="V47" s="151">
        <v>66520</v>
      </c>
      <c r="W47" s="152">
        <v>947921</v>
      </c>
      <c r="X47" s="153">
        <f t="shared" si="1"/>
        <v>1632032</v>
      </c>
      <c r="Z47" s="148"/>
      <c r="AA47" s="154"/>
    </row>
    <row r="48" spans="1:27" s="136" customFormat="1" ht="15.75" customHeight="1" x14ac:dyDescent="0.2">
      <c r="A48" s="407"/>
      <c r="B48" s="155" t="s">
        <v>743</v>
      </c>
      <c r="C48" s="409"/>
      <c r="D48" s="409"/>
      <c r="E48" s="411"/>
      <c r="F48" s="413"/>
      <c r="G48" s="156">
        <v>2.5000000000000001E-3</v>
      </c>
      <c r="H48" s="287">
        <v>1085.68</v>
      </c>
      <c r="I48" s="157">
        <v>4120</v>
      </c>
      <c r="J48" s="157">
        <v>4690</v>
      </c>
      <c r="K48" s="157">
        <v>4690</v>
      </c>
      <c r="L48" s="157">
        <v>4680</v>
      </c>
      <c r="M48" s="157">
        <v>4670</v>
      </c>
      <c r="N48" s="157">
        <v>4585</v>
      </c>
      <c r="O48" s="157">
        <v>4455</v>
      </c>
      <c r="P48" s="157">
        <v>4270</v>
      </c>
      <c r="Q48" s="157">
        <v>4080</v>
      </c>
      <c r="R48" s="157">
        <v>3865</v>
      </c>
      <c r="S48" s="157">
        <v>3665</v>
      </c>
      <c r="T48" s="157">
        <v>3460</v>
      </c>
      <c r="U48" s="157">
        <v>3270</v>
      </c>
      <c r="V48" s="157">
        <v>3055</v>
      </c>
      <c r="W48" s="158">
        <v>21570</v>
      </c>
      <c r="X48" s="159">
        <f t="shared" si="1"/>
        <v>80210.679999999993</v>
      </c>
      <c r="Z48" s="148"/>
      <c r="AA48" s="154"/>
    </row>
    <row r="49" spans="1:27" s="136" customFormat="1" ht="18.75" customHeight="1" x14ac:dyDescent="0.2">
      <c r="A49" s="414">
        <v>22</v>
      </c>
      <c r="B49" s="149" t="s">
        <v>682</v>
      </c>
      <c r="C49" s="435" t="s">
        <v>744</v>
      </c>
      <c r="D49" s="435">
        <v>649</v>
      </c>
      <c r="E49" s="433">
        <f>1181972+164205</f>
        <v>1346177</v>
      </c>
      <c r="F49" s="427" t="s">
        <v>745</v>
      </c>
      <c r="G49" s="150" t="s">
        <v>685</v>
      </c>
      <c r="H49" s="294"/>
      <c r="I49" s="151"/>
      <c r="J49" s="151">
        <v>500</v>
      </c>
      <c r="K49" s="151">
        <v>2000</v>
      </c>
      <c r="L49" s="151">
        <v>6000</v>
      </c>
      <c r="M49" s="151">
        <v>10000</v>
      </c>
      <c r="N49" s="151">
        <v>20000</v>
      </c>
      <c r="O49" s="151">
        <v>40000</v>
      </c>
      <c r="P49" s="151">
        <v>51324</v>
      </c>
      <c r="Q49" s="151">
        <v>59336</v>
      </c>
      <c r="R49" s="151">
        <v>59336</v>
      </c>
      <c r="S49" s="151">
        <v>59336</v>
      </c>
      <c r="T49" s="151">
        <v>59336</v>
      </c>
      <c r="U49" s="151">
        <v>59336</v>
      </c>
      <c r="V49" s="151">
        <v>59336</v>
      </c>
      <c r="W49" s="152">
        <v>860337</v>
      </c>
      <c r="X49" s="153">
        <f t="shared" si="1"/>
        <v>1346177</v>
      </c>
      <c r="Z49" s="148"/>
      <c r="AA49" s="154"/>
    </row>
    <row r="50" spans="1:27" s="136" customFormat="1" ht="15" customHeight="1" x14ac:dyDescent="0.2">
      <c r="A50" s="415"/>
      <c r="B50" s="155" t="s">
        <v>746</v>
      </c>
      <c r="C50" s="432"/>
      <c r="D50" s="432"/>
      <c r="E50" s="434"/>
      <c r="F50" s="428"/>
      <c r="G50" s="156">
        <v>2.5000000000000001E-3</v>
      </c>
      <c r="H50" s="295">
        <v>3023.45</v>
      </c>
      <c r="I50" s="157">
        <v>3595</v>
      </c>
      <c r="J50" s="157">
        <v>4095</v>
      </c>
      <c r="K50" s="157">
        <v>4095</v>
      </c>
      <c r="L50" s="157">
        <v>4085</v>
      </c>
      <c r="M50" s="157">
        <v>4075</v>
      </c>
      <c r="N50" s="157">
        <v>4030</v>
      </c>
      <c r="O50" s="157">
        <v>3960</v>
      </c>
      <c r="P50" s="157">
        <v>3830</v>
      </c>
      <c r="Q50" s="157">
        <v>3685</v>
      </c>
      <c r="R50" s="157">
        <v>3495</v>
      </c>
      <c r="S50" s="157">
        <v>3315</v>
      </c>
      <c r="T50" s="157">
        <v>3135</v>
      </c>
      <c r="U50" s="157">
        <v>2960</v>
      </c>
      <c r="V50" s="157">
        <v>2770</v>
      </c>
      <c r="W50" s="158">
        <v>19900</v>
      </c>
      <c r="X50" s="159">
        <f t="shared" si="1"/>
        <v>74048.45</v>
      </c>
      <c r="Z50" s="148"/>
      <c r="AA50" s="154"/>
    </row>
    <row r="51" spans="1:27" s="136" customFormat="1" x14ac:dyDescent="0.2">
      <c r="A51" s="423">
        <v>23</v>
      </c>
      <c r="B51" s="149" t="s">
        <v>682</v>
      </c>
      <c r="C51" s="435" t="s">
        <v>747</v>
      </c>
      <c r="D51" s="435">
        <v>650</v>
      </c>
      <c r="E51" s="429">
        <f>1108154-97425</f>
        <v>1010729</v>
      </c>
      <c r="F51" s="427" t="s">
        <v>748</v>
      </c>
      <c r="G51" s="150" t="s">
        <v>685</v>
      </c>
      <c r="H51" s="171"/>
      <c r="I51" s="151"/>
      <c r="J51" s="151">
        <v>750</v>
      </c>
      <c r="K51" s="151">
        <v>2000</v>
      </c>
      <c r="L51" s="151">
        <v>4000</v>
      </c>
      <c r="M51" s="151">
        <v>10000</v>
      </c>
      <c r="N51" s="151">
        <v>20000</v>
      </c>
      <c r="O51" s="151">
        <v>32000</v>
      </c>
      <c r="P51" s="151">
        <v>44340</v>
      </c>
      <c r="Q51" s="151">
        <v>44340</v>
      </c>
      <c r="R51" s="151">
        <v>44340</v>
      </c>
      <c r="S51" s="151">
        <v>44340</v>
      </c>
      <c r="T51" s="151">
        <v>44340</v>
      </c>
      <c r="U51" s="151">
        <v>44340</v>
      </c>
      <c r="V51" s="151">
        <v>44340</v>
      </c>
      <c r="W51" s="152">
        <v>631599</v>
      </c>
      <c r="X51" s="153">
        <f t="shared" si="1"/>
        <v>1010729</v>
      </c>
      <c r="Z51" s="148"/>
      <c r="AA51" s="154"/>
    </row>
    <row r="52" spans="1:27" s="136" customFormat="1" x14ac:dyDescent="0.2">
      <c r="A52" s="424"/>
      <c r="B52" s="155" t="s">
        <v>749</v>
      </c>
      <c r="C52" s="432"/>
      <c r="D52" s="432"/>
      <c r="E52" s="430"/>
      <c r="F52" s="428"/>
      <c r="G52" s="156">
        <v>2.5000000000000001E-3</v>
      </c>
      <c r="H52" s="287">
        <v>783.15</v>
      </c>
      <c r="I52" s="157">
        <v>2545</v>
      </c>
      <c r="J52" s="157">
        <v>3075</v>
      </c>
      <c r="K52" s="157">
        <v>3075</v>
      </c>
      <c r="L52" s="157">
        <v>3065</v>
      </c>
      <c r="M52" s="157">
        <v>3060</v>
      </c>
      <c r="N52" s="157">
        <v>3015</v>
      </c>
      <c r="O52" s="157">
        <v>2950</v>
      </c>
      <c r="P52" s="157">
        <v>2845</v>
      </c>
      <c r="Q52" s="157">
        <v>2720</v>
      </c>
      <c r="R52" s="157">
        <v>2575</v>
      </c>
      <c r="S52" s="157">
        <v>2440</v>
      </c>
      <c r="T52" s="157">
        <v>2305</v>
      </c>
      <c r="U52" s="157">
        <v>2180</v>
      </c>
      <c r="V52" s="157">
        <v>2040</v>
      </c>
      <c r="W52" s="158">
        <v>14365</v>
      </c>
      <c r="X52" s="159">
        <f t="shared" si="1"/>
        <v>53038.15</v>
      </c>
      <c r="Z52" s="148"/>
      <c r="AA52" s="154"/>
    </row>
    <row r="53" spans="1:27" s="136" customFormat="1" ht="12.75" customHeight="1" x14ac:dyDescent="0.2">
      <c r="A53" s="414">
        <v>24</v>
      </c>
      <c r="B53" s="149" t="s">
        <v>682</v>
      </c>
      <c r="C53" s="435" t="s">
        <v>750</v>
      </c>
      <c r="D53" s="435">
        <v>651</v>
      </c>
      <c r="E53" s="429">
        <f>225000-4003.53</f>
        <v>220996.47</v>
      </c>
      <c r="F53" s="427" t="s">
        <v>751</v>
      </c>
      <c r="G53" s="150" t="s">
        <v>685</v>
      </c>
      <c r="H53" s="171"/>
      <c r="I53" s="151"/>
      <c r="J53" s="151">
        <v>375</v>
      </c>
      <c r="K53" s="151">
        <v>2000</v>
      </c>
      <c r="L53" s="151">
        <v>4000</v>
      </c>
      <c r="M53" s="151">
        <v>6000</v>
      </c>
      <c r="N53" s="151">
        <v>8000</v>
      </c>
      <c r="O53" s="151">
        <v>16380</v>
      </c>
      <c r="P53" s="151">
        <v>16380</v>
      </c>
      <c r="Q53" s="151">
        <v>16380</v>
      </c>
      <c r="R53" s="151">
        <v>16380</v>
      </c>
      <c r="S53" s="151">
        <v>16380</v>
      </c>
      <c r="T53" s="151">
        <v>16380</v>
      </c>
      <c r="U53" s="151">
        <v>16380</v>
      </c>
      <c r="V53" s="151">
        <v>16380</v>
      </c>
      <c r="W53" s="152">
        <v>69581.47</v>
      </c>
      <c r="X53" s="153">
        <f t="shared" si="1"/>
        <v>220996.47</v>
      </c>
      <c r="Z53" s="148"/>
      <c r="AA53" s="154"/>
    </row>
    <row r="54" spans="1:27" s="136" customFormat="1" x14ac:dyDescent="0.2">
      <c r="A54" s="415"/>
      <c r="B54" s="155" t="s">
        <v>752</v>
      </c>
      <c r="C54" s="432"/>
      <c r="D54" s="432"/>
      <c r="E54" s="430"/>
      <c r="F54" s="428"/>
      <c r="G54" s="156">
        <v>2.5000000000000001E-3</v>
      </c>
      <c r="H54" s="287">
        <v>555.62</v>
      </c>
      <c r="I54" s="157">
        <v>590</v>
      </c>
      <c r="J54" s="157">
        <v>675</v>
      </c>
      <c r="K54" s="157">
        <v>670</v>
      </c>
      <c r="L54" s="157">
        <v>665</v>
      </c>
      <c r="M54" s="157">
        <v>655</v>
      </c>
      <c r="N54" s="157">
        <v>635</v>
      </c>
      <c r="O54" s="157">
        <v>605</v>
      </c>
      <c r="P54" s="157">
        <v>555</v>
      </c>
      <c r="Q54" s="157">
        <v>505</v>
      </c>
      <c r="R54" s="157">
        <v>455</v>
      </c>
      <c r="S54" s="157">
        <v>405</v>
      </c>
      <c r="T54" s="157">
        <v>355</v>
      </c>
      <c r="U54" s="157">
        <v>305</v>
      </c>
      <c r="V54" s="157">
        <v>255</v>
      </c>
      <c r="W54" s="158">
        <v>525</v>
      </c>
      <c r="X54" s="159">
        <f t="shared" si="1"/>
        <v>8410.619999999999</v>
      </c>
      <c r="Z54" s="148"/>
      <c r="AA54" s="154"/>
    </row>
    <row r="55" spans="1:27" s="202" customFormat="1" ht="12.75" customHeight="1" x14ac:dyDescent="0.2">
      <c r="A55" s="423">
        <v>25</v>
      </c>
      <c r="B55" s="149" t="s">
        <v>682</v>
      </c>
      <c r="C55" s="435" t="s">
        <v>753</v>
      </c>
      <c r="D55" s="435">
        <v>652</v>
      </c>
      <c r="E55" s="429">
        <v>888438</v>
      </c>
      <c r="F55" s="427" t="s">
        <v>754</v>
      </c>
      <c r="G55" s="150" t="s">
        <v>685</v>
      </c>
      <c r="H55" s="171"/>
      <c r="I55" s="151"/>
      <c r="J55" s="151">
        <v>500</v>
      </c>
      <c r="K55" s="151">
        <v>2500</v>
      </c>
      <c r="L55" s="151">
        <v>6000</v>
      </c>
      <c r="M55" s="151">
        <v>10000</v>
      </c>
      <c r="N55" s="151">
        <v>20000</v>
      </c>
      <c r="O55" s="151">
        <v>40000</v>
      </c>
      <c r="P55" s="151">
        <v>70384</v>
      </c>
      <c r="Q55" s="151">
        <v>70384</v>
      </c>
      <c r="R55" s="151">
        <v>70384</v>
      </c>
      <c r="S55" s="151">
        <v>70384</v>
      </c>
      <c r="T55" s="151">
        <v>70384</v>
      </c>
      <c r="U55" s="151">
        <v>70384</v>
      </c>
      <c r="V55" s="151">
        <v>70384</v>
      </c>
      <c r="W55" s="152">
        <v>316750</v>
      </c>
      <c r="X55" s="153">
        <f t="shared" si="1"/>
        <v>888438</v>
      </c>
      <c r="Y55" s="201"/>
      <c r="Z55" s="148"/>
      <c r="AA55" s="154"/>
    </row>
    <row r="56" spans="1:27" s="202" customFormat="1" ht="12.75" customHeight="1" x14ac:dyDescent="0.2">
      <c r="A56" s="424"/>
      <c r="B56" s="155" t="s">
        <v>755</v>
      </c>
      <c r="C56" s="432"/>
      <c r="D56" s="432"/>
      <c r="E56" s="430"/>
      <c r="F56" s="428"/>
      <c r="G56" s="156">
        <v>2.5000000000000001E-3</v>
      </c>
      <c r="H56" s="287">
        <v>1592.56</v>
      </c>
      <c r="I56" s="157">
        <v>2375</v>
      </c>
      <c r="J56" s="157">
        <v>2705</v>
      </c>
      <c r="K56" s="157">
        <v>2700</v>
      </c>
      <c r="L56" s="157">
        <v>2690</v>
      </c>
      <c r="M56" s="157">
        <v>2680</v>
      </c>
      <c r="N56" s="157">
        <v>2635</v>
      </c>
      <c r="O56" s="157">
        <v>2565</v>
      </c>
      <c r="P56" s="157">
        <v>2425</v>
      </c>
      <c r="Q56" s="157">
        <v>2225</v>
      </c>
      <c r="R56" s="157">
        <v>2005</v>
      </c>
      <c r="S56" s="157">
        <v>1790</v>
      </c>
      <c r="T56" s="157">
        <v>1575</v>
      </c>
      <c r="U56" s="157">
        <v>1365</v>
      </c>
      <c r="V56" s="157">
        <v>1145</v>
      </c>
      <c r="W56" s="158">
        <v>2515</v>
      </c>
      <c r="X56" s="159">
        <f t="shared" si="1"/>
        <v>34987.56</v>
      </c>
      <c r="Y56" s="201"/>
      <c r="Z56" s="148"/>
      <c r="AA56" s="154"/>
    </row>
    <row r="57" spans="1:27" s="136" customFormat="1" ht="18.75" customHeight="1" x14ac:dyDescent="0.2">
      <c r="A57" s="414">
        <v>26</v>
      </c>
      <c r="B57" s="149" t="s">
        <v>682</v>
      </c>
      <c r="C57" s="435" t="s">
        <v>756</v>
      </c>
      <c r="D57" s="435">
        <v>653</v>
      </c>
      <c r="E57" s="429">
        <f>74835+24822-0.26+294955-28536.73</f>
        <v>366075.01</v>
      </c>
      <c r="F57" s="427" t="s">
        <v>757</v>
      </c>
      <c r="G57" s="150" t="s">
        <v>685</v>
      </c>
      <c r="H57" s="171"/>
      <c r="I57" s="151"/>
      <c r="J57" s="171">
        <v>500.01</v>
      </c>
      <c r="K57" s="151">
        <v>3000</v>
      </c>
      <c r="L57" s="151">
        <v>65940</v>
      </c>
      <c r="M57" s="151">
        <v>65940</v>
      </c>
      <c r="N57" s="151">
        <v>65940</v>
      </c>
      <c r="O57" s="151">
        <v>65940</v>
      </c>
      <c r="P57" s="151">
        <v>65940</v>
      </c>
      <c r="Q57" s="171">
        <v>32875</v>
      </c>
      <c r="R57" s="151"/>
      <c r="S57" s="151"/>
      <c r="T57" s="151"/>
      <c r="U57" s="151"/>
      <c r="V57" s="151"/>
      <c r="W57" s="152"/>
      <c r="X57" s="153">
        <f t="shared" si="1"/>
        <v>366075.01</v>
      </c>
      <c r="Z57" s="148"/>
      <c r="AA57" s="154"/>
    </row>
    <row r="58" spans="1:27" s="136" customFormat="1" ht="15.75" customHeight="1" x14ac:dyDescent="0.2">
      <c r="A58" s="415"/>
      <c r="B58" s="155" t="s">
        <v>758</v>
      </c>
      <c r="C58" s="432"/>
      <c r="D58" s="432"/>
      <c r="E58" s="430"/>
      <c r="F58" s="428"/>
      <c r="G58" s="156">
        <v>2.5000000000000001E-3</v>
      </c>
      <c r="H58" s="287">
        <v>430.88</v>
      </c>
      <c r="I58" s="157">
        <v>980</v>
      </c>
      <c r="J58" s="157">
        <v>1115</v>
      </c>
      <c r="K58" s="157">
        <v>1115</v>
      </c>
      <c r="L58" s="157">
        <v>1065</v>
      </c>
      <c r="M58" s="157">
        <v>875</v>
      </c>
      <c r="N58" s="157">
        <v>675</v>
      </c>
      <c r="O58" s="157">
        <v>475</v>
      </c>
      <c r="P58" s="157">
        <v>270</v>
      </c>
      <c r="Q58" s="157">
        <v>75</v>
      </c>
      <c r="R58" s="157"/>
      <c r="S58" s="157"/>
      <c r="T58" s="157"/>
      <c r="U58" s="157"/>
      <c r="V58" s="157"/>
      <c r="W58" s="158"/>
      <c r="X58" s="159">
        <f t="shared" si="1"/>
        <v>7075.88</v>
      </c>
      <c r="Z58" s="148"/>
      <c r="AA58" s="154"/>
    </row>
    <row r="59" spans="1:27" s="136" customFormat="1" x14ac:dyDescent="0.2">
      <c r="A59" s="423">
        <v>27</v>
      </c>
      <c r="B59" s="169" t="s">
        <v>682</v>
      </c>
      <c r="C59" s="435" t="s">
        <v>759</v>
      </c>
      <c r="D59" s="435">
        <v>654</v>
      </c>
      <c r="E59" s="429">
        <v>74150</v>
      </c>
      <c r="F59" s="427" t="s">
        <v>760</v>
      </c>
      <c r="G59" s="150" t="s">
        <v>685</v>
      </c>
      <c r="H59" s="171"/>
      <c r="I59" s="151"/>
      <c r="J59" s="151">
        <v>500</v>
      </c>
      <c r="K59" s="151">
        <v>2000</v>
      </c>
      <c r="L59" s="151">
        <v>3000</v>
      </c>
      <c r="M59" s="151">
        <v>4380</v>
      </c>
      <c r="N59" s="151">
        <v>4760</v>
      </c>
      <c r="O59" s="151">
        <v>4760</v>
      </c>
      <c r="P59" s="151">
        <v>4760</v>
      </c>
      <c r="Q59" s="151">
        <v>4760</v>
      </c>
      <c r="R59" s="151">
        <v>4760</v>
      </c>
      <c r="S59" s="151">
        <v>4760</v>
      </c>
      <c r="T59" s="151">
        <v>4760</v>
      </c>
      <c r="U59" s="151">
        <v>4760</v>
      </c>
      <c r="V59" s="151">
        <v>4760</v>
      </c>
      <c r="W59" s="152">
        <v>21430</v>
      </c>
      <c r="X59" s="153">
        <f t="shared" si="1"/>
        <v>74150</v>
      </c>
      <c r="Z59" s="148"/>
      <c r="AA59" s="154"/>
    </row>
    <row r="60" spans="1:27" s="136" customFormat="1" x14ac:dyDescent="0.2">
      <c r="A60" s="424"/>
      <c r="B60" s="155" t="s">
        <v>761</v>
      </c>
      <c r="C60" s="432"/>
      <c r="D60" s="432"/>
      <c r="E60" s="430"/>
      <c r="F60" s="428"/>
      <c r="G60" s="156">
        <v>2.5000000000000001E-3</v>
      </c>
      <c r="H60" s="287">
        <v>181.68</v>
      </c>
      <c r="I60" s="157">
        <v>200</v>
      </c>
      <c r="J60" s="157">
        <v>230</v>
      </c>
      <c r="K60" s="157">
        <v>225</v>
      </c>
      <c r="L60" s="157">
        <v>220</v>
      </c>
      <c r="M60" s="157">
        <v>210</v>
      </c>
      <c r="N60" s="157">
        <v>195</v>
      </c>
      <c r="O60" s="157">
        <v>180</v>
      </c>
      <c r="P60" s="157">
        <v>165</v>
      </c>
      <c r="Q60" s="157">
        <v>155</v>
      </c>
      <c r="R60" s="157">
        <v>140</v>
      </c>
      <c r="S60" s="157">
        <v>125</v>
      </c>
      <c r="T60" s="157">
        <v>110</v>
      </c>
      <c r="U60" s="157">
        <v>95</v>
      </c>
      <c r="V60" s="157">
        <v>80</v>
      </c>
      <c r="W60" s="158">
        <v>175</v>
      </c>
      <c r="X60" s="159">
        <f t="shared" si="1"/>
        <v>2686.6800000000003</v>
      </c>
      <c r="Z60" s="148"/>
      <c r="AA60" s="154"/>
    </row>
    <row r="61" spans="1:27" s="136" customFormat="1" ht="18" customHeight="1" x14ac:dyDescent="0.2">
      <c r="A61" s="414">
        <v>28</v>
      </c>
      <c r="B61" s="169" t="s">
        <v>682</v>
      </c>
      <c r="C61" s="435" t="s">
        <v>762</v>
      </c>
      <c r="D61" s="435">
        <v>655</v>
      </c>
      <c r="E61" s="429">
        <v>250000</v>
      </c>
      <c r="F61" s="427" t="s">
        <v>763</v>
      </c>
      <c r="G61" s="150" t="s">
        <v>685</v>
      </c>
      <c r="H61" s="171"/>
      <c r="I61" s="151"/>
      <c r="J61" s="151">
        <v>300</v>
      </c>
      <c r="K61" s="151">
        <v>1000</v>
      </c>
      <c r="L61" s="151">
        <v>2000</v>
      </c>
      <c r="M61" s="151">
        <v>3000</v>
      </c>
      <c r="N61" s="151">
        <v>6000</v>
      </c>
      <c r="O61" s="151">
        <v>18644</v>
      </c>
      <c r="P61" s="151">
        <v>18644</v>
      </c>
      <c r="Q61" s="151">
        <v>18644</v>
      </c>
      <c r="R61" s="151">
        <v>18644</v>
      </c>
      <c r="S61" s="151">
        <v>18644</v>
      </c>
      <c r="T61" s="151">
        <v>18644</v>
      </c>
      <c r="U61" s="151">
        <v>18644</v>
      </c>
      <c r="V61" s="151">
        <v>18644</v>
      </c>
      <c r="W61" s="203">
        <v>88548</v>
      </c>
      <c r="X61" s="153">
        <f t="shared" si="1"/>
        <v>250000</v>
      </c>
      <c r="Z61" s="148"/>
      <c r="AA61" s="154"/>
    </row>
    <row r="62" spans="1:27" s="136" customFormat="1" ht="17.25" customHeight="1" x14ac:dyDescent="0.2">
      <c r="A62" s="415"/>
      <c r="B62" s="155" t="s">
        <v>764</v>
      </c>
      <c r="C62" s="432"/>
      <c r="D62" s="432"/>
      <c r="E62" s="430"/>
      <c r="F62" s="428"/>
      <c r="G62" s="156">
        <v>2.5000000000000001E-3</v>
      </c>
      <c r="H62" s="287">
        <v>519.51</v>
      </c>
      <c r="I62" s="157">
        <v>600</v>
      </c>
      <c r="J62" s="157">
        <v>685</v>
      </c>
      <c r="K62" s="157">
        <v>685</v>
      </c>
      <c r="L62" s="157">
        <v>680</v>
      </c>
      <c r="M62" s="157">
        <v>675</v>
      </c>
      <c r="N62" s="157">
        <v>665</v>
      </c>
      <c r="O62" s="157">
        <v>640</v>
      </c>
      <c r="P62" s="157">
        <v>595</v>
      </c>
      <c r="Q62" s="157">
        <v>545</v>
      </c>
      <c r="R62" s="157">
        <v>490</v>
      </c>
      <c r="S62" s="157">
        <v>440</v>
      </c>
      <c r="T62" s="157">
        <v>390</v>
      </c>
      <c r="U62" s="157">
        <v>340</v>
      </c>
      <c r="V62" s="157">
        <v>290</v>
      </c>
      <c r="W62" s="204">
        <v>670</v>
      </c>
      <c r="X62" s="159">
        <f t="shared" si="1"/>
        <v>8909.51</v>
      </c>
      <c r="Z62" s="148"/>
      <c r="AA62" s="154"/>
    </row>
    <row r="63" spans="1:27" s="136" customFormat="1" x14ac:dyDescent="0.2">
      <c r="A63" s="423">
        <v>29</v>
      </c>
      <c r="B63" s="169" t="s">
        <v>682</v>
      </c>
      <c r="C63" s="435" t="s">
        <v>765</v>
      </c>
      <c r="D63" s="435">
        <v>656</v>
      </c>
      <c r="E63" s="429">
        <v>4203541</v>
      </c>
      <c r="F63" s="427" t="s">
        <v>766</v>
      </c>
      <c r="G63" s="150" t="s">
        <v>685</v>
      </c>
      <c r="H63" s="197"/>
      <c r="I63" s="190">
        <v>750</v>
      </c>
      <c r="J63" s="190">
        <v>1000</v>
      </c>
      <c r="K63" s="190">
        <v>3000</v>
      </c>
      <c r="L63" s="190">
        <v>4000</v>
      </c>
      <c r="M63" s="190">
        <v>5000</v>
      </c>
      <c r="N63" s="190">
        <v>10000</v>
      </c>
      <c r="O63" s="190">
        <v>20000</v>
      </c>
      <c r="P63" s="190">
        <v>50000</v>
      </c>
      <c r="Q63" s="190">
        <v>62000</v>
      </c>
      <c r="R63" s="190">
        <v>80000</v>
      </c>
      <c r="S63" s="190">
        <v>223540</v>
      </c>
      <c r="T63" s="190">
        <v>223540</v>
      </c>
      <c r="U63" s="190">
        <v>223540</v>
      </c>
      <c r="V63" s="198">
        <v>223540</v>
      </c>
      <c r="W63" s="152">
        <v>3073631</v>
      </c>
      <c r="X63" s="153">
        <f t="shared" si="1"/>
        <v>4203541</v>
      </c>
      <c r="Z63" s="148"/>
      <c r="AA63" s="154"/>
    </row>
    <row r="64" spans="1:27" s="136" customFormat="1" x14ac:dyDescent="0.2">
      <c r="A64" s="424"/>
      <c r="B64" s="155" t="s">
        <v>767</v>
      </c>
      <c r="C64" s="432"/>
      <c r="D64" s="432"/>
      <c r="E64" s="430"/>
      <c r="F64" s="428"/>
      <c r="G64" s="156">
        <v>2.5000000000000001E-3</v>
      </c>
      <c r="H64" s="293">
        <v>7888.98</v>
      </c>
      <c r="I64" s="192">
        <v>10685</v>
      </c>
      <c r="J64" s="192">
        <v>12785</v>
      </c>
      <c r="K64" s="192">
        <v>12780</v>
      </c>
      <c r="L64" s="192">
        <v>12770</v>
      </c>
      <c r="M64" s="192">
        <v>12795</v>
      </c>
      <c r="N64" s="192">
        <v>12740</v>
      </c>
      <c r="O64" s="192">
        <v>12705</v>
      </c>
      <c r="P64" s="192">
        <v>12625</v>
      </c>
      <c r="Q64" s="192">
        <v>12505</v>
      </c>
      <c r="R64" s="192">
        <v>12275</v>
      </c>
      <c r="S64" s="192">
        <v>11940</v>
      </c>
      <c r="T64" s="192">
        <v>11285</v>
      </c>
      <c r="U64" s="192">
        <v>10635</v>
      </c>
      <c r="V64" s="194">
        <v>9925</v>
      </c>
      <c r="W64" s="158">
        <v>67590</v>
      </c>
      <c r="X64" s="159">
        <f t="shared" si="1"/>
        <v>243928.97999999998</v>
      </c>
      <c r="Z64" s="148"/>
      <c r="AA64" s="154"/>
    </row>
    <row r="65" spans="1:27" s="136" customFormat="1" ht="12.75" customHeight="1" x14ac:dyDescent="0.2">
      <c r="A65" s="423">
        <v>30</v>
      </c>
      <c r="B65" s="149" t="s">
        <v>682</v>
      </c>
      <c r="C65" s="435" t="s">
        <v>768</v>
      </c>
      <c r="D65" s="435">
        <v>657</v>
      </c>
      <c r="E65" s="433">
        <v>546548</v>
      </c>
      <c r="F65" s="427" t="s">
        <v>769</v>
      </c>
      <c r="G65" s="150" t="s">
        <v>685</v>
      </c>
      <c r="H65" s="301">
        <v>59834.78</v>
      </c>
      <c r="I65" s="151"/>
      <c r="J65" s="171">
        <v>250.22</v>
      </c>
      <c r="K65" s="151">
        <v>2250</v>
      </c>
      <c r="L65" s="151">
        <v>8000</v>
      </c>
      <c r="M65" s="151">
        <v>100256</v>
      </c>
      <c r="N65" s="151">
        <v>100256</v>
      </c>
      <c r="O65" s="151">
        <v>100256</v>
      </c>
      <c r="P65" s="151">
        <v>100256</v>
      </c>
      <c r="Q65" s="171">
        <v>75189</v>
      </c>
      <c r="R65" s="151"/>
      <c r="S65" s="151"/>
      <c r="T65" s="151"/>
      <c r="U65" s="151"/>
      <c r="V65" s="190"/>
      <c r="W65" s="198"/>
      <c r="X65" s="153">
        <f t="shared" si="1"/>
        <v>546548</v>
      </c>
      <c r="Z65" s="148"/>
      <c r="AA65" s="154"/>
    </row>
    <row r="66" spans="1:27" s="136" customFormat="1" ht="20.25" customHeight="1" x14ac:dyDescent="0.2">
      <c r="A66" s="424"/>
      <c r="B66" s="155" t="s">
        <v>770</v>
      </c>
      <c r="C66" s="432"/>
      <c r="D66" s="432"/>
      <c r="E66" s="434"/>
      <c r="F66" s="428"/>
      <c r="G66" s="156">
        <v>2.5000000000000001E-3</v>
      </c>
      <c r="H66" s="287">
        <v>581.21</v>
      </c>
      <c r="I66" s="157">
        <v>1240</v>
      </c>
      <c r="J66" s="157">
        <v>1485</v>
      </c>
      <c r="K66" s="157">
        <v>1480</v>
      </c>
      <c r="L66" s="157">
        <v>1470</v>
      </c>
      <c r="M66" s="157">
        <v>1395</v>
      </c>
      <c r="N66" s="157">
        <v>1100</v>
      </c>
      <c r="O66" s="157">
        <v>795</v>
      </c>
      <c r="P66" s="157">
        <v>490</v>
      </c>
      <c r="Q66" s="157">
        <v>185</v>
      </c>
      <c r="R66" s="157"/>
      <c r="S66" s="157"/>
      <c r="T66" s="157"/>
      <c r="U66" s="157"/>
      <c r="V66" s="192"/>
      <c r="W66" s="194"/>
      <c r="X66" s="159">
        <f t="shared" si="1"/>
        <v>10221.209999999999</v>
      </c>
      <c r="Z66" s="148"/>
      <c r="AA66" s="154"/>
    </row>
    <row r="67" spans="1:27" s="136" customFormat="1" ht="17.25" customHeight="1" x14ac:dyDescent="0.2">
      <c r="A67" s="414">
        <v>31</v>
      </c>
      <c r="B67" s="149" t="s">
        <v>682</v>
      </c>
      <c r="C67" s="435" t="s">
        <v>771</v>
      </c>
      <c r="D67" s="435">
        <v>658</v>
      </c>
      <c r="E67" s="429">
        <f>149917-0.42</f>
        <v>149916.57999999999</v>
      </c>
      <c r="F67" s="427" t="s">
        <v>772</v>
      </c>
      <c r="G67" s="150" t="s">
        <v>685</v>
      </c>
      <c r="H67" s="171"/>
      <c r="I67" s="151"/>
      <c r="J67" s="151">
        <v>200</v>
      </c>
      <c r="K67" s="151">
        <v>1000</v>
      </c>
      <c r="L67" s="151">
        <v>1000</v>
      </c>
      <c r="M67" s="151">
        <v>2000</v>
      </c>
      <c r="N67" s="151">
        <v>2000</v>
      </c>
      <c r="O67" s="151">
        <v>11272</v>
      </c>
      <c r="P67" s="151">
        <v>11272</v>
      </c>
      <c r="Q67" s="151">
        <v>11272</v>
      </c>
      <c r="R67" s="151">
        <v>11272</v>
      </c>
      <c r="S67" s="151">
        <v>11272</v>
      </c>
      <c r="T67" s="151">
        <v>11272</v>
      </c>
      <c r="U67" s="151">
        <v>11272</v>
      </c>
      <c r="V67" s="151">
        <v>11272</v>
      </c>
      <c r="W67" s="151">
        <v>53541</v>
      </c>
      <c r="X67" s="153">
        <f t="shared" si="1"/>
        <v>149917</v>
      </c>
      <c r="Z67" s="148"/>
      <c r="AA67" s="154"/>
    </row>
    <row r="68" spans="1:27" s="136" customFormat="1" ht="17.25" customHeight="1" x14ac:dyDescent="0.2">
      <c r="A68" s="415"/>
      <c r="B68" s="155" t="s">
        <v>770</v>
      </c>
      <c r="C68" s="432"/>
      <c r="D68" s="432"/>
      <c r="E68" s="430"/>
      <c r="F68" s="428"/>
      <c r="G68" s="156">
        <v>2.5000000000000001E-3</v>
      </c>
      <c r="H68" s="287">
        <v>295.67</v>
      </c>
      <c r="I68" s="157">
        <v>345</v>
      </c>
      <c r="J68" s="157">
        <v>410</v>
      </c>
      <c r="K68" s="157">
        <v>410</v>
      </c>
      <c r="L68" s="157">
        <v>405</v>
      </c>
      <c r="M68" s="157">
        <v>405</v>
      </c>
      <c r="N68" s="157">
        <v>400</v>
      </c>
      <c r="O68" s="157">
        <v>390</v>
      </c>
      <c r="P68" s="157">
        <v>360</v>
      </c>
      <c r="Q68" s="157">
        <v>330</v>
      </c>
      <c r="R68" s="157">
        <v>300</v>
      </c>
      <c r="S68" s="157">
        <v>265</v>
      </c>
      <c r="T68" s="157">
        <v>235</v>
      </c>
      <c r="U68" s="157">
        <v>205</v>
      </c>
      <c r="V68" s="157">
        <v>175</v>
      </c>
      <c r="W68" s="157">
        <v>405</v>
      </c>
      <c r="X68" s="159">
        <f t="shared" si="1"/>
        <v>5335.67</v>
      </c>
      <c r="Z68" s="148"/>
      <c r="AA68" s="154"/>
    </row>
    <row r="69" spans="1:27" s="136" customFormat="1" ht="17.25" customHeight="1" x14ac:dyDescent="0.2">
      <c r="A69" s="423">
        <v>32</v>
      </c>
      <c r="B69" s="169" t="s">
        <v>682</v>
      </c>
      <c r="C69" s="435" t="s">
        <v>773</v>
      </c>
      <c r="D69" s="435">
        <v>659</v>
      </c>
      <c r="E69" s="433">
        <v>138216</v>
      </c>
      <c r="F69" s="427" t="s">
        <v>774</v>
      </c>
      <c r="G69" s="150" t="s">
        <v>685</v>
      </c>
      <c r="H69" s="205"/>
      <c r="I69" s="151"/>
      <c r="J69" s="151"/>
      <c r="K69" s="171">
        <v>1020</v>
      </c>
      <c r="L69" s="151">
        <v>3000</v>
      </c>
      <c r="M69" s="151">
        <v>4000</v>
      </c>
      <c r="N69" s="151">
        <v>9300</v>
      </c>
      <c r="O69" s="151">
        <v>9300</v>
      </c>
      <c r="P69" s="151">
        <v>9300</v>
      </c>
      <c r="Q69" s="151">
        <v>9300</v>
      </c>
      <c r="R69" s="151">
        <v>9300</v>
      </c>
      <c r="S69" s="151">
        <v>9300</v>
      </c>
      <c r="T69" s="151">
        <v>9300</v>
      </c>
      <c r="U69" s="151">
        <v>9300</v>
      </c>
      <c r="V69" s="151">
        <v>9300</v>
      </c>
      <c r="W69" s="151">
        <v>46496</v>
      </c>
      <c r="X69" s="153">
        <f t="shared" si="1"/>
        <v>138216</v>
      </c>
      <c r="Z69" s="148"/>
      <c r="AA69" s="154"/>
    </row>
    <row r="70" spans="1:27" s="136" customFormat="1" ht="15.75" customHeight="1" x14ac:dyDescent="0.2">
      <c r="A70" s="424"/>
      <c r="B70" s="206" t="s">
        <v>775</v>
      </c>
      <c r="C70" s="432"/>
      <c r="D70" s="432"/>
      <c r="E70" s="434"/>
      <c r="F70" s="428"/>
      <c r="G70" s="156">
        <v>2.5000000000000001E-3</v>
      </c>
      <c r="H70" s="293">
        <v>141.09</v>
      </c>
      <c r="I70" s="157">
        <v>405</v>
      </c>
      <c r="J70" s="157">
        <v>425</v>
      </c>
      <c r="K70" s="157">
        <v>420</v>
      </c>
      <c r="L70" s="157">
        <v>420</v>
      </c>
      <c r="M70" s="157">
        <v>410</v>
      </c>
      <c r="N70" s="157">
        <v>395</v>
      </c>
      <c r="O70" s="157">
        <v>365</v>
      </c>
      <c r="P70" s="157">
        <v>340</v>
      </c>
      <c r="Q70" s="157">
        <v>310</v>
      </c>
      <c r="R70" s="157">
        <v>280</v>
      </c>
      <c r="S70" s="157">
        <v>255</v>
      </c>
      <c r="T70" s="157">
        <v>225</v>
      </c>
      <c r="U70" s="157">
        <v>195</v>
      </c>
      <c r="V70" s="157">
        <v>170</v>
      </c>
      <c r="W70" s="157">
        <v>405</v>
      </c>
      <c r="X70" s="159">
        <f t="shared" si="1"/>
        <v>5161.09</v>
      </c>
      <c r="Z70" s="148"/>
      <c r="AA70" s="154"/>
    </row>
    <row r="71" spans="1:27" s="136" customFormat="1" ht="12.75" customHeight="1" x14ac:dyDescent="0.2">
      <c r="A71" s="423">
        <v>33</v>
      </c>
      <c r="B71" s="169" t="s">
        <v>682</v>
      </c>
      <c r="C71" s="435" t="s">
        <v>392</v>
      </c>
      <c r="D71" s="435">
        <v>660</v>
      </c>
      <c r="E71" s="429">
        <f>2825528-170000</f>
        <v>2655528</v>
      </c>
      <c r="F71" s="427" t="s">
        <v>776</v>
      </c>
      <c r="G71" s="150" t="s">
        <v>685</v>
      </c>
      <c r="H71" s="197">
        <v>0</v>
      </c>
      <c r="I71" s="190">
        <v>0</v>
      </c>
      <c r="J71" s="190">
        <v>0</v>
      </c>
      <c r="K71" s="190">
        <v>3000</v>
      </c>
      <c r="L71" s="190">
        <v>5000</v>
      </c>
      <c r="M71" s="190">
        <v>5000</v>
      </c>
      <c r="N71" s="190">
        <v>5000</v>
      </c>
      <c r="O71" s="190">
        <v>10000</v>
      </c>
      <c r="P71" s="190">
        <v>15000</v>
      </c>
      <c r="Q71" s="198">
        <v>122944</v>
      </c>
      <c r="R71" s="198">
        <v>122944</v>
      </c>
      <c r="S71" s="198">
        <v>122944</v>
      </c>
      <c r="T71" s="198">
        <v>122944</v>
      </c>
      <c r="U71" s="198">
        <v>122944</v>
      </c>
      <c r="V71" s="198">
        <v>122944</v>
      </c>
      <c r="W71" s="198">
        <v>1874864</v>
      </c>
      <c r="X71" s="153">
        <f t="shared" si="1"/>
        <v>2655528</v>
      </c>
      <c r="Z71" s="148"/>
    </row>
    <row r="72" spans="1:27" s="136" customFormat="1" x14ac:dyDescent="0.2">
      <c r="A72" s="424"/>
      <c r="B72" s="155" t="s">
        <v>777</v>
      </c>
      <c r="C72" s="432"/>
      <c r="D72" s="432"/>
      <c r="E72" s="430"/>
      <c r="F72" s="428"/>
      <c r="G72" s="156">
        <v>2.5000000000000001E-3</v>
      </c>
      <c r="H72" s="293">
        <v>448.18</v>
      </c>
      <c r="I72" s="192">
        <v>7210</v>
      </c>
      <c r="J72" s="192">
        <v>8080</v>
      </c>
      <c r="K72" s="192">
        <v>8080</v>
      </c>
      <c r="L72" s="192">
        <v>8070</v>
      </c>
      <c r="M72" s="192">
        <v>8075</v>
      </c>
      <c r="N72" s="192">
        <v>8040</v>
      </c>
      <c r="O72" s="192">
        <v>8020</v>
      </c>
      <c r="P72" s="192">
        <v>7985</v>
      </c>
      <c r="Q72" s="192">
        <v>7895</v>
      </c>
      <c r="R72" s="192">
        <v>7515</v>
      </c>
      <c r="S72" s="192">
        <v>7145</v>
      </c>
      <c r="T72" s="192">
        <v>6770</v>
      </c>
      <c r="U72" s="192">
        <v>6415</v>
      </c>
      <c r="V72" s="194">
        <v>6020</v>
      </c>
      <c r="W72" s="194">
        <v>45510</v>
      </c>
      <c r="X72" s="159">
        <f t="shared" si="1"/>
        <v>151278.18</v>
      </c>
      <c r="Z72" s="148"/>
    </row>
    <row r="73" spans="1:27" s="136" customFormat="1" x14ac:dyDescent="0.2">
      <c r="A73" s="414">
        <v>34</v>
      </c>
      <c r="B73" s="169" t="s">
        <v>682</v>
      </c>
      <c r="C73" s="435" t="s">
        <v>778</v>
      </c>
      <c r="D73" s="435">
        <v>661</v>
      </c>
      <c r="E73" s="429">
        <v>1946578</v>
      </c>
      <c r="F73" s="427" t="s">
        <v>779</v>
      </c>
      <c r="G73" s="150" t="s">
        <v>685</v>
      </c>
      <c r="H73" s="171"/>
      <c r="I73" s="151"/>
      <c r="J73" s="151"/>
      <c r="K73" s="151">
        <v>3000</v>
      </c>
      <c r="L73" s="151">
        <v>5000</v>
      </c>
      <c r="M73" s="151">
        <v>5000</v>
      </c>
      <c r="N73" s="151">
        <v>5000</v>
      </c>
      <c r="O73" s="151">
        <v>10000</v>
      </c>
      <c r="P73" s="151">
        <v>15000</v>
      </c>
      <c r="Q73" s="151">
        <v>89580</v>
      </c>
      <c r="R73" s="151">
        <v>89580</v>
      </c>
      <c r="S73" s="151">
        <v>89580</v>
      </c>
      <c r="T73" s="151">
        <v>89580</v>
      </c>
      <c r="U73" s="151">
        <v>89580</v>
      </c>
      <c r="V73" s="151">
        <v>89580</v>
      </c>
      <c r="W73" s="151">
        <v>1366098</v>
      </c>
      <c r="X73" s="153">
        <f t="shared" ref="X73:X86" si="2">SUM(H73:W73)</f>
        <v>1946578</v>
      </c>
      <c r="Z73" s="148"/>
    </row>
    <row r="74" spans="1:27" s="136" customFormat="1" x14ac:dyDescent="0.2">
      <c r="A74" s="415"/>
      <c r="B74" s="206" t="s">
        <v>780</v>
      </c>
      <c r="C74" s="432"/>
      <c r="D74" s="432"/>
      <c r="E74" s="430"/>
      <c r="F74" s="428"/>
      <c r="G74" s="156">
        <v>2.5000000000000001E-3</v>
      </c>
      <c r="H74" s="287">
        <v>493.18</v>
      </c>
      <c r="I74" s="157">
        <v>5355</v>
      </c>
      <c r="J74" s="157">
        <v>5925</v>
      </c>
      <c r="K74" s="157">
        <v>5920</v>
      </c>
      <c r="L74" s="157">
        <v>5910</v>
      </c>
      <c r="M74" s="157">
        <v>5915</v>
      </c>
      <c r="N74" s="157">
        <v>5880</v>
      </c>
      <c r="O74" s="157">
        <v>5865</v>
      </c>
      <c r="P74" s="157">
        <v>5830</v>
      </c>
      <c r="Q74" s="157">
        <v>5755</v>
      </c>
      <c r="R74" s="157">
        <v>5480</v>
      </c>
      <c r="S74" s="157">
        <v>5205</v>
      </c>
      <c r="T74" s="157">
        <v>4935</v>
      </c>
      <c r="U74" s="157">
        <v>4675</v>
      </c>
      <c r="V74" s="157">
        <v>4390</v>
      </c>
      <c r="W74" s="157">
        <v>33160</v>
      </c>
      <c r="X74" s="159">
        <f t="shared" si="2"/>
        <v>110693.18</v>
      </c>
      <c r="Z74" s="148"/>
    </row>
    <row r="75" spans="1:27" s="136" customFormat="1" ht="15.75" customHeight="1" x14ac:dyDescent="0.2">
      <c r="A75" s="442">
        <v>35</v>
      </c>
      <c r="B75" s="281" t="s">
        <v>682</v>
      </c>
      <c r="C75" s="435" t="s">
        <v>390</v>
      </c>
      <c r="D75" s="435">
        <v>662</v>
      </c>
      <c r="E75" s="429">
        <f>2100900-400000</f>
        <v>1700900</v>
      </c>
      <c r="F75" s="427" t="s">
        <v>807</v>
      </c>
      <c r="G75" s="150" t="s">
        <v>685</v>
      </c>
      <c r="H75" s="197"/>
      <c r="I75" s="151"/>
      <c r="J75" s="151"/>
      <c r="K75" s="151">
        <v>3000</v>
      </c>
      <c r="L75" s="151">
        <v>6000</v>
      </c>
      <c r="M75" s="151">
        <v>10000</v>
      </c>
      <c r="N75" s="151">
        <v>20000</v>
      </c>
      <c r="O75" s="151">
        <v>40000</v>
      </c>
      <c r="P75" s="151">
        <v>60000</v>
      </c>
      <c r="Q75" s="151">
        <v>73500</v>
      </c>
      <c r="R75" s="151">
        <v>73500</v>
      </c>
      <c r="S75" s="151">
        <v>73500</v>
      </c>
      <c r="T75" s="151">
        <v>73500</v>
      </c>
      <c r="U75" s="151">
        <v>73500</v>
      </c>
      <c r="V75" s="151">
        <v>73500</v>
      </c>
      <c r="W75" s="151">
        <v>1120900</v>
      </c>
      <c r="X75" s="153">
        <f t="shared" si="2"/>
        <v>1700900</v>
      </c>
      <c r="Z75" s="148"/>
    </row>
    <row r="76" spans="1:27" s="136" customFormat="1" ht="18.75" customHeight="1" x14ac:dyDescent="0.2">
      <c r="A76" s="443"/>
      <c r="B76" s="206" t="s">
        <v>806</v>
      </c>
      <c r="C76" s="432"/>
      <c r="D76" s="432"/>
      <c r="E76" s="430"/>
      <c r="F76" s="428"/>
      <c r="G76" s="156">
        <v>2.5000000000000001E-3</v>
      </c>
      <c r="H76" s="293">
        <v>171.06</v>
      </c>
      <c r="I76" s="157">
        <v>4745</v>
      </c>
      <c r="J76" s="157">
        <v>5175</v>
      </c>
      <c r="K76" s="157">
        <v>5175</v>
      </c>
      <c r="L76" s="157">
        <v>5165</v>
      </c>
      <c r="M76" s="157">
        <v>5155</v>
      </c>
      <c r="N76" s="157">
        <v>5105</v>
      </c>
      <c r="O76" s="157">
        <v>5035</v>
      </c>
      <c r="P76" s="157">
        <v>4905</v>
      </c>
      <c r="Q76" s="157">
        <v>4730</v>
      </c>
      <c r="R76" s="157">
        <v>4495</v>
      </c>
      <c r="S76" s="157">
        <v>4270</v>
      </c>
      <c r="T76" s="157">
        <v>4050</v>
      </c>
      <c r="U76" s="157">
        <v>3835</v>
      </c>
      <c r="V76" s="157">
        <v>3600</v>
      </c>
      <c r="W76" s="157">
        <v>27210</v>
      </c>
      <c r="X76" s="159">
        <f t="shared" si="2"/>
        <v>92821.06</v>
      </c>
      <c r="Z76" s="148"/>
    </row>
    <row r="77" spans="1:27" s="136" customFormat="1" ht="12.75" customHeight="1" x14ac:dyDescent="0.2">
      <c r="A77" s="444">
        <v>36</v>
      </c>
      <c r="B77" s="286" t="s">
        <v>682</v>
      </c>
      <c r="C77" s="435" t="s">
        <v>808</v>
      </c>
      <c r="D77" s="435">
        <v>663</v>
      </c>
      <c r="E77" s="429">
        <v>10367403</v>
      </c>
      <c r="F77" s="427" t="s">
        <v>809</v>
      </c>
      <c r="G77" s="150" t="s">
        <v>685</v>
      </c>
      <c r="H77" s="151"/>
      <c r="I77" s="151"/>
      <c r="J77" s="151"/>
      <c r="K77" s="151">
        <v>3000</v>
      </c>
      <c r="L77" s="151">
        <v>6000</v>
      </c>
      <c r="M77" s="151">
        <v>10000</v>
      </c>
      <c r="N77" s="151">
        <v>20000</v>
      </c>
      <c r="O77" s="151">
        <v>28000</v>
      </c>
      <c r="P77" s="151">
        <v>40000</v>
      </c>
      <c r="Q77" s="151">
        <v>80000</v>
      </c>
      <c r="R77" s="151">
        <v>200000</v>
      </c>
      <c r="S77" s="151">
        <v>400000</v>
      </c>
      <c r="T77" s="151">
        <v>524952</v>
      </c>
      <c r="U77" s="151">
        <v>524952</v>
      </c>
      <c r="V77" s="151">
        <v>524952</v>
      </c>
      <c r="W77" s="152">
        <v>8005547</v>
      </c>
      <c r="X77" s="153">
        <f t="shared" si="2"/>
        <v>10367403</v>
      </c>
      <c r="Z77" s="148"/>
    </row>
    <row r="78" spans="1:27" s="136" customFormat="1" x14ac:dyDescent="0.2">
      <c r="A78" s="445"/>
      <c r="B78" s="155" t="s">
        <v>810</v>
      </c>
      <c r="C78" s="432"/>
      <c r="D78" s="432"/>
      <c r="E78" s="430"/>
      <c r="F78" s="428"/>
      <c r="G78" s="156">
        <v>2.5000000000000001E-3</v>
      </c>
      <c r="H78" s="287">
        <v>75.8</v>
      </c>
      <c r="I78" s="157">
        <v>24055</v>
      </c>
      <c r="J78" s="157">
        <v>31535</v>
      </c>
      <c r="K78" s="157">
        <v>31535</v>
      </c>
      <c r="L78" s="157">
        <v>31525</v>
      </c>
      <c r="M78" s="157">
        <v>31590</v>
      </c>
      <c r="N78" s="157">
        <v>31470</v>
      </c>
      <c r="O78" s="157">
        <v>31405</v>
      </c>
      <c r="P78" s="157">
        <v>31310</v>
      </c>
      <c r="Q78" s="157">
        <v>31250</v>
      </c>
      <c r="R78" s="157">
        <v>30855</v>
      </c>
      <c r="S78" s="157">
        <v>30140</v>
      </c>
      <c r="T78" s="157">
        <v>28875</v>
      </c>
      <c r="U78" s="157">
        <v>27375</v>
      </c>
      <c r="V78" s="157">
        <v>25705</v>
      </c>
      <c r="W78" s="158">
        <v>194305</v>
      </c>
      <c r="X78" s="159">
        <f t="shared" si="2"/>
        <v>613005.80000000005</v>
      </c>
      <c r="Z78" s="148"/>
    </row>
    <row r="79" spans="1:27" s="136" customFormat="1" ht="15.75" customHeight="1" x14ac:dyDescent="0.2">
      <c r="A79" s="444">
        <v>37</v>
      </c>
      <c r="B79" s="286" t="s">
        <v>682</v>
      </c>
      <c r="C79" s="435" t="s">
        <v>811</v>
      </c>
      <c r="D79" s="435">
        <v>664</v>
      </c>
      <c r="E79" s="429">
        <v>91751.46</v>
      </c>
      <c r="F79" s="427" t="s">
        <v>809</v>
      </c>
      <c r="G79" s="150" t="s">
        <v>685</v>
      </c>
      <c r="H79" s="151"/>
      <c r="I79" s="151"/>
      <c r="J79" s="151"/>
      <c r="K79" s="151">
        <v>2550</v>
      </c>
      <c r="L79" s="151">
        <v>3400</v>
      </c>
      <c r="M79" s="151">
        <v>3400</v>
      </c>
      <c r="N79" s="151">
        <v>3400</v>
      </c>
      <c r="O79" s="151">
        <v>3400</v>
      </c>
      <c r="P79" s="151">
        <v>3400</v>
      </c>
      <c r="Q79" s="151">
        <v>3400</v>
      </c>
      <c r="R79" s="151">
        <v>3400</v>
      </c>
      <c r="S79" s="151">
        <v>3400</v>
      </c>
      <c r="T79" s="151">
        <v>3400</v>
      </c>
      <c r="U79" s="151">
        <v>3400</v>
      </c>
      <c r="V79" s="151">
        <v>3400</v>
      </c>
      <c r="W79" s="296">
        <v>51801.46</v>
      </c>
      <c r="X79" s="153">
        <f t="shared" si="2"/>
        <v>91751.459999999992</v>
      </c>
      <c r="Z79" s="148"/>
    </row>
    <row r="80" spans="1:27" s="136" customFormat="1" ht="16.5" customHeight="1" x14ac:dyDescent="0.2">
      <c r="A80" s="445"/>
      <c r="B80" s="297" t="s">
        <v>812</v>
      </c>
      <c r="C80" s="432"/>
      <c r="D80" s="432"/>
      <c r="E80" s="430"/>
      <c r="F80" s="428"/>
      <c r="G80" s="156">
        <f>0.25%+0.6%</f>
        <v>8.5000000000000006E-3</v>
      </c>
      <c r="H80" s="287">
        <v>15.16</v>
      </c>
      <c r="I80" s="157">
        <v>820</v>
      </c>
      <c r="J80" s="157">
        <v>840</v>
      </c>
      <c r="K80" s="157">
        <v>835</v>
      </c>
      <c r="L80" s="157">
        <v>810</v>
      </c>
      <c r="M80" s="157">
        <v>785</v>
      </c>
      <c r="N80" s="157">
        <v>750</v>
      </c>
      <c r="O80" s="157">
        <v>720</v>
      </c>
      <c r="P80" s="157">
        <v>690</v>
      </c>
      <c r="Q80" s="157">
        <v>660</v>
      </c>
      <c r="R80" s="157">
        <v>625</v>
      </c>
      <c r="S80" s="157">
        <v>595</v>
      </c>
      <c r="T80" s="157">
        <v>565</v>
      </c>
      <c r="U80" s="157">
        <v>535</v>
      </c>
      <c r="V80" s="157">
        <v>500</v>
      </c>
      <c r="W80" s="158">
        <v>3770</v>
      </c>
      <c r="X80" s="159">
        <f t="shared" si="2"/>
        <v>13515.16</v>
      </c>
      <c r="Z80" s="148"/>
    </row>
    <row r="81" spans="1:26" s="136" customFormat="1" x14ac:dyDescent="0.2">
      <c r="A81" s="444">
        <v>38</v>
      </c>
      <c r="B81" s="286" t="s">
        <v>682</v>
      </c>
      <c r="C81" s="435" t="s">
        <v>429</v>
      </c>
      <c r="D81" s="435">
        <v>665</v>
      </c>
      <c r="E81" s="429">
        <f>158248.54+2664102</f>
        <v>2822350.54</v>
      </c>
      <c r="F81" s="427" t="s">
        <v>809</v>
      </c>
      <c r="G81" s="150" t="s">
        <v>685</v>
      </c>
      <c r="H81" s="151"/>
      <c r="I81" s="151"/>
      <c r="J81" s="151"/>
      <c r="K81" s="151">
        <v>3000</v>
      </c>
      <c r="L81" s="151">
        <v>6000</v>
      </c>
      <c r="M81" s="151">
        <v>8000</v>
      </c>
      <c r="N81" s="151">
        <v>16000</v>
      </c>
      <c r="O81" s="151">
        <v>32000</v>
      </c>
      <c r="P81" s="151">
        <v>60000</v>
      </c>
      <c r="Q81" s="151">
        <v>80000</v>
      </c>
      <c r="R81" s="151">
        <v>129252</v>
      </c>
      <c r="S81" s="151">
        <v>129252</v>
      </c>
      <c r="T81" s="151">
        <v>129252</v>
      </c>
      <c r="U81" s="151">
        <v>129252</v>
      </c>
      <c r="V81" s="151">
        <v>129252</v>
      </c>
      <c r="W81" s="296">
        <v>1971090.54</v>
      </c>
      <c r="X81" s="153">
        <f t="shared" si="2"/>
        <v>2822350.54</v>
      </c>
      <c r="Z81" s="148"/>
    </row>
    <row r="82" spans="1:26" s="136" customFormat="1" x14ac:dyDescent="0.2">
      <c r="A82" s="445"/>
      <c r="B82" s="297" t="s">
        <v>813</v>
      </c>
      <c r="C82" s="432"/>
      <c r="D82" s="432"/>
      <c r="E82" s="430"/>
      <c r="F82" s="428"/>
      <c r="G82" s="156">
        <v>2.5000000000000001E-3</v>
      </c>
      <c r="H82" s="287">
        <v>7.69</v>
      </c>
      <c r="I82" s="157">
        <v>6040</v>
      </c>
      <c r="J82" s="157">
        <v>8585</v>
      </c>
      <c r="K82" s="157">
        <v>8585</v>
      </c>
      <c r="L82" s="157">
        <v>8575</v>
      </c>
      <c r="M82" s="157">
        <v>8580</v>
      </c>
      <c r="N82" s="157">
        <v>8525</v>
      </c>
      <c r="O82" s="157">
        <v>8470</v>
      </c>
      <c r="P82" s="157">
        <v>8355</v>
      </c>
      <c r="Q82" s="157">
        <v>8190</v>
      </c>
      <c r="R82" s="157">
        <v>7895</v>
      </c>
      <c r="S82" s="157">
        <v>7510</v>
      </c>
      <c r="T82" s="157">
        <v>7115</v>
      </c>
      <c r="U82" s="157">
        <v>6740</v>
      </c>
      <c r="V82" s="157">
        <v>6330</v>
      </c>
      <c r="W82" s="158">
        <v>47845</v>
      </c>
      <c r="X82" s="159">
        <f t="shared" si="2"/>
        <v>157347.69</v>
      </c>
      <c r="Z82" s="148"/>
    </row>
    <row r="83" spans="1:26" s="136" customFormat="1" x14ac:dyDescent="0.2">
      <c r="A83" s="446">
        <v>39</v>
      </c>
      <c r="B83" s="286" t="s">
        <v>682</v>
      </c>
      <c r="C83" s="435" t="s">
        <v>814</v>
      </c>
      <c r="D83" s="435">
        <v>666</v>
      </c>
      <c r="E83" s="429">
        <v>663930</v>
      </c>
      <c r="F83" s="427" t="s">
        <v>809</v>
      </c>
      <c r="G83" s="150" t="s">
        <v>685</v>
      </c>
      <c r="H83" s="151"/>
      <c r="I83" s="151"/>
      <c r="J83" s="151"/>
      <c r="K83" s="151">
        <v>3000</v>
      </c>
      <c r="L83" s="151">
        <v>6000</v>
      </c>
      <c r="M83" s="151">
        <v>10000</v>
      </c>
      <c r="N83" s="151">
        <v>20000</v>
      </c>
      <c r="O83" s="151">
        <v>26880</v>
      </c>
      <c r="P83" s="151">
        <v>26880</v>
      </c>
      <c r="Q83" s="151">
        <v>26880</v>
      </c>
      <c r="R83" s="151">
        <v>26880</v>
      </c>
      <c r="S83" s="151">
        <v>26880</v>
      </c>
      <c r="T83" s="151">
        <v>26880</v>
      </c>
      <c r="U83" s="151">
        <v>26880</v>
      </c>
      <c r="V83" s="151">
        <v>26880</v>
      </c>
      <c r="W83" s="152">
        <v>409890</v>
      </c>
      <c r="X83" s="153">
        <f t="shared" ref="X83:X84" si="3">SUM(H83:W83)</f>
        <v>663930</v>
      </c>
      <c r="Z83" s="148"/>
    </row>
    <row r="84" spans="1:26" s="136" customFormat="1" x14ac:dyDescent="0.2">
      <c r="A84" s="447"/>
      <c r="B84" s="297" t="s">
        <v>815</v>
      </c>
      <c r="C84" s="432"/>
      <c r="D84" s="432"/>
      <c r="E84" s="430"/>
      <c r="F84" s="428"/>
      <c r="G84" s="156">
        <v>2.5000000000000001E-3</v>
      </c>
      <c r="H84" s="287">
        <v>7.13</v>
      </c>
      <c r="I84" s="157">
        <v>1775</v>
      </c>
      <c r="J84" s="157">
        <v>2020</v>
      </c>
      <c r="K84" s="157">
        <v>2020</v>
      </c>
      <c r="L84" s="157">
        <v>2010</v>
      </c>
      <c r="M84" s="157">
        <v>1995</v>
      </c>
      <c r="N84" s="157">
        <v>1955</v>
      </c>
      <c r="O84" s="157">
        <v>1890</v>
      </c>
      <c r="P84" s="157">
        <v>1810</v>
      </c>
      <c r="Q84" s="157">
        <v>1730</v>
      </c>
      <c r="R84" s="157">
        <v>1645</v>
      </c>
      <c r="S84" s="157">
        <v>1565</v>
      </c>
      <c r="T84" s="157">
        <v>1480</v>
      </c>
      <c r="U84" s="157">
        <v>1405</v>
      </c>
      <c r="V84" s="157">
        <v>1320</v>
      </c>
      <c r="W84" s="158">
        <v>9950</v>
      </c>
      <c r="X84" s="159">
        <f t="shared" si="3"/>
        <v>34577.130000000005</v>
      </c>
      <c r="Z84" s="148"/>
    </row>
    <row r="85" spans="1:26" s="136" customFormat="1" hidden="1" x14ac:dyDescent="0.2">
      <c r="A85" s="423">
        <v>40</v>
      </c>
      <c r="B85" s="169"/>
      <c r="C85" s="459"/>
      <c r="D85" s="459"/>
      <c r="E85" s="461"/>
      <c r="F85" s="463"/>
      <c r="G85" s="150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3"/>
      <c r="X85" s="153">
        <f t="shared" si="2"/>
        <v>0</v>
      </c>
      <c r="Z85" s="148"/>
    </row>
    <row r="86" spans="1:26" s="136" customFormat="1" hidden="1" x14ac:dyDescent="0.2">
      <c r="A86" s="424"/>
      <c r="B86" s="207"/>
      <c r="C86" s="460"/>
      <c r="D86" s="460"/>
      <c r="E86" s="462"/>
      <c r="F86" s="464"/>
      <c r="G86" s="156"/>
      <c r="H86" s="209"/>
      <c r="I86" s="209"/>
      <c r="J86" s="209"/>
      <c r="K86" s="209"/>
      <c r="L86" s="209"/>
      <c r="M86" s="209"/>
      <c r="N86" s="209"/>
      <c r="O86" s="209"/>
      <c r="P86" s="209"/>
      <c r="Q86" s="209"/>
      <c r="R86" s="209"/>
      <c r="S86" s="209"/>
      <c r="T86" s="209"/>
      <c r="U86" s="209"/>
      <c r="V86" s="209"/>
      <c r="W86" s="204"/>
      <c r="X86" s="159">
        <f t="shared" si="2"/>
        <v>0</v>
      </c>
      <c r="Z86" s="148"/>
    </row>
    <row r="87" spans="1:26" x14ac:dyDescent="0.2">
      <c r="A87" s="210"/>
      <c r="B87" s="211"/>
      <c r="C87" s="212"/>
      <c r="D87" s="212"/>
      <c r="E87" s="213">
        <f>SUM(E7:E86)</f>
        <v>92588316.670000002</v>
      </c>
      <c r="F87" s="214"/>
      <c r="G87" s="215"/>
      <c r="H87" s="216">
        <f>SUM(H9+H11+H13+H15+H17+H23+H19+H21+H25+H27+H33+H31+H29+H35+H37+H39+H41)+H43+H45+H47+H7+H49+H51+H53+H55+H57+H59+H63+H61+H65+H67+H69+H71+H85+H73+H75+H77+H79+H81+H83</f>
        <v>5312240.4800000004</v>
      </c>
      <c r="I87" s="216">
        <f t="shared" ref="I87:V87" si="4">SUM(I9+I11+I13+I15+I17+I23+I19+I21+I25+I27+I33+I31+I29+I35+I37+I39+I41)+I43+I45+I47+I7+I49+I51+I53+I55+I57+I59+I63+I61+I65+I67+I69+I71+I85+I73+I75+I77+I79+I81+I83</f>
        <v>5582664.3899999997</v>
      </c>
      <c r="J87" s="216">
        <f t="shared" si="4"/>
        <v>5416744.71</v>
      </c>
      <c r="K87" s="216">
        <f t="shared" si="4"/>
        <v>4757156.2</v>
      </c>
      <c r="L87" s="216">
        <f t="shared" si="4"/>
        <v>4458328</v>
      </c>
      <c r="M87" s="216">
        <f t="shared" si="4"/>
        <v>4364848</v>
      </c>
      <c r="N87" s="216">
        <f t="shared" si="4"/>
        <v>4427052</v>
      </c>
      <c r="O87" s="216">
        <f t="shared" si="4"/>
        <v>4404632</v>
      </c>
      <c r="P87" s="216">
        <f t="shared" si="4"/>
        <v>3193482</v>
      </c>
      <c r="Q87" s="216">
        <f t="shared" si="4"/>
        <v>2859528</v>
      </c>
      <c r="R87" s="216">
        <f t="shared" si="4"/>
        <v>2826724</v>
      </c>
      <c r="S87" s="216">
        <f t="shared" si="4"/>
        <v>3000794</v>
      </c>
      <c r="T87" s="216">
        <f t="shared" si="4"/>
        <v>3132232</v>
      </c>
      <c r="U87" s="216">
        <f t="shared" si="4"/>
        <v>3132232</v>
      </c>
      <c r="V87" s="216">
        <f t="shared" si="4"/>
        <v>3110180</v>
      </c>
      <c r="W87" s="216">
        <f>SUM(W9+W11+W13+W15+W17+W23+W19+W21+W25+W27+W33+W31+W29+W35+W37+W39+W41)+W43+W45+W47+W7+W49+W51+W53+W55+W57+W59+W63+W61+W65+W67+W69+W71+W85+W73+W75+W77+W79+W81+W83</f>
        <v>29553236.960000001</v>
      </c>
      <c r="X87" s="216">
        <f>SUM(X9+X11+X13+X15+X17+X23+X19+X21+X25+X27+X33+X31+X29+X35+X37+X39+X41)+X43+X45+X47+X7+X49+X51+X53+X55+X57+X59+X61+X63+X65+X67+X69+X71+X85+X73+X75+X77+X79+X81+X83</f>
        <v>89532074.739999995</v>
      </c>
      <c r="Z87" s="148"/>
    </row>
    <row r="88" spans="1:26" x14ac:dyDescent="0.2">
      <c r="A88" s="217"/>
      <c r="B88" s="465" t="s">
        <v>781</v>
      </c>
      <c r="C88" s="466"/>
      <c r="D88" s="466"/>
      <c r="E88" s="466"/>
      <c r="F88" s="467"/>
      <c r="G88" s="218"/>
      <c r="H88" s="219">
        <f>SUM(H10+H12+H14+H16+H18+H24+H20+H22+H26+H28+H34+H32+H30+H36+H38+H40+H42)+H44+H46+H48+H8+H50+H52+H54+H56+H58+H60+H64+H62+H66+H68+H70+H72+H86+H74+H76+H78+H80+H82+H84</f>
        <v>154866.59</v>
      </c>
      <c r="I88" s="219">
        <f>SUM(I10+I12+I14+I16+I18+I24+I20+I22+I26+I28+I34+I32+I30+I36+I38+I40+I42)+I44+I46+I48+I8+I50+I52+I54+I56+I58+I60+I64+I62+I66+I68+I70+I72+I86+I74+I76+I78+I80+I82+I84</f>
        <v>218130</v>
      </c>
      <c r="J88" s="219">
        <f t="shared" ref="J88:W88" si="5">SUM(J10+J12+J14+J16+J18+J24+J20+J22+J26+J28+J34+J32+J30+J36+J38+J40+J42)+J44+J46+J48+J8+J50+J52+J54+J56+J58+J60+J64+J62+J66+J68+J70+J72+J86+J74+J76+J78+J80+J82+J84</f>
        <v>237190</v>
      </c>
      <c r="K88" s="219">
        <f t="shared" si="5"/>
        <v>221125</v>
      </c>
      <c r="L88" s="219">
        <f t="shared" si="5"/>
        <v>206690</v>
      </c>
      <c r="M88" s="219">
        <f t="shared" si="5"/>
        <v>193690</v>
      </c>
      <c r="N88" s="219">
        <f t="shared" si="5"/>
        <v>179805</v>
      </c>
      <c r="O88" s="219">
        <f t="shared" si="5"/>
        <v>166360</v>
      </c>
      <c r="P88" s="219">
        <f t="shared" si="5"/>
        <v>153700</v>
      </c>
      <c r="Q88" s="219">
        <f t="shared" si="5"/>
        <v>144345</v>
      </c>
      <c r="R88" s="219">
        <f t="shared" si="5"/>
        <v>135205</v>
      </c>
      <c r="S88" s="219">
        <f t="shared" si="5"/>
        <v>126490</v>
      </c>
      <c r="T88" s="219">
        <f t="shared" si="5"/>
        <v>117300</v>
      </c>
      <c r="U88" s="219">
        <f t="shared" si="5"/>
        <v>108090</v>
      </c>
      <c r="V88" s="219">
        <f t="shared" si="5"/>
        <v>98265</v>
      </c>
      <c r="W88" s="219">
        <f t="shared" si="5"/>
        <v>655960</v>
      </c>
      <c r="X88" s="219">
        <f>SUM(X10+X12+X14+X16+X18+X24+X20+X22+X26+X28+X34+X32+X30+X36+X38+X40+X42)+X44+X46+X48+X8+X50+X52+X54+X56+X58+X60+X62+X64+X66+X68+X70+X72+X86+X74+X76+X78+X80+X82+X84</f>
        <v>3117211.5900000003</v>
      </c>
      <c r="Z88" s="148"/>
    </row>
    <row r="89" spans="1:26" x14ac:dyDescent="0.2">
      <c r="A89" s="220"/>
      <c r="B89" s="448" t="s">
        <v>782</v>
      </c>
      <c r="C89" s="449"/>
      <c r="D89" s="449"/>
      <c r="E89" s="449"/>
      <c r="F89" s="449"/>
      <c r="G89" s="221"/>
      <c r="H89" s="222">
        <f>SUM(H87:H88)</f>
        <v>5467107.0700000003</v>
      </c>
      <c r="I89" s="222">
        <f t="shared" ref="I89:W89" si="6">SUM(I87:I88)</f>
        <v>5800794.3899999997</v>
      </c>
      <c r="J89" s="222">
        <f t="shared" si="6"/>
        <v>5653934.71</v>
      </c>
      <c r="K89" s="222">
        <f t="shared" si="6"/>
        <v>4978281.2</v>
      </c>
      <c r="L89" s="222">
        <f t="shared" si="6"/>
        <v>4665018</v>
      </c>
      <c r="M89" s="222">
        <f t="shared" si="6"/>
        <v>4558538</v>
      </c>
      <c r="N89" s="222">
        <f t="shared" si="6"/>
        <v>4606857</v>
      </c>
      <c r="O89" s="222">
        <f t="shared" si="6"/>
        <v>4570992</v>
      </c>
      <c r="P89" s="222">
        <f t="shared" si="6"/>
        <v>3347182</v>
      </c>
      <c r="Q89" s="222">
        <f t="shared" si="6"/>
        <v>3003873</v>
      </c>
      <c r="R89" s="222">
        <f t="shared" si="6"/>
        <v>2961929</v>
      </c>
      <c r="S89" s="222">
        <f t="shared" si="6"/>
        <v>3127284</v>
      </c>
      <c r="T89" s="222">
        <f t="shared" si="6"/>
        <v>3249532</v>
      </c>
      <c r="U89" s="222">
        <f t="shared" si="6"/>
        <v>3240322</v>
      </c>
      <c r="V89" s="222">
        <f t="shared" si="6"/>
        <v>3208445</v>
      </c>
      <c r="W89" s="222">
        <f t="shared" si="6"/>
        <v>30209196.960000001</v>
      </c>
      <c r="X89" s="223">
        <f>SUM(X87:X88)</f>
        <v>92649286.329999998</v>
      </c>
      <c r="Z89" s="148"/>
    </row>
    <row r="90" spans="1:26" x14ac:dyDescent="0.2">
      <c r="A90" s="224"/>
      <c r="B90" s="450" t="s">
        <v>783</v>
      </c>
      <c r="C90" s="451"/>
      <c r="D90" s="225"/>
      <c r="E90" s="226" t="s">
        <v>784</v>
      </c>
      <c r="F90" s="370">
        <v>76324382</v>
      </c>
      <c r="G90" s="227" t="s">
        <v>785</v>
      </c>
      <c r="H90" s="228">
        <f>SUM(H89/$F$90)</f>
        <v>7.1629889777554967E-2</v>
      </c>
      <c r="I90" s="228">
        <f>SUM(I89/$F$90)</f>
        <v>7.6001852068713766E-2</v>
      </c>
      <c r="J90" s="228">
        <f t="shared" ref="J90:T90" si="7">SUM(J89/$F$90)</f>
        <v>7.4077700491567686E-2</v>
      </c>
      <c r="K90" s="228">
        <f t="shared" si="7"/>
        <v>6.522530637719412E-2</v>
      </c>
      <c r="L90" s="228">
        <f t="shared" si="7"/>
        <v>6.1120940356909799E-2</v>
      </c>
      <c r="M90" s="228">
        <f>SUM(M89/$F$90)</f>
        <v>5.9725842260995969E-2</v>
      </c>
      <c r="N90" s="228">
        <f t="shared" si="7"/>
        <v>6.035891649931735E-2</v>
      </c>
      <c r="O90" s="228">
        <f t="shared" si="7"/>
        <v>5.9889014234009781E-2</v>
      </c>
      <c r="P90" s="228">
        <f t="shared" si="7"/>
        <v>4.3854688531903212E-2</v>
      </c>
      <c r="Q90" s="229">
        <f t="shared" si="7"/>
        <v>3.9356663248187193E-2</v>
      </c>
      <c r="R90" s="229">
        <f t="shared" si="7"/>
        <v>3.8807114088391832E-2</v>
      </c>
      <c r="S90" s="229">
        <f t="shared" si="7"/>
        <v>4.0973590850693034E-2</v>
      </c>
      <c r="T90" s="229">
        <f t="shared" si="7"/>
        <v>4.2575280858481106E-2</v>
      </c>
      <c r="U90" s="229">
        <f>SUM(U89/$F$90)</f>
        <v>4.2454611686210578E-2</v>
      </c>
      <c r="V90" s="229">
        <f t="shared" ref="V90:W90" si="8">SUM(V89/$F$90)</f>
        <v>4.2036960089634264E-2</v>
      </c>
      <c r="W90" s="229">
        <f t="shared" si="8"/>
        <v>0.39580008600659222</v>
      </c>
      <c r="X90" s="230"/>
      <c r="Z90" s="148"/>
    </row>
    <row r="91" spans="1:26" x14ac:dyDescent="0.2">
      <c r="A91" s="300"/>
      <c r="B91" s="450" t="s">
        <v>817</v>
      </c>
      <c r="C91" s="451"/>
      <c r="D91" s="285"/>
      <c r="E91" s="226"/>
      <c r="F91" s="298"/>
      <c r="G91" s="299" t="s">
        <v>785</v>
      </c>
      <c r="H91" s="303">
        <f>SUM((H89-H93)/$F$90)</f>
        <v>6.9665504661406891E-2</v>
      </c>
      <c r="I91" s="304">
        <f t="shared" ref="I91:W91" si="9">SUM((I89-I93)/$F$90)</f>
        <v>7.6001852068713766E-2</v>
      </c>
      <c r="J91" s="304">
        <f t="shared" si="9"/>
        <v>7.4077700491567686E-2</v>
      </c>
      <c r="K91" s="304">
        <f t="shared" si="9"/>
        <v>6.522530637719412E-2</v>
      </c>
      <c r="L91" s="304">
        <f t="shared" si="9"/>
        <v>6.1120940356909799E-2</v>
      </c>
      <c r="M91" s="304">
        <f t="shared" si="9"/>
        <v>5.9725842260995969E-2</v>
      </c>
      <c r="N91" s="304">
        <f t="shared" si="9"/>
        <v>6.035891649931735E-2</v>
      </c>
      <c r="O91" s="304">
        <f t="shared" si="9"/>
        <v>5.9889014234009781E-2</v>
      </c>
      <c r="P91" s="304">
        <f t="shared" si="9"/>
        <v>4.3854688531903212E-2</v>
      </c>
      <c r="Q91" s="304">
        <f t="shared" si="9"/>
        <v>3.9356663248187193E-2</v>
      </c>
      <c r="R91" s="304">
        <f t="shared" si="9"/>
        <v>3.8807114088391832E-2</v>
      </c>
      <c r="S91" s="304">
        <f t="shared" si="9"/>
        <v>4.0973590850693034E-2</v>
      </c>
      <c r="T91" s="304">
        <f t="shared" si="9"/>
        <v>4.2575280858481106E-2</v>
      </c>
      <c r="U91" s="304">
        <f t="shared" si="9"/>
        <v>4.2454611686210578E-2</v>
      </c>
      <c r="V91" s="304">
        <f t="shared" si="9"/>
        <v>4.2036960089634264E-2</v>
      </c>
      <c r="W91" s="304">
        <f t="shared" si="9"/>
        <v>0.39580008600659222</v>
      </c>
      <c r="X91" s="302"/>
      <c r="Z91" s="148"/>
    </row>
    <row r="92" spans="1:26" ht="15" customHeight="1" x14ac:dyDescent="0.2">
      <c r="C92" s="231"/>
      <c r="D92" s="231"/>
      <c r="E92" s="231"/>
      <c r="F92" s="231"/>
      <c r="G92" s="231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232"/>
      <c r="X92" s="232"/>
    </row>
    <row r="93" spans="1:26" ht="15" customHeight="1" x14ac:dyDescent="0.2">
      <c r="C93" s="231"/>
      <c r="D93" s="231"/>
      <c r="E93" s="453" t="s">
        <v>818</v>
      </c>
      <c r="F93" s="453"/>
      <c r="G93" s="453"/>
      <c r="H93" s="307">
        <f>H47+H65</f>
        <v>149930.47999999998</v>
      </c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X93" s="232"/>
    </row>
    <row r="94" spans="1:26" ht="15" customHeight="1" x14ac:dyDescent="0.2">
      <c r="C94" s="231"/>
      <c r="D94" s="231"/>
      <c r="E94" s="453" t="s">
        <v>816</v>
      </c>
      <c r="F94" s="453"/>
      <c r="G94" s="453"/>
      <c r="H94" s="308">
        <v>5162310</v>
      </c>
      <c r="I94" s="232"/>
      <c r="J94" s="232"/>
      <c r="K94" s="232"/>
      <c r="L94" s="232"/>
      <c r="M94" s="232"/>
      <c r="N94" s="232"/>
      <c r="O94" s="232"/>
      <c r="P94" s="232"/>
      <c r="Q94" s="232"/>
      <c r="R94" s="232"/>
      <c r="S94" s="232"/>
      <c r="T94" s="232"/>
      <c r="U94" s="232"/>
      <c r="V94" s="232"/>
      <c r="X94" s="232"/>
    </row>
    <row r="95" spans="1:26" ht="15" customHeight="1" x14ac:dyDescent="0.2">
      <c r="C95" s="231"/>
      <c r="D95" s="231"/>
      <c r="E95" s="454"/>
      <c r="F95" s="454"/>
      <c r="G95" s="454"/>
      <c r="H95" s="309">
        <f>H93+H94</f>
        <v>5312240.4800000004</v>
      </c>
      <c r="I95" s="232"/>
      <c r="J95" s="232"/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X95" s="232"/>
    </row>
    <row r="96" spans="1:26" hidden="1" x14ac:dyDescent="0.2">
      <c r="D96" s="131"/>
      <c r="E96" s="233"/>
      <c r="F96" s="234"/>
      <c r="G96" s="234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  <c r="U96" s="235"/>
      <c r="V96" s="235"/>
      <c r="X96" s="236"/>
    </row>
    <row r="97" spans="1:24" s="238" customFormat="1" ht="15" hidden="1" customHeight="1" x14ac:dyDescent="0.2">
      <c r="A97" s="129"/>
      <c r="B97" s="136"/>
      <c r="C97" s="452" t="s">
        <v>786</v>
      </c>
      <c r="D97" s="452"/>
      <c r="E97" s="452"/>
      <c r="F97" s="452"/>
      <c r="G97" s="452"/>
      <c r="H97" s="237"/>
      <c r="I97" s="237">
        <f t="shared" ref="I97:W97" si="10">I87-H87</f>
        <v>270423.90999999922</v>
      </c>
      <c r="J97" s="237">
        <f t="shared" si="10"/>
        <v>-165919.6799999997</v>
      </c>
      <c r="K97" s="237">
        <f t="shared" si="10"/>
        <v>-659588.50999999978</v>
      </c>
      <c r="L97" s="237">
        <f t="shared" si="10"/>
        <v>-298828.20000000019</v>
      </c>
      <c r="M97" s="237">
        <f t="shared" si="10"/>
        <v>-93480</v>
      </c>
      <c r="N97" s="237">
        <f t="shared" si="10"/>
        <v>62204</v>
      </c>
      <c r="O97" s="237">
        <f t="shared" si="10"/>
        <v>-22420</v>
      </c>
      <c r="P97" s="237">
        <f t="shared" si="10"/>
        <v>-1211150</v>
      </c>
      <c r="Q97" s="237">
        <f t="shared" si="10"/>
        <v>-333954</v>
      </c>
      <c r="R97" s="237">
        <f t="shared" si="10"/>
        <v>-32804</v>
      </c>
      <c r="S97" s="237">
        <f t="shared" si="10"/>
        <v>174070</v>
      </c>
      <c r="T97" s="237">
        <f t="shared" si="10"/>
        <v>131438</v>
      </c>
      <c r="U97" s="237">
        <f t="shared" si="10"/>
        <v>0</v>
      </c>
      <c r="V97" s="237">
        <f t="shared" si="10"/>
        <v>-22052</v>
      </c>
      <c r="W97" s="237">
        <f t="shared" si="10"/>
        <v>26443056.960000001</v>
      </c>
      <c r="X97" s="237"/>
    </row>
    <row r="98" spans="1:24" s="238" customFormat="1" ht="15" hidden="1" customHeight="1" x14ac:dyDescent="0.2">
      <c r="A98" s="129"/>
      <c r="B98" s="136"/>
      <c r="C98" s="452" t="s">
        <v>787</v>
      </c>
      <c r="D98" s="452"/>
      <c r="E98" s="452"/>
      <c r="F98" s="452"/>
      <c r="G98" s="452"/>
      <c r="H98" s="237"/>
      <c r="I98" s="237">
        <f>I88-H88</f>
        <v>63263.41</v>
      </c>
      <c r="J98" s="237">
        <f t="shared" ref="J98:W98" si="11">J89-I89</f>
        <v>-146859.6799999997</v>
      </c>
      <c r="K98" s="237">
        <f t="shared" si="11"/>
        <v>-675653.50999999978</v>
      </c>
      <c r="L98" s="237">
        <f t="shared" si="11"/>
        <v>-313263.20000000019</v>
      </c>
      <c r="M98" s="237">
        <f t="shared" si="11"/>
        <v>-106480</v>
      </c>
      <c r="N98" s="237">
        <f t="shared" si="11"/>
        <v>48319</v>
      </c>
      <c r="O98" s="237">
        <f t="shared" si="11"/>
        <v>-35865</v>
      </c>
      <c r="P98" s="237">
        <f t="shared" si="11"/>
        <v>-1223810</v>
      </c>
      <c r="Q98" s="237">
        <f t="shared" si="11"/>
        <v>-343309</v>
      </c>
      <c r="R98" s="237">
        <f t="shared" si="11"/>
        <v>-41944</v>
      </c>
      <c r="S98" s="237">
        <f t="shared" si="11"/>
        <v>165355</v>
      </c>
      <c r="T98" s="237">
        <f t="shared" si="11"/>
        <v>122248</v>
      </c>
      <c r="U98" s="237">
        <f t="shared" si="11"/>
        <v>-9210</v>
      </c>
      <c r="V98" s="237">
        <f t="shared" si="11"/>
        <v>-31877</v>
      </c>
      <c r="W98" s="237">
        <f t="shared" si="11"/>
        <v>27000751.960000001</v>
      </c>
      <c r="X98" s="237"/>
    </row>
    <row r="99" spans="1:24" s="238" customFormat="1" hidden="1" x14ac:dyDescent="0.2">
      <c r="A99" s="239"/>
      <c r="B99" s="240"/>
      <c r="C99" s="239"/>
      <c r="D99" s="239"/>
      <c r="E99" s="137"/>
      <c r="F99" s="241"/>
      <c r="G99" s="241"/>
      <c r="H99" s="242"/>
      <c r="I99" s="242"/>
      <c r="J99" s="242"/>
      <c r="K99" s="242"/>
      <c r="L99" s="242"/>
      <c r="M99" s="242"/>
      <c r="N99" s="242"/>
      <c r="O99" s="242"/>
      <c r="P99" s="242"/>
      <c r="Q99" s="242"/>
      <c r="R99" s="242"/>
      <c r="S99" s="242"/>
      <c r="T99" s="242"/>
      <c r="U99" s="242"/>
      <c r="V99" s="242"/>
      <c r="W99" s="242"/>
      <c r="X99" s="242"/>
    </row>
    <row r="100" spans="1:24" s="238" customFormat="1" hidden="1" x14ac:dyDescent="0.2">
      <c r="A100" s="239"/>
      <c r="B100" s="240"/>
      <c r="C100" s="239"/>
      <c r="D100" s="239"/>
      <c r="E100" s="137"/>
      <c r="F100" s="241"/>
      <c r="G100" s="241"/>
      <c r="H100" s="242"/>
      <c r="I100" s="242"/>
      <c r="J100" s="242"/>
      <c r="K100" s="242"/>
      <c r="L100" s="242"/>
      <c r="M100" s="242"/>
      <c r="N100" s="242"/>
      <c r="O100" s="242"/>
      <c r="P100" s="242"/>
      <c r="Q100" s="242"/>
      <c r="R100" s="242"/>
      <c r="S100" s="242"/>
      <c r="T100" s="242"/>
      <c r="U100" s="242"/>
      <c r="V100" s="242"/>
      <c r="W100" s="242"/>
      <c r="X100" s="242"/>
    </row>
    <row r="101" spans="1:24" s="238" customFormat="1" x14ac:dyDescent="0.2">
      <c r="A101" s="239"/>
      <c r="B101" s="240"/>
      <c r="C101" s="239"/>
      <c r="D101" s="239"/>
      <c r="E101" s="137"/>
      <c r="F101" s="241"/>
      <c r="G101" s="241"/>
      <c r="H101" s="242"/>
      <c r="I101" s="242"/>
      <c r="J101" s="242"/>
      <c r="K101" s="242"/>
      <c r="L101" s="242"/>
      <c r="M101" s="242"/>
      <c r="N101" s="242"/>
      <c r="O101" s="242"/>
      <c r="P101" s="242"/>
      <c r="Q101" s="242"/>
      <c r="R101" s="242"/>
      <c r="S101" s="242"/>
      <c r="T101" s="242"/>
      <c r="U101" s="242"/>
      <c r="V101" s="242"/>
      <c r="W101" s="242"/>
      <c r="X101" s="242"/>
    </row>
    <row r="102" spans="1:24" s="238" customFormat="1" x14ac:dyDescent="0.2">
      <c r="A102" s="239"/>
      <c r="B102" s="284" t="s">
        <v>788</v>
      </c>
      <c r="C102" s="239"/>
      <c r="D102" s="239"/>
      <c r="E102" s="137"/>
      <c r="F102" s="241"/>
      <c r="G102" s="241"/>
      <c r="H102" s="242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242"/>
      <c r="X102" s="242"/>
    </row>
    <row r="103" spans="1:24" s="238" customFormat="1" x14ac:dyDescent="0.2">
      <c r="A103" s="444">
        <v>1</v>
      </c>
      <c r="B103" s="243" t="s">
        <v>682</v>
      </c>
      <c r="C103" s="425" t="s">
        <v>789</v>
      </c>
      <c r="D103" s="244"/>
      <c r="E103" s="455">
        <v>5122338.5199999996</v>
      </c>
      <c r="F103" s="457" t="s">
        <v>790</v>
      </c>
      <c r="G103" s="245" t="s">
        <v>685</v>
      </c>
      <c r="H103" s="173">
        <v>216000</v>
      </c>
      <c r="I103" s="173">
        <v>216000</v>
      </c>
      <c r="J103" s="173">
        <v>216000</v>
      </c>
      <c r="K103" s="173">
        <v>216000</v>
      </c>
      <c r="L103" s="173">
        <v>216000</v>
      </c>
      <c r="M103" s="173">
        <v>216000</v>
      </c>
      <c r="N103" s="173">
        <v>216000</v>
      </c>
      <c r="O103" s="173">
        <v>216000</v>
      </c>
      <c r="P103" s="173">
        <v>216000</v>
      </c>
      <c r="Q103" s="173">
        <v>216000</v>
      </c>
      <c r="R103" s="173">
        <v>216000</v>
      </c>
      <c r="S103" s="173">
        <v>216000</v>
      </c>
      <c r="T103" s="173">
        <v>0</v>
      </c>
      <c r="U103" s="173">
        <v>0</v>
      </c>
      <c r="V103" s="314">
        <v>0</v>
      </c>
      <c r="W103" s="314">
        <v>0</v>
      </c>
      <c r="X103" s="153">
        <f>SUM(H103:W103)</f>
        <v>2592000</v>
      </c>
    </row>
    <row r="104" spans="1:24" s="238" customFormat="1" x14ac:dyDescent="0.2">
      <c r="A104" s="445"/>
      <c r="B104" s="248" t="s">
        <v>791</v>
      </c>
      <c r="C104" s="426"/>
      <c r="D104" s="249"/>
      <c r="E104" s="456"/>
      <c r="F104" s="458"/>
      <c r="G104" s="250">
        <v>5.0000000000000001E-3</v>
      </c>
      <c r="H104" s="253">
        <v>12965</v>
      </c>
      <c r="I104" s="253">
        <v>11850</v>
      </c>
      <c r="J104" s="253">
        <v>10785</v>
      </c>
      <c r="K104" s="253">
        <v>9690</v>
      </c>
      <c r="L104" s="253">
        <v>8595</v>
      </c>
      <c r="M104" s="253">
        <v>7520</v>
      </c>
      <c r="N104" s="253">
        <v>6405</v>
      </c>
      <c r="O104" s="253">
        <v>5310</v>
      </c>
      <c r="P104" s="253">
        <v>4215</v>
      </c>
      <c r="Q104" s="253">
        <v>3130</v>
      </c>
      <c r="R104" s="253">
        <v>2025</v>
      </c>
      <c r="S104" s="253">
        <v>930</v>
      </c>
      <c r="T104" s="253">
        <v>65</v>
      </c>
      <c r="U104" s="253">
        <v>0</v>
      </c>
      <c r="V104" s="315">
        <v>0</v>
      </c>
      <c r="W104" s="315">
        <v>0</v>
      </c>
      <c r="X104" s="159">
        <f t="shared" ref="X104:X112" si="12">SUM(H104:W104)</f>
        <v>83485</v>
      </c>
    </row>
    <row r="105" spans="1:24" s="238" customFormat="1" ht="12.75" customHeight="1" x14ac:dyDescent="0.2">
      <c r="A105" s="444">
        <v>2</v>
      </c>
      <c r="B105" s="243" t="s">
        <v>792</v>
      </c>
      <c r="C105" s="425" t="s">
        <v>793</v>
      </c>
      <c r="D105" s="244"/>
      <c r="E105" s="455">
        <v>435398.77</v>
      </c>
      <c r="F105" s="457" t="s">
        <v>794</v>
      </c>
      <c r="G105" s="245" t="s">
        <v>685</v>
      </c>
      <c r="H105" s="173">
        <v>52908.9</v>
      </c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314"/>
      <c r="V105" s="314"/>
      <c r="W105" s="314"/>
      <c r="X105" s="153">
        <f>SUM(H105:W105)</f>
        <v>52908.9</v>
      </c>
    </row>
    <row r="106" spans="1:24" s="238" customFormat="1" ht="13.5" customHeight="1" x14ac:dyDescent="0.2">
      <c r="A106" s="445"/>
      <c r="B106" s="248" t="s">
        <v>795</v>
      </c>
      <c r="C106" s="426"/>
      <c r="D106" s="249"/>
      <c r="E106" s="456"/>
      <c r="F106" s="458"/>
      <c r="G106" s="250">
        <v>1.9820000000000001E-2</v>
      </c>
      <c r="H106" s="253">
        <v>445.01</v>
      </c>
      <c r="I106" s="253"/>
      <c r="J106" s="253"/>
      <c r="K106" s="253"/>
      <c r="L106" s="253"/>
      <c r="M106" s="253"/>
      <c r="N106" s="253"/>
      <c r="O106" s="253"/>
      <c r="P106" s="253"/>
      <c r="Q106" s="253"/>
      <c r="R106" s="253"/>
      <c r="S106" s="253"/>
      <c r="T106" s="253"/>
      <c r="U106" s="315"/>
      <c r="V106" s="315"/>
      <c r="W106" s="315"/>
      <c r="X106" s="159">
        <f t="shared" si="12"/>
        <v>445.01</v>
      </c>
    </row>
    <row r="107" spans="1:24" s="238" customFormat="1" x14ac:dyDescent="0.2">
      <c r="A107" s="444">
        <v>3</v>
      </c>
      <c r="B107" s="243" t="s">
        <v>682</v>
      </c>
      <c r="C107" s="425" t="s">
        <v>796</v>
      </c>
      <c r="D107" s="244"/>
      <c r="E107" s="455">
        <v>522193.95</v>
      </c>
      <c r="F107" s="457" t="s">
        <v>797</v>
      </c>
      <c r="G107" s="245" t="s">
        <v>685</v>
      </c>
      <c r="H107" s="173">
        <v>21600</v>
      </c>
      <c r="I107" s="173"/>
      <c r="J107" s="173"/>
      <c r="K107" s="173"/>
      <c r="L107" s="173">
        <v>10699.57</v>
      </c>
      <c r="M107" s="173">
        <v>32139.84</v>
      </c>
      <c r="N107" s="173">
        <v>32139.84</v>
      </c>
      <c r="O107" s="173">
        <v>32139.84</v>
      </c>
      <c r="P107" s="173">
        <v>32139.84</v>
      </c>
      <c r="Q107" s="173">
        <v>32139.84</v>
      </c>
      <c r="R107" s="173">
        <v>32139.84</v>
      </c>
      <c r="S107" s="173">
        <v>32061.39</v>
      </c>
      <c r="T107" s="173">
        <v>0</v>
      </c>
      <c r="U107" s="173">
        <v>0</v>
      </c>
      <c r="V107" s="314">
        <v>0</v>
      </c>
      <c r="W107" s="314">
        <v>0</v>
      </c>
      <c r="X107" s="153">
        <f>SUM(H107:W107)</f>
        <v>257200</v>
      </c>
    </row>
    <row r="108" spans="1:24" s="238" customFormat="1" x14ac:dyDescent="0.2">
      <c r="A108" s="445"/>
      <c r="B108" s="248" t="s">
        <v>798</v>
      </c>
      <c r="C108" s="426"/>
      <c r="D108" s="249"/>
      <c r="E108" s="456"/>
      <c r="F108" s="458"/>
      <c r="G108" s="250">
        <v>5.0000000000000001E-3</v>
      </c>
      <c r="H108" s="253">
        <v>1290</v>
      </c>
      <c r="I108" s="253">
        <v>1200</v>
      </c>
      <c r="J108" s="253">
        <v>1195</v>
      </c>
      <c r="K108" s="253">
        <v>1195</v>
      </c>
      <c r="L108" s="253">
        <v>1195</v>
      </c>
      <c r="M108" s="253">
        <v>1120</v>
      </c>
      <c r="N108" s="253">
        <v>955</v>
      </c>
      <c r="O108" s="253">
        <v>790</v>
      </c>
      <c r="P108" s="253">
        <v>630</v>
      </c>
      <c r="Q108" s="253">
        <v>465</v>
      </c>
      <c r="R108" s="253">
        <v>305</v>
      </c>
      <c r="S108" s="253">
        <v>140</v>
      </c>
      <c r="T108" s="253">
        <v>10</v>
      </c>
      <c r="U108" s="253">
        <v>0</v>
      </c>
      <c r="V108" s="315">
        <v>0</v>
      </c>
      <c r="W108" s="315">
        <v>0</v>
      </c>
      <c r="X108" s="159">
        <f t="shared" si="12"/>
        <v>10490</v>
      </c>
    </row>
    <row r="109" spans="1:24" s="238" customFormat="1" hidden="1" x14ac:dyDescent="0.2">
      <c r="A109" s="480"/>
      <c r="B109" s="243"/>
      <c r="C109" s="425"/>
      <c r="D109" s="244"/>
      <c r="E109" s="455"/>
      <c r="F109" s="457"/>
      <c r="G109" s="245"/>
      <c r="H109" s="246"/>
      <c r="I109" s="246"/>
      <c r="J109" s="246"/>
      <c r="K109" s="246"/>
      <c r="L109" s="246"/>
      <c r="M109" s="246"/>
      <c r="N109" s="246"/>
      <c r="O109" s="246"/>
      <c r="P109" s="246"/>
      <c r="Q109" s="246"/>
      <c r="R109" s="246"/>
      <c r="S109" s="246"/>
      <c r="T109" s="246"/>
      <c r="U109" s="246"/>
      <c r="V109" s="247"/>
      <c r="W109" s="247"/>
      <c r="X109" s="153">
        <f>SUM(H109:W109)</f>
        <v>0</v>
      </c>
    </row>
    <row r="110" spans="1:24" s="238" customFormat="1" hidden="1" x14ac:dyDescent="0.2">
      <c r="A110" s="481"/>
      <c r="B110" s="248"/>
      <c r="C110" s="426"/>
      <c r="D110" s="249"/>
      <c r="E110" s="456"/>
      <c r="F110" s="458"/>
      <c r="G110" s="250"/>
      <c r="H110" s="251"/>
      <c r="I110" s="251"/>
      <c r="J110" s="251"/>
      <c r="K110" s="251"/>
      <c r="L110" s="251"/>
      <c r="M110" s="251"/>
      <c r="N110" s="251"/>
      <c r="O110" s="251"/>
      <c r="P110" s="251"/>
      <c r="Q110" s="251"/>
      <c r="R110" s="251"/>
      <c r="S110" s="251"/>
      <c r="T110" s="251"/>
      <c r="U110" s="251"/>
      <c r="V110" s="252"/>
      <c r="W110" s="252"/>
      <c r="X110" s="159">
        <f t="shared" si="12"/>
        <v>0</v>
      </c>
    </row>
    <row r="111" spans="1:24" s="238" customFormat="1" hidden="1" x14ac:dyDescent="0.2">
      <c r="A111" s="480"/>
      <c r="B111" s="243"/>
      <c r="C111" s="482"/>
      <c r="D111" s="244"/>
      <c r="E111" s="455"/>
      <c r="F111" s="483"/>
      <c r="G111" s="245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7"/>
      <c r="W111" s="247"/>
      <c r="X111" s="153">
        <f>SUM(H111:W111)</f>
        <v>0</v>
      </c>
    </row>
    <row r="112" spans="1:24" s="238" customFormat="1" hidden="1" x14ac:dyDescent="0.2">
      <c r="A112" s="481"/>
      <c r="B112" s="248"/>
      <c r="C112" s="426"/>
      <c r="D112" s="249"/>
      <c r="E112" s="456"/>
      <c r="F112" s="484"/>
      <c r="G112" s="250"/>
      <c r="H112" s="251"/>
      <c r="I112" s="251"/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2"/>
      <c r="W112" s="252"/>
      <c r="X112" s="159">
        <f t="shared" si="12"/>
        <v>0</v>
      </c>
    </row>
    <row r="113" spans="1:27" s="238" customFormat="1" x14ac:dyDescent="0.2">
      <c r="A113" s="254"/>
      <c r="B113" s="469" t="s">
        <v>799</v>
      </c>
      <c r="C113" s="470"/>
      <c r="D113" s="470"/>
      <c r="E113" s="470"/>
      <c r="F113" s="471"/>
      <c r="G113" s="255"/>
      <c r="H113" s="256">
        <f>H103+H105+H107+H109+H111</f>
        <v>290508.90000000002</v>
      </c>
      <c r="I113" s="256">
        <f>I103+I105+I107+I109+I111</f>
        <v>216000</v>
      </c>
      <c r="J113" s="256">
        <f t="shared" ref="J113:W114" si="13">J103+J105+J107+J109+J111</f>
        <v>216000</v>
      </c>
      <c r="K113" s="256">
        <f t="shared" si="13"/>
        <v>216000</v>
      </c>
      <c r="L113" s="256">
        <f t="shared" si="13"/>
        <v>226699.57</v>
      </c>
      <c r="M113" s="256">
        <f t="shared" si="13"/>
        <v>248139.84</v>
      </c>
      <c r="N113" s="256">
        <f t="shared" si="13"/>
        <v>248139.84</v>
      </c>
      <c r="O113" s="256">
        <f t="shared" si="13"/>
        <v>248139.84</v>
      </c>
      <c r="P113" s="256">
        <f t="shared" si="13"/>
        <v>248139.84</v>
      </c>
      <c r="Q113" s="256">
        <f t="shared" si="13"/>
        <v>248139.84</v>
      </c>
      <c r="R113" s="256">
        <f t="shared" si="13"/>
        <v>248139.84</v>
      </c>
      <c r="S113" s="256">
        <f t="shared" si="13"/>
        <v>248061.39</v>
      </c>
      <c r="T113" s="256">
        <f t="shared" si="13"/>
        <v>0</v>
      </c>
      <c r="U113" s="256">
        <f>U103+U105+U107+U109+U111</f>
        <v>0</v>
      </c>
      <c r="V113" s="256">
        <f t="shared" si="13"/>
        <v>0</v>
      </c>
      <c r="W113" s="256">
        <f t="shared" si="13"/>
        <v>0</v>
      </c>
      <c r="X113" s="256">
        <f>+X103+X105+X107+X109+X111</f>
        <v>2902108.9</v>
      </c>
    </row>
    <row r="114" spans="1:27" s="238" customFormat="1" ht="13.5" thickBot="1" x14ac:dyDescent="0.25">
      <c r="A114" s="257"/>
      <c r="B114" s="472" t="s">
        <v>781</v>
      </c>
      <c r="C114" s="472"/>
      <c r="D114" s="472"/>
      <c r="E114" s="472"/>
      <c r="F114" s="472"/>
      <c r="G114" s="258"/>
      <c r="H114" s="259">
        <f>H104+H106+H108+H110+H112</f>
        <v>14700.01</v>
      </c>
      <c r="I114" s="259">
        <f>I104+I106+I108+I110+I112</f>
        <v>13050</v>
      </c>
      <c r="J114" s="259">
        <f t="shared" si="13"/>
        <v>11980</v>
      </c>
      <c r="K114" s="259">
        <f t="shared" si="13"/>
        <v>10885</v>
      </c>
      <c r="L114" s="259">
        <f t="shared" si="13"/>
        <v>9790</v>
      </c>
      <c r="M114" s="259">
        <f t="shared" si="13"/>
        <v>8640</v>
      </c>
      <c r="N114" s="259">
        <f t="shared" si="13"/>
        <v>7360</v>
      </c>
      <c r="O114" s="259">
        <f t="shared" si="13"/>
        <v>6100</v>
      </c>
      <c r="P114" s="259">
        <f t="shared" si="13"/>
        <v>4845</v>
      </c>
      <c r="Q114" s="259">
        <f t="shared" si="13"/>
        <v>3595</v>
      </c>
      <c r="R114" s="259">
        <f t="shared" si="13"/>
        <v>2330</v>
      </c>
      <c r="S114" s="259">
        <f t="shared" si="13"/>
        <v>1070</v>
      </c>
      <c r="T114" s="259">
        <f t="shared" si="13"/>
        <v>75</v>
      </c>
      <c r="U114" s="259">
        <f t="shared" si="13"/>
        <v>0</v>
      </c>
      <c r="V114" s="259">
        <f t="shared" si="13"/>
        <v>0</v>
      </c>
      <c r="W114" s="259">
        <f t="shared" si="13"/>
        <v>0</v>
      </c>
      <c r="X114" s="259">
        <f>+X104+X106+X108+X110+X112</f>
        <v>94420.01</v>
      </c>
    </row>
    <row r="115" spans="1:27" s="238" customFormat="1" ht="13.5" thickTop="1" x14ac:dyDescent="0.2">
      <c r="A115" s="260"/>
      <c r="B115" s="473" t="s">
        <v>800</v>
      </c>
      <c r="C115" s="474"/>
      <c r="D115" s="474"/>
      <c r="E115" s="474"/>
      <c r="F115" s="474"/>
      <c r="G115" s="261"/>
      <c r="H115" s="262">
        <f>SUM(H113:H114)</f>
        <v>305208.91000000003</v>
      </c>
      <c r="I115" s="262">
        <f t="shared" ref="I115:W115" si="14">SUM(I113:I114)</f>
        <v>229050</v>
      </c>
      <c r="J115" s="262">
        <f t="shared" si="14"/>
        <v>227980</v>
      </c>
      <c r="K115" s="262">
        <f t="shared" si="14"/>
        <v>226885</v>
      </c>
      <c r="L115" s="262">
        <f t="shared" si="14"/>
        <v>236489.57</v>
      </c>
      <c r="M115" s="262">
        <f t="shared" si="14"/>
        <v>256779.84</v>
      </c>
      <c r="N115" s="262">
        <f t="shared" si="14"/>
        <v>255499.84</v>
      </c>
      <c r="O115" s="262">
        <f t="shared" si="14"/>
        <v>254239.84</v>
      </c>
      <c r="P115" s="262">
        <f t="shared" si="14"/>
        <v>252984.84</v>
      </c>
      <c r="Q115" s="262">
        <f t="shared" si="14"/>
        <v>251734.84</v>
      </c>
      <c r="R115" s="262">
        <f t="shared" si="14"/>
        <v>250469.84</v>
      </c>
      <c r="S115" s="262">
        <f t="shared" si="14"/>
        <v>249131.39</v>
      </c>
      <c r="T115" s="262">
        <f t="shared" si="14"/>
        <v>75</v>
      </c>
      <c r="U115" s="262">
        <f t="shared" si="14"/>
        <v>0</v>
      </c>
      <c r="V115" s="262">
        <f t="shared" si="14"/>
        <v>0</v>
      </c>
      <c r="W115" s="262">
        <f t="shared" si="14"/>
        <v>0</v>
      </c>
      <c r="X115" s="263">
        <f>SUM(X113:X114)</f>
        <v>2996528.9099999997</v>
      </c>
    </row>
    <row r="116" spans="1:27" s="238" customFormat="1" x14ac:dyDescent="0.2">
      <c r="A116" s="310"/>
      <c r="B116" s="311"/>
      <c r="C116" s="312"/>
      <c r="D116" s="312"/>
      <c r="E116" s="312"/>
      <c r="F116" s="312"/>
      <c r="G116" s="310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</row>
    <row r="117" spans="1:27" x14ac:dyDescent="0.2">
      <c r="O117" s="264"/>
      <c r="P117" s="264"/>
      <c r="Q117" s="264"/>
      <c r="R117" s="264"/>
      <c r="S117" s="264"/>
      <c r="T117" s="264"/>
      <c r="U117" s="264"/>
      <c r="V117" s="264"/>
      <c r="W117" s="264"/>
    </row>
    <row r="118" spans="1:27" s="238" customFormat="1" ht="12" customHeight="1" x14ac:dyDescent="0.2">
      <c r="A118" s="129"/>
      <c r="B118" s="136"/>
      <c r="C118" s="265" t="s">
        <v>665</v>
      </c>
      <c r="D118" s="265"/>
      <c r="E118" s="137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</row>
    <row r="119" spans="1:27" s="238" customFormat="1" x14ac:dyDescent="0.2">
      <c r="A119" s="210"/>
      <c r="B119" s="475" t="s">
        <v>801</v>
      </c>
      <c r="C119" s="476"/>
      <c r="D119" s="476"/>
      <c r="E119" s="476"/>
      <c r="F119" s="477"/>
      <c r="G119" s="215"/>
      <c r="H119" s="266">
        <f t="shared" ref="H119:W119" si="15">H87+H113</f>
        <v>5602749.3800000008</v>
      </c>
      <c r="I119" s="266">
        <f t="shared" si="15"/>
        <v>5798664.3899999997</v>
      </c>
      <c r="J119" s="266">
        <f t="shared" si="15"/>
        <v>5632744.71</v>
      </c>
      <c r="K119" s="266">
        <f t="shared" si="15"/>
        <v>4973156.2</v>
      </c>
      <c r="L119" s="266">
        <f t="shared" si="15"/>
        <v>4685027.57</v>
      </c>
      <c r="M119" s="266">
        <f t="shared" si="15"/>
        <v>4612987.84</v>
      </c>
      <c r="N119" s="266">
        <f t="shared" si="15"/>
        <v>4675191.84</v>
      </c>
      <c r="O119" s="266">
        <f t="shared" si="15"/>
        <v>4652771.84</v>
      </c>
      <c r="P119" s="266">
        <f t="shared" si="15"/>
        <v>3441621.84</v>
      </c>
      <c r="Q119" s="266">
        <f t="shared" si="15"/>
        <v>3107667.84</v>
      </c>
      <c r="R119" s="266">
        <f t="shared" si="15"/>
        <v>3074863.84</v>
      </c>
      <c r="S119" s="266">
        <f t="shared" si="15"/>
        <v>3248855.39</v>
      </c>
      <c r="T119" s="266">
        <f t="shared" si="15"/>
        <v>3132232</v>
      </c>
      <c r="U119" s="266">
        <f t="shared" si="15"/>
        <v>3132232</v>
      </c>
      <c r="V119" s="266">
        <f t="shared" si="15"/>
        <v>3110180</v>
      </c>
      <c r="W119" s="266">
        <f t="shared" si="15"/>
        <v>29553236.960000001</v>
      </c>
      <c r="X119" s="267">
        <f>SUM(H119:W119)</f>
        <v>92434183.640000015</v>
      </c>
    </row>
    <row r="120" spans="1:27" s="238" customFormat="1" ht="13.5" thickBot="1" x14ac:dyDescent="0.25">
      <c r="A120" s="257"/>
      <c r="B120" s="472" t="s">
        <v>781</v>
      </c>
      <c r="C120" s="472"/>
      <c r="D120" s="472"/>
      <c r="E120" s="472"/>
      <c r="F120" s="472"/>
      <c r="G120" s="306"/>
      <c r="H120" s="259">
        <f t="shared" ref="H120:W120" si="16">H88+H114</f>
        <v>169566.6</v>
      </c>
      <c r="I120" s="259">
        <f t="shared" si="16"/>
        <v>231180</v>
      </c>
      <c r="J120" s="259">
        <f t="shared" si="16"/>
        <v>249170</v>
      </c>
      <c r="K120" s="259">
        <f t="shared" si="16"/>
        <v>232010</v>
      </c>
      <c r="L120" s="259">
        <f t="shared" si="16"/>
        <v>216480</v>
      </c>
      <c r="M120" s="259">
        <f t="shared" si="16"/>
        <v>202330</v>
      </c>
      <c r="N120" s="259">
        <f t="shared" si="16"/>
        <v>187165</v>
      </c>
      <c r="O120" s="259">
        <f t="shared" si="16"/>
        <v>172460</v>
      </c>
      <c r="P120" s="259">
        <f t="shared" si="16"/>
        <v>158545</v>
      </c>
      <c r="Q120" s="259">
        <f t="shared" si="16"/>
        <v>147940</v>
      </c>
      <c r="R120" s="259">
        <f t="shared" si="16"/>
        <v>137535</v>
      </c>
      <c r="S120" s="259">
        <f t="shared" si="16"/>
        <v>127560</v>
      </c>
      <c r="T120" s="259">
        <f t="shared" si="16"/>
        <v>117375</v>
      </c>
      <c r="U120" s="259">
        <f t="shared" si="16"/>
        <v>108090</v>
      </c>
      <c r="V120" s="259">
        <f t="shared" si="16"/>
        <v>98265</v>
      </c>
      <c r="W120" s="259">
        <f t="shared" si="16"/>
        <v>655960</v>
      </c>
      <c r="X120" s="268">
        <f>SUM(H120:W120)</f>
        <v>3211631.6</v>
      </c>
      <c r="Z120" s="269"/>
      <c r="AA120" s="269"/>
    </row>
    <row r="121" spans="1:27" s="238" customFormat="1" ht="13.5" thickTop="1" x14ac:dyDescent="0.2">
      <c r="A121" s="270"/>
      <c r="B121" s="478" t="s">
        <v>681</v>
      </c>
      <c r="C121" s="479"/>
      <c r="D121" s="479"/>
      <c r="E121" s="479"/>
      <c r="F121" s="479"/>
      <c r="G121" s="221"/>
      <c r="H121" s="222">
        <f>SUM(H119:H120)</f>
        <v>5772315.9800000004</v>
      </c>
      <c r="I121" s="222">
        <f t="shared" ref="I121:W121" si="17">SUM(I119:I120)</f>
        <v>6029844.3899999997</v>
      </c>
      <c r="J121" s="222">
        <f t="shared" si="17"/>
        <v>5881914.71</v>
      </c>
      <c r="K121" s="222">
        <f t="shared" si="17"/>
        <v>5205166.2</v>
      </c>
      <c r="L121" s="222">
        <f t="shared" si="17"/>
        <v>4901507.57</v>
      </c>
      <c r="M121" s="222">
        <f t="shared" si="17"/>
        <v>4815317.84</v>
      </c>
      <c r="N121" s="222">
        <f t="shared" si="17"/>
        <v>4862356.84</v>
      </c>
      <c r="O121" s="222">
        <f t="shared" si="17"/>
        <v>4825231.84</v>
      </c>
      <c r="P121" s="222">
        <f t="shared" si="17"/>
        <v>3600166.84</v>
      </c>
      <c r="Q121" s="222">
        <f t="shared" si="17"/>
        <v>3255607.84</v>
      </c>
      <c r="R121" s="222">
        <f t="shared" si="17"/>
        <v>3212398.84</v>
      </c>
      <c r="S121" s="222">
        <f t="shared" si="17"/>
        <v>3376415.39</v>
      </c>
      <c r="T121" s="222">
        <f t="shared" si="17"/>
        <v>3249607</v>
      </c>
      <c r="U121" s="222">
        <f t="shared" si="17"/>
        <v>3240322</v>
      </c>
      <c r="V121" s="222">
        <f t="shared" si="17"/>
        <v>3208445</v>
      </c>
      <c r="W121" s="222">
        <f t="shared" si="17"/>
        <v>30209196.960000001</v>
      </c>
      <c r="X121" s="223">
        <f>SUM(X119:X120)</f>
        <v>95645815.24000001</v>
      </c>
    </row>
    <row r="122" spans="1:27" s="238" customFormat="1" x14ac:dyDescent="0.2">
      <c r="A122" s="224"/>
      <c r="B122" s="450" t="s">
        <v>783</v>
      </c>
      <c r="C122" s="451"/>
      <c r="D122" s="225"/>
      <c r="E122" s="225" t="s">
        <v>784</v>
      </c>
      <c r="F122" s="283">
        <f>F90</f>
        <v>76324382</v>
      </c>
      <c r="G122" s="227" t="s">
        <v>785</v>
      </c>
      <c r="H122" s="228">
        <f t="shared" ref="H122:W122" si="18">SUM(H121/$F$122)</f>
        <v>7.5628728706902598E-2</v>
      </c>
      <c r="I122" s="228">
        <f t="shared" si="18"/>
        <v>7.9002859007754556E-2</v>
      </c>
      <c r="J122" s="228">
        <f t="shared" si="18"/>
        <v>7.7064688319389202E-2</v>
      </c>
      <c r="K122" s="228">
        <f t="shared" si="18"/>
        <v>6.8197947544468826E-2</v>
      </c>
      <c r="L122" s="228">
        <f t="shared" si="18"/>
        <v>6.4219420341981942E-2</v>
      </c>
      <c r="M122" s="228">
        <f t="shared" si="18"/>
        <v>6.3090164817842867E-2</v>
      </c>
      <c r="N122" s="228">
        <f t="shared" si="18"/>
        <v>6.3706468530593544E-2</v>
      </c>
      <c r="O122" s="228">
        <f t="shared" si="18"/>
        <v>6.3220057779177302E-2</v>
      </c>
      <c r="P122" s="228">
        <f t="shared" si="18"/>
        <v>4.7169289100827572E-2</v>
      </c>
      <c r="Q122" s="229">
        <f t="shared" si="18"/>
        <v>4.2654886350733896E-2</v>
      </c>
      <c r="R122" s="229">
        <f t="shared" si="18"/>
        <v>4.2088763194964351E-2</v>
      </c>
      <c r="S122" s="229">
        <f t="shared" si="18"/>
        <v>4.4237703621367024E-2</v>
      </c>
      <c r="T122" s="229">
        <f t="shared" si="18"/>
        <v>4.257626350646377E-2</v>
      </c>
      <c r="U122" s="229">
        <f t="shared" si="18"/>
        <v>4.2454611686210578E-2</v>
      </c>
      <c r="V122" s="229">
        <f t="shared" si="18"/>
        <v>4.2036960089634264E-2</v>
      </c>
      <c r="W122" s="229">
        <f t="shared" si="18"/>
        <v>0.39580008600659222</v>
      </c>
      <c r="X122" s="229"/>
    </row>
    <row r="123" spans="1:27" s="238" customFormat="1" ht="15.75" x14ac:dyDescent="0.25">
      <c r="A123" s="129"/>
      <c r="B123" s="136"/>
      <c r="C123" s="137"/>
      <c r="D123" s="137"/>
      <c r="E123" s="137"/>
      <c r="F123" s="129"/>
      <c r="G123" s="129"/>
      <c r="H123" s="129"/>
      <c r="I123" s="271"/>
      <c r="J123" s="129"/>
      <c r="K123" s="129"/>
      <c r="L123" s="129"/>
      <c r="M123" s="129"/>
      <c r="N123" s="129"/>
      <c r="O123" s="129"/>
      <c r="P123" s="129"/>
      <c r="Q123" s="129"/>
      <c r="R123" s="129"/>
      <c r="S123" s="129"/>
      <c r="T123" s="129"/>
      <c r="U123" s="272"/>
      <c r="V123" s="272"/>
      <c r="W123" s="272"/>
      <c r="X123" s="264"/>
    </row>
    <row r="124" spans="1:27" s="238" customFormat="1" ht="18.75" x14ac:dyDescent="0.3">
      <c r="A124" s="129"/>
      <c r="B124" s="136"/>
      <c r="C124" s="137"/>
      <c r="D124" s="137"/>
      <c r="E124" s="137"/>
      <c r="F124" s="129"/>
      <c r="G124" s="129"/>
      <c r="H124" s="305"/>
      <c r="I124" s="129"/>
      <c r="J124" s="129"/>
      <c r="K124" s="129"/>
      <c r="L124" s="129"/>
      <c r="M124" s="273" t="s">
        <v>103</v>
      </c>
      <c r="N124" s="129"/>
      <c r="O124" s="129"/>
      <c r="P124" s="129"/>
      <c r="Q124" s="129"/>
      <c r="R124" s="129"/>
      <c r="S124" s="129"/>
      <c r="T124" s="129"/>
      <c r="U124" s="274" t="s">
        <v>104</v>
      </c>
      <c r="V124" s="272"/>
      <c r="W124" s="272"/>
      <c r="X124" s="264"/>
    </row>
    <row r="125" spans="1:27" s="238" customFormat="1" x14ac:dyDescent="0.2">
      <c r="A125" s="129"/>
      <c r="B125" s="136"/>
      <c r="C125" s="137"/>
      <c r="D125" s="137"/>
      <c r="E125" s="137"/>
      <c r="F125" s="129"/>
      <c r="G125" s="129"/>
      <c r="H125" s="129"/>
      <c r="I125" s="137"/>
      <c r="J125" s="129"/>
      <c r="K125" s="129"/>
      <c r="L125" s="129"/>
      <c r="M125" s="129"/>
      <c r="N125" s="129"/>
      <c r="O125" s="129"/>
      <c r="P125" s="129"/>
      <c r="Q125" s="129"/>
      <c r="R125" s="129"/>
      <c r="S125" s="129"/>
      <c r="T125" s="129"/>
      <c r="U125" s="129"/>
      <c r="V125" s="129"/>
      <c r="W125" s="129"/>
      <c r="X125" s="129"/>
    </row>
    <row r="126" spans="1:27" s="238" customFormat="1" ht="18.75" x14ac:dyDescent="0.3">
      <c r="A126" s="129"/>
      <c r="B126" s="136"/>
      <c r="C126" s="137"/>
      <c r="D126" s="137"/>
      <c r="E126" s="137"/>
      <c r="F126" s="129"/>
      <c r="G126" s="129"/>
      <c r="H126" s="129"/>
      <c r="I126" s="275"/>
      <c r="J126" s="129"/>
      <c r="N126" s="129"/>
      <c r="O126" s="129"/>
      <c r="P126" s="129"/>
      <c r="Q126" s="129"/>
      <c r="R126" s="129"/>
      <c r="S126" s="129"/>
      <c r="T126" s="129"/>
      <c r="V126" s="274"/>
      <c r="W126" s="274"/>
      <c r="X126" s="129"/>
    </row>
    <row r="127" spans="1:27" s="238" customFormat="1" ht="15.75" x14ac:dyDescent="0.25">
      <c r="A127" s="129"/>
      <c r="B127" s="136"/>
      <c r="C127" s="137"/>
      <c r="D127" s="137"/>
      <c r="E127" s="137"/>
      <c r="F127" s="129"/>
      <c r="G127" s="129"/>
      <c r="H127" s="129"/>
      <c r="I127" s="125"/>
      <c r="J127" s="276"/>
      <c r="K127" s="275"/>
      <c r="L127" s="277"/>
      <c r="M127" s="277"/>
      <c r="N127" s="277"/>
      <c r="O127" s="277"/>
      <c r="P127" s="277"/>
      <c r="Q127" s="277"/>
      <c r="R127" s="277"/>
      <c r="S127" s="277"/>
      <c r="T127" s="277"/>
      <c r="U127" s="278"/>
      <c r="V127" s="278"/>
      <c r="W127" s="278"/>
      <c r="X127" s="129"/>
    </row>
    <row r="128" spans="1:27" s="238" customFormat="1" ht="15" x14ac:dyDescent="0.25">
      <c r="A128" s="129"/>
      <c r="B128" s="136"/>
      <c r="C128" s="125"/>
      <c r="D128" s="125"/>
      <c r="E128" s="132"/>
      <c r="F128" s="132"/>
      <c r="G128" s="278"/>
      <c r="H128" s="278"/>
      <c r="I128" s="129"/>
      <c r="J128" s="129"/>
      <c r="K128" s="132"/>
      <c r="L128" s="278"/>
      <c r="M128" s="278"/>
      <c r="N128" s="278"/>
      <c r="O128" s="278"/>
      <c r="P128" s="278"/>
      <c r="Q128" s="278"/>
      <c r="R128" s="278"/>
      <c r="S128" s="278"/>
      <c r="T128" s="278"/>
      <c r="U128" s="129"/>
      <c r="V128" s="129"/>
      <c r="W128" s="129"/>
      <c r="X128" s="129"/>
    </row>
    <row r="129" spans="1:24" s="238" customFormat="1" ht="15" x14ac:dyDescent="0.25">
      <c r="A129" s="129"/>
      <c r="B129" s="125"/>
      <c r="C129" s="125"/>
      <c r="D129" s="125"/>
      <c r="E129" s="132"/>
      <c r="F129" s="132"/>
      <c r="G129" s="278"/>
      <c r="H129" s="278"/>
      <c r="I129" s="129"/>
      <c r="J129" s="27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</row>
    <row r="130" spans="1:24" ht="15" x14ac:dyDescent="0.25">
      <c r="B130" s="125"/>
      <c r="C130" s="125"/>
      <c r="D130" s="125"/>
      <c r="E130" s="132"/>
      <c r="F130" s="132"/>
      <c r="G130" s="278"/>
      <c r="H130" s="278"/>
    </row>
    <row r="131" spans="1:24" ht="15" x14ac:dyDescent="0.25">
      <c r="B131" s="125"/>
      <c r="C131" s="125"/>
      <c r="D131" s="125"/>
      <c r="E131" s="132"/>
      <c r="F131" s="132"/>
      <c r="G131" s="278"/>
      <c r="H131" s="278"/>
    </row>
    <row r="132" spans="1:24" ht="15" x14ac:dyDescent="0.25">
      <c r="C132" s="125"/>
      <c r="D132" s="125"/>
      <c r="E132" s="132"/>
      <c r="F132" s="132"/>
      <c r="G132" s="278"/>
      <c r="H132" s="278"/>
    </row>
    <row r="133" spans="1:24" ht="15" x14ac:dyDescent="0.25">
      <c r="C133" s="125"/>
      <c r="D133" s="125"/>
      <c r="E133" s="132"/>
      <c r="F133" s="132"/>
      <c r="G133" s="278"/>
      <c r="H133" s="278"/>
    </row>
  </sheetData>
  <mergeCells count="240">
    <mergeCell ref="B122:C122"/>
    <mergeCell ref="A4:I4"/>
    <mergeCell ref="B113:F113"/>
    <mergeCell ref="B114:F114"/>
    <mergeCell ref="B115:F115"/>
    <mergeCell ref="B119:F119"/>
    <mergeCell ref="B120:F120"/>
    <mergeCell ref="B121:F121"/>
    <mergeCell ref="A109:A110"/>
    <mergeCell ref="C109:C110"/>
    <mergeCell ref="E109:E110"/>
    <mergeCell ref="F109:F110"/>
    <mergeCell ref="A111:A112"/>
    <mergeCell ref="C111:C112"/>
    <mergeCell ref="E111:E112"/>
    <mergeCell ref="F111:F112"/>
    <mergeCell ref="A105:A106"/>
    <mergeCell ref="C105:C106"/>
    <mergeCell ref="E105:E106"/>
    <mergeCell ref="F105:F106"/>
    <mergeCell ref="A107:A108"/>
    <mergeCell ref="C107:C108"/>
    <mergeCell ref="E107:E108"/>
    <mergeCell ref="F107:F108"/>
    <mergeCell ref="A103:A104"/>
    <mergeCell ref="C103:C104"/>
    <mergeCell ref="E103:E104"/>
    <mergeCell ref="F103:F104"/>
    <mergeCell ref="A85:A86"/>
    <mergeCell ref="C85:C86"/>
    <mergeCell ref="D85:D86"/>
    <mergeCell ref="E85:E86"/>
    <mergeCell ref="F85:F86"/>
    <mergeCell ref="B88:F88"/>
    <mergeCell ref="A83:A84"/>
    <mergeCell ref="C83:C84"/>
    <mergeCell ref="D83:D84"/>
    <mergeCell ref="E83:E84"/>
    <mergeCell ref="F83:F84"/>
    <mergeCell ref="B89:F89"/>
    <mergeCell ref="B90:C90"/>
    <mergeCell ref="C97:G97"/>
    <mergeCell ref="C98:G98"/>
    <mergeCell ref="E93:G93"/>
    <mergeCell ref="E94:G94"/>
    <mergeCell ref="B91:C91"/>
    <mergeCell ref="E95:G95"/>
    <mergeCell ref="A79:A80"/>
    <mergeCell ref="C79:C80"/>
    <mergeCell ref="D79:D80"/>
    <mergeCell ref="E79:E80"/>
    <mergeCell ref="F79:F80"/>
    <mergeCell ref="A81:A82"/>
    <mergeCell ref="C81:C82"/>
    <mergeCell ref="D81:D82"/>
    <mergeCell ref="E81:E82"/>
    <mergeCell ref="F81:F82"/>
    <mergeCell ref="A75:A76"/>
    <mergeCell ref="C75:C76"/>
    <mergeCell ref="D75:D76"/>
    <mergeCell ref="E75:E76"/>
    <mergeCell ref="F75:F76"/>
    <mergeCell ref="A77:A78"/>
    <mergeCell ref="C77:C78"/>
    <mergeCell ref="D77:D78"/>
    <mergeCell ref="E77:E78"/>
    <mergeCell ref="F77:F78"/>
    <mergeCell ref="A71:A72"/>
    <mergeCell ref="C71:C72"/>
    <mergeCell ref="D71:D72"/>
    <mergeCell ref="E71:E72"/>
    <mergeCell ref="F71:F72"/>
    <mergeCell ref="A73:A74"/>
    <mergeCell ref="C73:C74"/>
    <mergeCell ref="D73:D74"/>
    <mergeCell ref="E73:E74"/>
    <mergeCell ref="F73:F74"/>
    <mergeCell ref="A67:A68"/>
    <mergeCell ref="C67:C68"/>
    <mergeCell ref="D67:D68"/>
    <mergeCell ref="E67:E68"/>
    <mergeCell ref="F67:F68"/>
    <mergeCell ref="A69:A70"/>
    <mergeCell ref="C69:C70"/>
    <mergeCell ref="D69:D70"/>
    <mergeCell ref="E69:E70"/>
    <mergeCell ref="F69:F70"/>
    <mergeCell ref="A63:A64"/>
    <mergeCell ref="C63:C64"/>
    <mergeCell ref="D63:D64"/>
    <mergeCell ref="E63:E64"/>
    <mergeCell ref="F63:F64"/>
    <mergeCell ref="A65:A66"/>
    <mergeCell ref="C65:C66"/>
    <mergeCell ref="D65:D66"/>
    <mergeCell ref="E65:E66"/>
    <mergeCell ref="F65:F66"/>
    <mergeCell ref="A59:A60"/>
    <mergeCell ref="C59:C60"/>
    <mergeCell ref="D59:D60"/>
    <mergeCell ref="E59:E60"/>
    <mergeCell ref="F59:F60"/>
    <mergeCell ref="A61:A62"/>
    <mergeCell ref="C61:C62"/>
    <mergeCell ref="D61:D62"/>
    <mergeCell ref="E61:E62"/>
    <mergeCell ref="F61:F62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A51:A52"/>
    <mergeCell ref="C51:C52"/>
    <mergeCell ref="D51:D52"/>
    <mergeCell ref="E51:E52"/>
    <mergeCell ref="F51:F52"/>
    <mergeCell ref="A53:A54"/>
    <mergeCell ref="C53:C54"/>
    <mergeCell ref="D53:D54"/>
    <mergeCell ref="E53:E54"/>
    <mergeCell ref="F53:F54"/>
    <mergeCell ref="A47:A48"/>
    <mergeCell ref="C47:C48"/>
    <mergeCell ref="D47:D48"/>
    <mergeCell ref="E47:E48"/>
    <mergeCell ref="F47:F48"/>
    <mergeCell ref="A49:A50"/>
    <mergeCell ref="C49:C50"/>
    <mergeCell ref="D49:D50"/>
    <mergeCell ref="E49:E50"/>
    <mergeCell ref="F49:F50"/>
    <mergeCell ref="A43:A44"/>
    <mergeCell ref="C43:C44"/>
    <mergeCell ref="D43:D44"/>
    <mergeCell ref="E43:E44"/>
    <mergeCell ref="F43:F44"/>
    <mergeCell ref="A45:A46"/>
    <mergeCell ref="C45:C46"/>
    <mergeCell ref="D45:D46"/>
    <mergeCell ref="E45:E46"/>
    <mergeCell ref="F45:F46"/>
    <mergeCell ref="A39:A40"/>
    <mergeCell ref="C39:C40"/>
    <mergeCell ref="D39:D40"/>
    <mergeCell ref="E39:E40"/>
    <mergeCell ref="F39:F40"/>
    <mergeCell ref="A41:A42"/>
    <mergeCell ref="C41:C42"/>
    <mergeCell ref="D41:D42"/>
    <mergeCell ref="E41:E42"/>
    <mergeCell ref="F41:F42"/>
    <mergeCell ref="A35:A36"/>
    <mergeCell ref="C35:C36"/>
    <mergeCell ref="D35:D36"/>
    <mergeCell ref="E35:E36"/>
    <mergeCell ref="F35:F36"/>
    <mergeCell ref="A37:A38"/>
    <mergeCell ref="C37:C38"/>
    <mergeCell ref="D37:D38"/>
    <mergeCell ref="E37:E38"/>
    <mergeCell ref="F37:F38"/>
    <mergeCell ref="A31:A32"/>
    <mergeCell ref="C31:C32"/>
    <mergeCell ref="D31:D32"/>
    <mergeCell ref="E31:E32"/>
    <mergeCell ref="F31:F32"/>
    <mergeCell ref="A33:A34"/>
    <mergeCell ref="C33:C34"/>
    <mergeCell ref="D33:D34"/>
    <mergeCell ref="E33:E34"/>
    <mergeCell ref="F33:F34"/>
    <mergeCell ref="A27:A28"/>
    <mergeCell ref="C27:C28"/>
    <mergeCell ref="D27:D28"/>
    <mergeCell ref="E27:E28"/>
    <mergeCell ref="F27:F28"/>
    <mergeCell ref="A29:A30"/>
    <mergeCell ref="C29:C30"/>
    <mergeCell ref="D29:D30"/>
    <mergeCell ref="E29:E30"/>
    <mergeCell ref="F29:F30"/>
    <mergeCell ref="A23:A24"/>
    <mergeCell ref="C23:C24"/>
    <mergeCell ref="D23:D24"/>
    <mergeCell ref="E23:E24"/>
    <mergeCell ref="F23:F24"/>
    <mergeCell ref="A25:A26"/>
    <mergeCell ref="C25:C26"/>
    <mergeCell ref="D25:D26"/>
    <mergeCell ref="E25:E26"/>
    <mergeCell ref="F25:F26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11:A12"/>
    <mergeCell ref="C11:C12"/>
    <mergeCell ref="D11:D12"/>
    <mergeCell ref="E11:E12"/>
    <mergeCell ref="F11:F12"/>
    <mergeCell ref="A13:A14"/>
    <mergeCell ref="C13:C14"/>
    <mergeCell ref="D13:D14"/>
    <mergeCell ref="E13:E14"/>
    <mergeCell ref="F13:F14"/>
    <mergeCell ref="A5:A6"/>
    <mergeCell ref="B5:B6"/>
    <mergeCell ref="C5:C6"/>
    <mergeCell ref="A7:A8"/>
    <mergeCell ref="C7:C8"/>
    <mergeCell ref="D7:D8"/>
    <mergeCell ref="E7:E8"/>
    <mergeCell ref="F7:F8"/>
    <mergeCell ref="A9:A10"/>
    <mergeCell ref="C9:C10"/>
    <mergeCell ref="D9:D10"/>
    <mergeCell ref="E9:E10"/>
    <mergeCell ref="F9:F10"/>
  </mergeCells>
  <pageMargins left="0.59055118110236227" right="0.39370078740157483" top="0.39370078740157483" bottom="0.39370078740157483" header="0.51181102362204722" footer="0.19685039370078741"/>
  <pageSetup paperSize="9" scale="90" orientation="landscape" r:id="rId1"/>
  <headerFooter alignWithMargins="0">
    <oddFooter>&amp;R&amp;P</oddFooter>
  </headerFooter>
  <rowBreaks count="2" manualBreakCount="2">
    <brk id="42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zoomScaleNormal="100" workbookViewId="0">
      <selection activeCell="K4" sqref="K4"/>
    </sheetView>
  </sheetViews>
  <sheetFormatPr defaultColWidth="9.140625" defaultRowHeight="15" x14ac:dyDescent="0.25"/>
  <cols>
    <col min="1" max="1" width="10.7109375" style="20" customWidth="1"/>
    <col min="2" max="2" width="48.28515625" style="320" customWidth="1"/>
    <col min="3" max="3" width="10.28515625" style="20" customWidth="1"/>
    <col min="4" max="5" width="11.140625" style="20" customWidth="1"/>
    <col min="6" max="6" width="14.85546875" style="20" customWidth="1"/>
    <col min="7" max="7" width="12.5703125" style="20" customWidth="1"/>
    <col min="8" max="8" width="11.42578125" style="20" customWidth="1"/>
    <col min="9" max="9" width="12" style="20" customWidth="1"/>
    <col min="10" max="10" width="9.140625" style="20" customWidth="1"/>
    <col min="11" max="16384" width="9.140625" style="20"/>
  </cols>
  <sheetData>
    <row r="1" spans="1:17" x14ac:dyDescent="0.25">
      <c r="A1" s="19"/>
      <c r="F1" s="19"/>
      <c r="G1" s="19"/>
      <c r="H1" s="376" t="s">
        <v>833</v>
      </c>
      <c r="I1" s="376"/>
    </row>
    <row r="2" spans="1:17" x14ac:dyDescent="0.25">
      <c r="F2" s="376" t="s">
        <v>881</v>
      </c>
      <c r="G2" s="376"/>
      <c r="H2" s="376"/>
      <c r="I2" s="376"/>
    </row>
    <row r="3" spans="1:17" x14ac:dyDescent="0.25">
      <c r="F3" s="19"/>
      <c r="G3" s="19"/>
      <c r="H3" s="19"/>
      <c r="I3" s="319" t="s">
        <v>882</v>
      </c>
      <c r="N3" s="321"/>
      <c r="O3" s="321"/>
      <c r="P3" s="321"/>
      <c r="Q3" s="321"/>
    </row>
    <row r="4" spans="1:17" ht="18.75" x14ac:dyDescent="0.3">
      <c r="A4" s="379" t="s">
        <v>834</v>
      </c>
      <c r="B4" s="379"/>
      <c r="C4" s="379"/>
      <c r="D4" s="379"/>
      <c r="E4" s="379"/>
      <c r="F4" s="379"/>
      <c r="G4" s="379"/>
      <c r="H4" s="379"/>
      <c r="I4" s="379"/>
    </row>
    <row r="6" spans="1:17" ht="18.75" x14ac:dyDescent="0.3">
      <c r="A6" s="322" t="s">
        <v>835</v>
      </c>
      <c r="I6" s="316" t="s">
        <v>10</v>
      </c>
    </row>
    <row r="7" spans="1:17" s="320" customFormat="1" ht="57" x14ac:dyDescent="0.25">
      <c r="A7" s="317" t="s">
        <v>4</v>
      </c>
      <c r="B7" s="378" t="s">
        <v>421</v>
      </c>
      <c r="C7" s="378"/>
      <c r="D7" s="378"/>
      <c r="E7" s="378"/>
      <c r="F7" s="378"/>
      <c r="G7" s="317" t="s">
        <v>836</v>
      </c>
      <c r="H7" s="323" t="s">
        <v>837</v>
      </c>
      <c r="I7" s="317" t="s">
        <v>866</v>
      </c>
    </row>
    <row r="8" spans="1:17" x14ac:dyDescent="0.25">
      <c r="A8" s="22" t="s">
        <v>838</v>
      </c>
      <c r="B8" s="485" t="s">
        <v>839</v>
      </c>
      <c r="C8" s="485"/>
      <c r="D8" s="485"/>
      <c r="E8" s="485"/>
      <c r="F8" s="485"/>
      <c r="G8" s="324">
        <v>126000</v>
      </c>
      <c r="H8" s="325">
        <v>-62109</v>
      </c>
      <c r="I8" s="324">
        <f>G8+H8</f>
        <v>63891</v>
      </c>
    </row>
    <row r="9" spans="1:17" x14ac:dyDescent="0.25">
      <c r="A9" s="22" t="s">
        <v>69</v>
      </c>
      <c r="B9" s="485" t="s">
        <v>448</v>
      </c>
      <c r="C9" s="485"/>
      <c r="D9" s="485"/>
      <c r="E9" s="485"/>
      <c r="F9" s="485"/>
      <c r="G9" s="324">
        <f>2099991+19297</f>
        <v>2119288</v>
      </c>
      <c r="H9" s="325">
        <v>98093</v>
      </c>
      <c r="I9" s="324">
        <f>G9+H9</f>
        <v>2217381</v>
      </c>
    </row>
    <row r="10" spans="1:17" x14ac:dyDescent="0.25">
      <c r="A10" s="22" t="s">
        <v>840</v>
      </c>
      <c r="B10" s="485" t="s">
        <v>841</v>
      </c>
      <c r="C10" s="485"/>
      <c r="D10" s="485"/>
      <c r="E10" s="485"/>
      <c r="F10" s="485"/>
      <c r="G10" s="324">
        <f>2000+8800</f>
        <v>10800</v>
      </c>
      <c r="H10" s="325">
        <v>800</v>
      </c>
      <c r="I10" s="324">
        <f>G10+H10</f>
        <v>11600</v>
      </c>
    </row>
    <row r="11" spans="1:17" x14ac:dyDescent="0.25">
      <c r="A11" s="22" t="s">
        <v>94</v>
      </c>
      <c r="B11" s="485" t="s">
        <v>96</v>
      </c>
      <c r="C11" s="485"/>
      <c r="D11" s="485"/>
      <c r="E11" s="485"/>
      <c r="F11" s="485"/>
      <c r="G11" s="326">
        <v>91956</v>
      </c>
      <c r="H11" s="325">
        <v>0</v>
      </c>
      <c r="I11" s="324">
        <f>G11+H11</f>
        <v>91956</v>
      </c>
    </row>
    <row r="12" spans="1:17" x14ac:dyDescent="0.25">
      <c r="A12" s="327"/>
      <c r="B12" s="488" t="s">
        <v>842</v>
      </c>
      <c r="C12" s="488"/>
      <c r="D12" s="488"/>
      <c r="E12" s="488"/>
      <c r="F12" s="488"/>
      <c r="G12" s="328">
        <f>SUM(G8:G11)</f>
        <v>2348044</v>
      </c>
      <c r="H12" s="329">
        <f>SUM(H8:H11)</f>
        <v>36784</v>
      </c>
      <c r="I12" s="328">
        <f>SUM(I8:I11)</f>
        <v>2384828</v>
      </c>
    </row>
    <row r="14" spans="1:17" ht="18.75" x14ac:dyDescent="0.3">
      <c r="A14" s="322" t="s">
        <v>843</v>
      </c>
      <c r="B14" s="330"/>
    </row>
    <row r="15" spans="1:17" s="320" customFormat="1" x14ac:dyDescent="0.25">
      <c r="A15" s="378" t="s">
        <v>844</v>
      </c>
      <c r="B15" s="378" t="s">
        <v>845</v>
      </c>
      <c r="C15" s="378" t="s">
        <v>100</v>
      </c>
      <c r="D15" s="378"/>
      <c r="E15" s="378"/>
      <c r="F15" s="378"/>
      <c r="G15" s="378"/>
      <c r="H15" s="486" t="s">
        <v>846</v>
      </c>
      <c r="I15" s="378" t="s">
        <v>867</v>
      </c>
    </row>
    <row r="16" spans="1:17" ht="42.75" x14ac:dyDescent="0.25">
      <c r="A16" s="378"/>
      <c r="B16" s="378"/>
      <c r="C16" s="331" t="s">
        <v>847</v>
      </c>
      <c r="D16" s="331" t="s">
        <v>67</v>
      </c>
      <c r="E16" s="331" t="s">
        <v>848</v>
      </c>
      <c r="F16" s="331" t="s">
        <v>849</v>
      </c>
      <c r="G16" s="317" t="s">
        <v>850</v>
      </c>
      <c r="H16" s="486"/>
      <c r="I16" s="378"/>
    </row>
    <row r="17" spans="1:11" x14ac:dyDescent="0.25">
      <c r="A17" s="332" t="s">
        <v>851</v>
      </c>
      <c r="B17" s="333" t="s">
        <v>852</v>
      </c>
      <c r="C17" s="23">
        <f>SUM(C18:C22)</f>
        <v>126000</v>
      </c>
      <c r="D17" s="334" t="s">
        <v>853</v>
      </c>
      <c r="E17" s="334" t="s">
        <v>853</v>
      </c>
      <c r="F17" s="23">
        <f>SUM(F18:F22)</f>
        <v>19961</v>
      </c>
      <c r="G17" s="335">
        <f>SUM(C17:F17)</f>
        <v>145961</v>
      </c>
      <c r="H17" s="23">
        <f>SUM(H18:H22)</f>
        <v>-62109</v>
      </c>
      <c r="I17" s="336">
        <f>G17+H17</f>
        <v>83852</v>
      </c>
    </row>
    <row r="18" spans="1:11" ht="38.25" x14ac:dyDescent="0.25">
      <c r="A18" s="337"/>
      <c r="B18" s="338" t="s">
        <v>854</v>
      </c>
      <c r="C18" s="12">
        <f>4101+880</f>
        <v>4981</v>
      </c>
      <c r="D18" s="28" t="s">
        <v>853</v>
      </c>
      <c r="E18" s="28" t="s">
        <v>853</v>
      </c>
      <c r="F18" s="12">
        <v>0</v>
      </c>
      <c r="G18" s="24">
        <f t="shared" ref="G18:G27" si="0">SUM(C18:F18)</f>
        <v>4981</v>
      </c>
      <c r="H18" s="339">
        <v>-472</v>
      </c>
      <c r="I18" s="340">
        <f>G18+H18</f>
        <v>4509</v>
      </c>
    </row>
    <row r="19" spans="1:11" ht="38.25" x14ac:dyDescent="0.25">
      <c r="A19" s="337"/>
      <c r="B19" s="338" t="s">
        <v>855</v>
      </c>
      <c r="C19" s="12">
        <v>58955</v>
      </c>
      <c r="D19" s="28" t="s">
        <v>853</v>
      </c>
      <c r="E19" s="28" t="s">
        <v>853</v>
      </c>
      <c r="F19" s="12">
        <v>19938</v>
      </c>
      <c r="G19" s="24">
        <f t="shared" si="0"/>
        <v>78893</v>
      </c>
      <c r="H19" s="339">
        <f>-7283-37693</f>
        <v>-44976</v>
      </c>
      <c r="I19" s="340">
        <f t="shared" ref="I19:I27" si="1">G19+H19</f>
        <v>33917</v>
      </c>
    </row>
    <row r="20" spans="1:11" ht="51" x14ac:dyDescent="0.25">
      <c r="A20" s="337"/>
      <c r="B20" s="338" t="s">
        <v>856</v>
      </c>
      <c r="C20" s="12">
        <v>477</v>
      </c>
      <c r="D20" s="28" t="s">
        <v>853</v>
      </c>
      <c r="E20" s="28" t="s">
        <v>853</v>
      </c>
      <c r="F20" s="12">
        <v>23</v>
      </c>
      <c r="G20" s="24">
        <f t="shared" si="0"/>
        <v>500</v>
      </c>
      <c r="H20" s="339">
        <v>-452</v>
      </c>
      <c r="I20" s="340">
        <f t="shared" si="1"/>
        <v>48</v>
      </c>
    </row>
    <row r="21" spans="1:11" ht="25.5" x14ac:dyDescent="0.25">
      <c r="A21" s="337"/>
      <c r="B21" s="338" t="s">
        <v>857</v>
      </c>
      <c r="C21" s="12">
        <v>61587</v>
      </c>
      <c r="D21" s="28" t="s">
        <v>853</v>
      </c>
      <c r="E21" s="28" t="s">
        <v>853</v>
      </c>
      <c r="F21" s="12">
        <v>0</v>
      </c>
      <c r="G21" s="24">
        <f t="shared" si="0"/>
        <v>61587</v>
      </c>
      <c r="H21" s="339">
        <v>-16209</v>
      </c>
      <c r="I21" s="340">
        <f t="shared" si="1"/>
        <v>45378</v>
      </c>
    </row>
    <row r="22" spans="1:11" hidden="1" x14ac:dyDescent="0.25">
      <c r="A22" s="341"/>
      <c r="B22" s="342"/>
      <c r="C22" s="94"/>
      <c r="D22" s="343" t="s">
        <v>853</v>
      </c>
      <c r="E22" s="343" t="s">
        <v>853</v>
      </c>
      <c r="F22" s="94"/>
      <c r="G22" s="344">
        <f t="shared" si="0"/>
        <v>0</v>
      </c>
      <c r="H22" s="345"/>
      <c r="I22" s="346">
        <f t="shared" si="1"/>
        <v>0</v>
      </c>
    </row>
    <row r="23" spans="1:11" x14ac:dyDescent="0.25">
      <c r="A23" s="332" t="s">
        <v>858</v>
      </c>
      <c r="B23" s="333" t="s">
        <v>859</v>
      </c>
      <c r="C23" s="334" t="s">
        <v>853</v>
      </c>
      <c r="D23" s="23">
        <f>D24+D25</f>
        <v>2119288</v>
      </c>
      <c r="E23" s="334" t="s">
        <v>853</v>
      </c>
      <c r="F23" s="23">
        <f>F24+F25</f>
        <v>20796</v>
      </c>
      <c r="G23" s="335">
        <f t="shared" si="0"/>
        <v>2140084</v>
      </c>
      <c r="H23" s="335">
        <f>SUM(H24:H25)</f>
        <v>98093</v>
      </c>
      <c r="I23" s="336">
        <f t="shared" si="1"/>
        <v>2238177</v>
      </c>
    </row>
    <row r="24" spans="1:11" ht="15" customHeight="1" x14ac:dyDescent="0.25">
      <c r="A24" s="25"/>
      <c r="B24" s="26" t="s">
        <v>860</v>
      </c>
      <c r="C24" s="28" t="s">
        <v>853</v>
      </c>
      <c r="D24" s="12">
        <f>1275946+19297</f>
        <v>1295243</v>
      </c>
      <c r="E24" s="28" t="s">
        <v>853</v>
      </c>
      <c r="F24" s="12">
        <v>20796</v>
      </c>
      <c r="G24" s="12">
        <f t="shared" si="0"/>
        <v>1316039</v>
      </c>
      <c r="H24" s="12"/>
      <c r="I24" s="12">
        <f t="shared" si="1"/>
        <v>1316039</v>
      </c>
    </row>
    <row r="25" spans="1:11" ht="26.25" customHeight="1" x14ac:dyDescent="0.25">
      <c r="A25" s="25"/>
      <c r="B25" s="26" t="s">
        <v>861</v>
      </c>
      <c r="C25" s="28" t="s">
        <v>853</v>
      </c>
      <c r="D25" s="12">
        <v>824045</v>
      </c>
      <c r="E25" s="28" t="s">
        <v>853</v>
      </c>
      <c r="F25" s="12">
        <v>0</v>
      </c>
      <c r="G25" s="12">
        <f t="shared" si="0"/>
        <v>824045</v>
      </c>
      <c r="H25" s="12">
        <v>98093</v>
      </c>
      <c r="I25" s="12">
        <f t="shared" si="1"/>
        <v>922138</v>
      </c>
    </row>
    <row r="26" spans="1:11" x14ac:dyDescent="0.25">
      <c r="A26" s="332" t="s">
        <v>862</v>
      </c>
      <c r="B26" s="347" t="s">
        <v>863</v>
      </c>
      <c r="C26" s="334" t="s">
        <v>853</v>
      </c>
      <c r="D26" s="334" t="s">
        <v>853</v>
      </c>
      <c r="E26" s="23">
        <f>2000+8800</f>
        <v>10800</v>
      </c>
      <c r="F26" s="23">
        <v>51199</v>
      </c>
      <c r="G26" s="335">
        <f t="shared" si="0"/>
        <v>61999</v>
      </c>
      <c r="H26" s="335">
        <v>800</v>
      </c>
      <c r="I26" s="336">
        <f t="shared" si="1"/>
        <v>62799</v>
      </c>
    </row>
    <row r="27" spans="1:11" x14ac:dyDescent="0.25">
      <c r="A27" s="348" t="s">
        <v>864</v>
      </c>
      <c r="B27" s="349" t="s">
        <v>128</v>
      </c>
      <c r="C27" s="27">
        <v>0</v>
      </c>
      <c r="D27" s="27">
        <v>0</v>
      </c>
      <c r="E27" s="27">
        <v>0</v>
      </c>
      <c r="F27" s="350" t="s">
        <v>853</v>
      </c>
      <c r="G27" s="351">
        <f t="shared" si="0"/>
        <v>0</v>
      </c>
      <c r="H27" s="351">
        <v>0</v>
      </c>
      <c r="I27" s="352">
        <f t="shared" si="1"/>
        <v>0</v>
      </c>
    </row>
    <row r="28" spans="1:11" x14ac:dyDescent="0.25">
      <c r="A28" s="30"/>
      <c r="B28" s="31" t="s">
        <v>865</v>
      </c>
      <c r="C28" s="29">
        <f>C17+C27</f>
        <v>126000</v>
      </c>
      <c r="D28" s="29">
        <f>D23+D27</f>
        <v>2119288</v>
      </c>
      <c r="E28" s="29">
        <f>E26+E27</f>
        <v>10800</v>
      </c>
      <c r="F28" s="29">
        <f>F17+F23+F26</f>
        <v>91956</v>
      </c>
      <c r="G28" s="29">
        <f>G17+G23+G26+G27</f>
        <v>2348044</v>
      </c>
      <c r="H28" s="29">
        <f>H17+H23+H26+H27</f>
        <v>36784</v>
      </c>
      <c r="I28" s="29">
        <f>I17+I23+I26+I27</f>
        <v>2384828</v>
      </c>
    </row>
    <row r="30" spans="1:11" ht="18.75" x14ac:dyDescent="0.3">
      <c r="A30" s="487" t="s">
        <v>103</v>
      </c>
      <c r="B30" s="487"/>
      <c r="C30" s="353"/>
      <c r="D30" s="353"/>
      <c r="E30" s="353"/>
      <c r="F30" s="353"/>
      <c r="G30" s="353"/>
      <c r="H30" s="354"/>
      <c r="I30" s="354" t="s">
        <v>104</v>
      </c>
      <c r="K30" s="355"/>
    </row>
  </sheetData>
  <mergeCells count="15">
    <mergeCell ref="H15:H16"/>
    <mergeCell ref="I15:I16"/>
    <mergeCell ref="A30:B30"/>
    <mergeCell ref="B10:F10"/>
    <mergeCell ref="B11:F11"/>
    <mergeCell ref="B12:F12"/>
    <mergeCell ref="A15:A16"/>
    <mergeCell ref="B15:B16"/>
    <mergeCell ref="C15:G15"/>
    <mergeCell ref="B9:F9"/>
    <mergeCell ref="H1:I1"/>
    <mergeCell ref="F2:I2"/>
    <mergeCell ref="A4:I4"/>
    <mergeCell ref="B7:F7"/>
    <mergeCell ref="B8:F8"/>
  </mergeCells>
  <printOptions horizontalCentered="1"/>
  <pageMargins left="0.78740157480314965" right="0.78740157480314965" top="1.1811023622047245" bottom="0.59055118110236227" header="0.19685039370078741" footer="0.19685039370078741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118"/>
  <sheetViews>
    <sheetView showGridLines="0" tabSelected="1" workbookViewId="0">
      <selection activeCell="K6" sqref="K6"/>
    </sheetView>
  </sheetViews>
  <sheetFormatPr defaultRowHeight="12.75" x14ac:dyDescent="0.2"/>
  <cols>
    <col min="1" max="1" width="1.7109375" style="356" customWidth="1"/>
    <col min="2" max="2" width="5.28515625" style="356" customWidth="1"/>
    <col min="3" max="3" width="30.140625" style="356" customWidth="1"/>
    <col min="4" max="4" width="10.85546875" style="356" customWidth="1"/>
    <col min="5" max="5" width="13.28515625" style="356" customWidth="1"/>
    <col min="6" max="6" width="13.7109375" style="356" customWidth="1"/>
    <col min="7" max="7" width="15.42578125" style="356" customWidth="1"/>
    <col min="8" max="8" width="18.28515625" style="356" customWidth="1"/>
    <col min="9" max="16384" width="9.140625" style="356"/>
  </cols>
  <sheetData>
    <row r="1" spans="1:8" ht="15.75" x14ac:dyDescent="0.25">
      <c r="D1" s="367"/>
      <c r="E1" s="367"/>
      <c r="F1" s="367"/>
      <c r="G1" s="367"/>
      <c r="H1" s="368" t="s">
        <v>878</v>
      </c>
    </row>
    <row r="2" spans="1:8" ht="15.75" customHeight="1" x14ac:dyDescent="0.2">
      <c r="D2" s="367"/>
      <c r="E2" s="367"/>
      <c r="F2" s="395" t="s">
        <v>881</v>
      </c>
      <c r="G2" s="494"/>
      <c r="H2" s="494"/>
    </row>
    <row r="3" spans="1:8" ht="15.75" customHeight="1" x14ac:dyDescent="0.2">
      <c r="D3" s="395" t="s">
        <v>882</v>
      </c>
      <c r="E3" s="494"/>
      <c r="F3" s="494"/>
      <c r="G3" s="494"/>
      <c r="H3" s="494"/>
    </row>
    <row r="4" spans="1:8" ht="15.75" x14ac:dyDescent="0.2">
      <c r="E4" s="395"/>
      <c r="F4" s="395"/>
      <c r="G4" s="395"/>
      <c r="H4" s="395"/>
    </row>
    <row r="5" spans="1:8" ht="33.75" customHeight="1" x14ac:dyDescent="0.2">
      <c r="B5" s="396" t="s">
        <v>880</v>
      </c>
      <c r="C5" s="397"/>
      <c r="D5" s="397"/>
      <c r="E5" s="397"/>
      <c r="F5" s="397"/>
      <c r="G5" s="397"/>
      <c r="H5" s="397"/>
    </row>
    <row r="6" spans="1:8" s="282" customFormat="1" ht="28.5" customHeight="1" x14ac:dyDescent="0.2">
      <c r="A6" s="495" t="s">
        <v>421</v>
      </c>
      <c r="B6" s="496"/>
      <c r="C6" s="496"/>
      <c r="D6" s="496"/>
      <c r="E6" s="497"/>
      <c r="F6" s="360" t="s">
        <v>666</v>
      </c>
      <c r="G6" s="360" t="s">
        <v>667</v>
      </c>
      <c r="H6" s="360" t="s">
        <v>820</v>
      </c>
    </row>
    <row r="8" spans="1:8" ht="15.75" customHeight="1" x14ac:dyDescent="0.2">
      <c r="A8" s="389" t="s">
        <v>524</v>
      </c>
      <c r="B8" s="390"/>
      <c r="C8" s="390"/>
      <c r="D8" s="390"/>
      <c r="E8" s="390"/>
      <c r="F8" s="390"/>
      <c r="G8" s="390"/>
      <c r="H8" s="390"/>
    </row>
    <row r="9" spans="1:8" ht="15" customHeight="1" x14ac:dyDescent="0.2">
      <c r="C9" s="492" t="s">
        <v>525</v>
      </c>
      <c r="D9" s="493"/>
      <c r="E9" s="493"/>
      <c r="F9" s="365">
        <v>13503</v>
      </c>
      <c r="G9" s="365">
        <v>-452</v>
      </c>
      <c r="H9" s="365">
        <v>13051</v>
      </c>
    </row>
    <row r="10" spans="1:8" ht="15" customHeight="1" x14ac:dyDescent="0.2">
      <c r="C10" s="492" t="s">
        <v>527</v>
      </c>
      <c r="D10" s="493"/>
      <c r="E10" s="493"/>
      <c r="F10" s="365">
        <v>13503</v>
      </c>
      <c r="G10" s="365">
        <v>-452</v>
      </c>
      <c r="H10" s="365">
        <v>13051</v>
      </c>
    </row>
    <row r="12" spans="1:8" ht="15.75" customHeight="1" x14ac:dyDescent="0.2">
      <c r="A12" s="387" t="s">
        <v>531</v>
      </c>
      <c r="B12" s="388"/>
      <c r="C12" s="388"/>
      <c r="D12" s="388"/>
      <c r="E12" s="388"/>
      <c r="F12" s="388"/>
      <c r="G12" s="388"/>
      <c r="H12" s="388"/>
    </row>
    <row r="13" spans="1:8" s="361" customFormat="1" ht="15" customHeight="1" x14ac:dyDescent="0.2">
      <c r="C13" s="490" t="s">
        <v>525</v>
      </c>
      <c r="D13" s="491"/>
      <c r="E13" s="491"/>
      <c r="F13" s="363">
        <v>13503</v>
      </c>
      <c r="G13" s="363">
        <v>-452</v>
      </c>
      <c r="H13" s="363">
        <v>13051</v>
      </c>
    </row>
    <row r="14" spans="1:8" ht="15" customHeight="1" x14ac:dyDescent="0.2">
      <c r="C14" s="489" t="s">
        <v>527</v>
      </c>
      <c r="D14" s="388"/>
      <c r="E14" s="388"/>
      <c r="F14" s="357">
        <v>13503</v>
      </c>
      <c r="G14" s="357">
        <v>-452</v>
      </c>
      <c r="H14" s="357">
        <v>13051</v>
      </c>
    </row>
    <row r="15" spans="1:8" ht="28.5" customHeight="1" x14ac:dyDescent="0.2"/>
    <row r="16" spans="1:8" ht="15.75" customHeight="1" x14ac:dyDescent="0.2">
      <c r="A16" s="389" t="s">
        <v>564</v>
      </c>
      <c r="B16" s="390"/>
      <c r="C16" s="390"/>
      <c r="D16" s="390"/>
      <c r="E16" s="390"/>
      <c r="F16" s="390"/>
      <c r="G16" s="390"/>
      <c r="H16" s="390"/>
    </row>
    <row r="17" spans="1:8" ht="15" customHeight="1" x14ac:dyDescent="0.2">
      <c r="C17" s="492" t="s">
        <v>525</v>
      </c>
      <c r="D17" s="493"/>
      <c r="E17" s="493"/>
      <c r="F17" s="365">
        <v>907944</v>
      </c>
      <c r="G17" s="365">
        <v>52645</v>
      </c>
      <c r="H17" s="365">
        <v>960589</v>
      </c>
    </row>
    <row r="18" spans="1:8" ht="15" customHeight="1" x14ac:dyDescent="0.2">
      <c r="C18" s="492" t="s">
        <v>527</v>
      </c>
      <c r="D18" s="493"/>
      <c r="E18" s="493"/>
      <c r="F18" s="365">
        <v>25</v>
      </c>
      <c r="G18" s="365">
        <v>0</v>
      </c>
      <c r="H18" s="365">
        <v>25</v>
      </c>
    </row>
    <row r="19" spans="1:8" ht="15" customHeight="1" x14ac:dyDescent="0.2">
      <c r="C19" s="492" t="s">
        <v>528</v>
      </c>
      <c r="D19" s="493"/>
      <c r="E19" s="493"/>
      <c r="F19" s="365">
        <v>907919</v>
      </c>
      <c r="G19" s="365">
        <v>52645</v>
      </c>
      <c r="H19" s="365">
        <v>960564</v>
      </c>
    </row>
    <row r="20" spans="1:8" ht="30" customHeight="1" x14ac:dyDescent="0.2">
      <c r="C20" s="492" t="s">
        <v>530</v>
      </c>
      <c r="D20" s="493"/>
      <c r="E20" s="493"/>
      <c r="F20" s="365">
        <v>0</v>
      </c>
      <c r="G20" s="365">
        <v>0</v>
      </c>
      <c r="H20" s="365">
        <v>0</v>
      </c>
    </row>
    <row r="22" spans="1:8" ht="15.75" customHeight="1" x14ac:dyDescent="0.2">
      <c r="A22" s="387" t="s">
        <v>879</v>
      </c>
      <c r="B22" s="388"/>
      <c r="C22" s="388"/>
      <c r="D22" s="388"/>
      <c r="E22" s="388"/>
      <c r="F22" s="388"/>
      <c r="G22" s="388"/>
      <c r="H22" s="388"/>
    </row>
    <row r="23" spans="1:8" s="361" customFormat="1" ht="15" customHeight="1" x14ac:dyDescent="0.2">
      <c r="C23" s="490" t="s">
        <v>525</v>
      </c>
      <c r="D23" s="491"/>
      <c r="E23" s="491"/>
      <c r="F23" s="363">
        <v>824045</v>
      </c>
      <c r="G23" s="363">
        <v>98093</v>
      </c>
      <c r="H23" s="363">
        <v>922138</v>
      </c>
    </row>
    <row r="24" spans="1:8" ht="15" customHeight="1" x14ac:dyDescent="0.2">
      <c r="C24" s="489" t="s">
        <v>528</v>
      </c>
      <c r="D24" s="388"/>
      <c r="E24" s="388"/>
      <c r="F24" s="357">
        <v>824045</v>
      </c>
      <c r="G24" s="357">
        <v>98093</v>
      </c>
      <c r="H24" s="357">
        <v>922138</v>
      </c>
    </row>
    <row r="26" spans="1:8" ht="15.75" customHeight="1" x14ac:dyDescent="0.2">
      <c r="A26" s="387" t="s">
        <v>872</v>
      </c>
      <c r="B26" s="388"/>
      <c r="C26" s="388"/>
      <c r="D26" s="388"/>
      <c r="E26" s="388"/>
      <c r="F26" s="388"/>
      <c r="G26" s="388"/>
      <c r="H26" s="388"/>
    </row>
    <row r="27" spans="1:8" s="361" customFormat="1" ht="15" customHeight="1" x14ac:dyDescent="0.2">
      <c r="C27" s="490" t="s">
        <v>525</v>
      </c>
      <c r="D27" s="491"/>
      <c r="E27" s="491"/>
      <c r="F27" s="363">
        <v>83899</v>
      </c>
      <c r="G27" s="363">
        <v>-45448</v>
      </c>
      <c r="H27" s="363">
        <v>38451</v>
      </c>
    </row>
    <row r="28" spans="1:8" ht="15" customHeight="1" x14ac:dyDescent="0.2">
      <c r="C28" s="489" t="s">
        <v>527</v>
      </c>
      <c r="D28" s="388"/>
      <c r="E28" s="388"/>
      <c r="F28" s="357">
        <v>25</v>
      </c>
      <c r="G28" s="357">
        <v>0</v>
      </c>
      <c r="H28" s="357">
        <v>25</v>
      </c>
    </row>
    <row r="29" spans="1:8" ht="15" customHeight="1" x14ac:dyDescent="0.2">
      <c r="C29" s="489" t="s">
        <v>528</v>
      </c>
      <c r="D29" s="388"/>
      <c r="E29" s="388"/>
      <c r="F29" s="357">
        <v>83874</v>
      </c>
      <c r="G29" s="357">
        <v>-45448</v>
      </c>
      <c r="H29" s="357">
        <v>38426</v>
      </c>
    </row>
    <row r="30" spans="1:8" ht="30" customHeight="1" x14ac:dyDescent="0.2">
      <c r="C30" s="489" t="s">
        <v>530</v>
      </c>
      <c r="D30" s="388"/>
      <c r="E30" s="388"/>
      <c r="F30" s="357">
        <v>0</v>
      </c>
      <c r="G30" s="357">
        <v>0</v>
      </c>
      <c r="H30" s="357">
        <v>0</v>
      </c>
    </row>
    <row r="31" spans="1:8" ht="21" customHeight="1" x14ac:dyDescent="0.2"/>
    <row r="32" spans="1:8" ht="15.75" customHeight="1" x14ac:dyDescent="0.2">
      <c r="A32" s="389" t="s">
        <v>586</v>
      </c>
      <c r="B32" s="390"/>
      <c r="C32" s="390"/>
      <c r="D32" s="390"/>
      <c r="E32" s="390"/>
      <c r="F32" s="390"/>
      <c r="G32" s="390"/>
      <c r="H32" s="390"/>
    </row>
    <row r="33" spans="1:8" ht="15" customHeight="1" x14ac:dyDescent="0.2">
      <c r="C33" s="492" t="s">
        <v>525</v>
      </c>
      <c r="D33" s="493"/>
      <c r="E33" s="493"/>
      <c r="F33" s="365">
        <v>1383226</v>
      </c>
      <c r="G33" s="365">
        <v>-16209</v>
      </c>
      <c r="H33" s="365">
        <v>1367017</v>
      </c>
    </row>
    <row r="34" spans="1:8" ht="15" customHeight="1" x14ac:dyDescent="0.2">
      <c r="C34" s="492" t="s">
        <v>526</v>
      </c>
      <c r="D34" s="493"/>
      <c r="E34" s="493"/>
      <c r="F34" s="365">
        <v>63069</v>
      </c>
      <c r="G34" s="365">
        <v>0</v>
      </c>
      <c r="H34" s="365">
        <v>63069</v>
      </c>
    </row>
    <row r="35" spans="1:8" ht="15" customHeight="1" x14ac:dyDescent="0.2">
      <c r="C35" s="492" t="s">
        <v>527</v>
      </c>
      <c r="D35" s="493"/>
      <c r="E35" s="493"/>
      <c r="F35" s="365">
        <v>965336</v>
      </c>
      <c r="G35" s="365">
        <v>-500</v>
      </c>
      <c r="H35" s="365">
        <v>964836</v>
      </c>
    </row>
    <row r="36" spans="1:8" ht="15" customHeight="1" x14ac:dyDescent="0.2">
      <c r="C36" s="492" t="s">
        <v>529</v>
      </c>
      <c r="D36" s="493"/>
      <c r="E36" s="493"/>
      <c r="F36" s="365">
        <v>354821</v>
      </c>
      <c r="G36" s="365">
        <v>-15709</v>
      </c>
      <c r="H36" s="365">
        <v>339112</v>
      </c>
    </row>
    <row r="38" spans="1:8" ht="15.75" customHeight="1" x14ac:dyDescent="0.2">
      <c r="A38" s="387" t="s">
        <v>588</v>
      </c>
      <c r="B38" s="388"/>
      <c r="C38" s="388"/>
      <c r="D38" s="388"/>
      <c r="E38" s="388"/>
      <c r="F38" s="388"/>
      <c r="G38" s="388"/>
      <c r="H38" s="388"/>
    </row>
    <row r="39" spans="1:8" s="361" customFormat="1" ht="15" customHeight="1" x14ac:dyDescent="0.2">
      <c r="C39" s="490" t="s">
        <v>525</v>
      </c>
      <c r="D39" s="491"/>
      <c r="E39" s="491"/>
      <c r="F39" s="363">
        <v>1321639</v>
      </c>
      <c r="G39" s="363">
        <v>0</v>
      </c>
      <c r="H39" s="363">
        <v>1321639</v>
      </c>
    </row>
    <row r="40" spans="1:8" ht="15" customHeight="1" x14ac:dyDescent="0.2">
      <c r="C40" s="489" t="s">
        <v>526</v>
      </c>
      <c r="D40" s="388"/>
      <c r="E40" s="388"/>
      <c r="F40" s="357">
        <v>63069</v>
      </c>
      <c r="G40" s="357">
        <v>0</v>
      </c>
      <c r="H40" s="357">
        <v>63069</v>
      </c>
    </row>
    <row r="41" spans="1:8" ht="15" customHeight="1" x14ac:dyDescent="0.2">
      <c r="C41" s="489" t="s">
        <v>527</v>
      </c>
      <c r="D41" s="388"/>
      <c r="E41" s="388"/>
      <c r="F41" s="357">
        <v>964336</v>
      </c>
      <c r="G41" s="357">
        <v>0</v>
      </c>
      <c r="H41" s="357">
        <v>964336</v>
      </c>
    </row>
    <row r="42" spans="1:8" ht="15" customHeight="1" x14ac:dyDescent="0.2">
      <c r="C42" s="489" t="s">
        <v>529</v>
      </c>
      <c r="D42" s="388"/>
      <c r="E42" s="388"/>
      <c r="F42" s="357">
        <v>294234</v>
      </c>
      <c r="G42" s="357">
        <v>0</v>
      </c>
      <c r="H42" s="357">
        <v>294234</v>
      </c>
    </row>
    <row r="44" spans="1:8" ht="15.75" customHeight="1" x14ac:dyDescent="0.2">
      <c r="A44" s="387" t="s">
        <v>592</v>
      </c>
      <c r="B44" s="388"/>
      <c r="C44" s="388"/>
      <c r="D44" s="388"/>
      <c r="E44" s="388"/>
      <c r="F44" s="388"/>
      <c r="G44" s="388"/>
      <c r="H44" s="388"/>
    </row>
    <row r="45" spans="1:8" s="361" customFormat="1" ht="15" customHeight="1" x14ac:dyDescent="0.2">
      <c r="C45" s="490" t="s">
        <v>525</v>
      </c>
      <c r="D45" s="491"/>
      <c r="E45" s="491"/>
      <c r="F45" s="363">
        <v>61587</v>
      </c>
      <c r="G45" s="363">
        <v>-16209</v>
      </c>
      <c r="H45" s="363">
        <v>45378</v>
      </c>
    </row>
    <row r="46" spans="1:8" ht="15" customHeight="1" x14ac:dyDescent="0.2">
      <c r="C46" s="489" t="s">
        <v>527</v>
      </c>
      <c r="D46" s="388"/>
      <c r="E46" s="388"/>
      <c r="F46" s="357">
        <v>1000</v>
      </c>
      <c r="G46" s="357">
        <v>-500</v>
      </c>
      <c r="H46" s="357">
        <v>500</v>
      </c>
    </row>
    <row r="47" spans="1:8" ht="15" customHeight="1" x14ac:dyDescent="0.2">
      <c r="C47" s="489" t="s">
        <v>529</v>
      </c>
      <c r="D47" s="388"/>
      <c r="E47" s="388"/>
      <c r="F47" s="357">
        <v>60587</v>
      </c>
      <c r="G47" s="357">
        <v>-15709</v>
      </c>
      <c r="H47" s="357">
        <v>44878</v>
      </c>
    </row>
    <row r="48" spans="1:8" ht="22.5" customHeight="1" x14ac:dyDescent="0.2"/>
    <row r="49" spans="1:8" ht="15.75" customHeight="1" x14ac:dyDescent="0.2">
      <c r="A49" s="389" t="s">
        <v>598</v>
      </c>
      <c r="B49" s="390"/>
      <c r="C49" s="390"/>
      <c r="D49" s="390"/>
      <c r="E49" s="390"/>
      <c r="F49" s="390"/>
      <c r="G49" s="390"/>
      <c r="H49" s="390"/>
    </row>
    <row r="50" spans="1:8" ht="15" customHeight="1" x14ac:dyDescent="0.2">
      <c r="C50" s="492" t="s">
        <v>525</v>
      </c>
      <c r="D50" s="493"/>
      <c r="E50" s="493"/>
      <c r="F50" s="365">
        <v>267</v>
      </c>
      <c r="G50" s="365">
        <v>0</v>
      </c>
      <c r="H50" s="365">
        <v>267</v>
      </c>
    </row>
    <row r="51" spans="1:8" ht="15" customHeight="1" x14ac:dyDescent="0.2">
      <c r="C51" s="492" t="s">
        <v>528</v>
      </c>
      <c r="D51" s="493"/>
      <c r="E51" s="493"/>
      <c r="F51" s="365">
        <v>267</v>
      </c>
      <c r="G51" s="365">
        <v>0</v>
      </c>
      <c r="H51" s="365">
        <v>267</v>
      </c>
    </row>
    <row r="53" spans="1:8" ht="15.75" customHeight="1" x14ac:dyDescent="0.2">
      <c r="A53" s="387" t="s">
        <v>599</v>
      </c>
      <c r="B53" s="388"/>
      <c r="C53" s="388"/>
      <c r="D53" s="388"/>
      <c r="E53" s="388"/>
      <c r="F53" s="388"/>
      <c r="G53" s="388"/>
      <c r="H53" s="388"/>
    </row>
    <row r="54" spans="1:8" s="361" customFormat="1" ht="15" customHeight="1" x14ac:dyDescent="0.2">
      <c r="C54" s="490" t="s">
        <v>525</v>
      </c>
      <c r="D54" s="491"/>
      <c r="E54" s="491"/>
      <c r="F54" s="363">
        <v>267</v>
      </c>
      <c r="G54" s="363">
        <v>0</v>
      </c>
      <c r="H54" s="363">
        <v>267</v>
      </c>
    </row>
    <row r="55" spans="1:8" ht="15" customHeight="1" x14ac:dyDescent="0.2">
      <c r="C55" s="489" t="s">
        <v>528</v>
      </c>
      <c r="D55" s="388"/>
      <c r="E55" s="388"/>
      <c r="F55" s="357">
        <v>267</v>
      </c>
      <c r="G55" s="357">
        <v>0</v>
      </c>
      <c r="H55" s="357">
        <v>267</v>
      </c>
    </row>
    <row r="56" spans="1:8" ht="19.5" customHeight="1" x14ac:dyDescent="0.2"/>
    <row r="57" spans="1:8" ht="31.5" customHeight="1" x14ac:dyDescent="0.2">
      <c r="A57" s="389" t="s">
        <v>605</v>
      </c>
      <c r="B57" s="390"/>
      <c r="C57" s="390"/>
      <c r="D57" s="390"/>
      <c r="E57" s="390"/>
      <c r="F57" s="390"/>
      <c r="G57" s="390"/>
      <c r="H57" s="390"/>
    </row>
    <row r="58" spans="1:8" ht="15" customHeight="1" x14ac:dyDescent="0.2">
      <c r="C58" s="492" t="s">
        <v>525</v>
      </c>
      <c r="D58" s="493"/>
      <c r="E58" s="493"/>
      <c r="F58" s="365">
        <v>1589</v>
      </c>
      <c r="G58" s="365">
        <v>0</v>
      </c>
      <c r="H58" s="365">
        <v>1589</v>
      </c>
    </row>
    <row r="59" spans="1:8" ht="15" customHeight="1" x14ac:dyDescent="0.2">
      <c r="C59" s="492" t="s">
        <v>527</v>
      </c>
      <c r="D59" s="493"/>
      <c r="E59" s="493"/>
      <c r="F59" s="365">
        <v>1589</v>
      </c>
      <c r="G59" s="365">
        <v>0</v>
      </c>
      <c r="H59" s="365">
        <v>1589</v>
      </c>
    </row>
    <row r="61" spans="1:8" ht="15.75" customHeight="1" x14ac:dyDescent="0.2">
      <c r="A61" s="387" t="s">
        <v>606</v>
      </c>
      <c r="B61" s="388"/>
      <c r="C61" s="388"/>
      <c r="D61" s="388"/>
      <c r="E61" s="388"/>
      <c r="F61" s="388"/>
      <c r="G61" s="388"/>
      <c r="H61" s="388"/>
    </row>
    <row r="62" spans="1:8" s="361" customFormat="1" ht="15" customHeight="1" x14ac:dyDescent="0.2">
      <c r="C62" s="490" t="s">
        <v>525</v>
      </c>
      <c r="D62" s="491"/>
      <c r="E62" s="491"/>
      <c r="F62" s="363">
        <v>1589</v>
      </c>
      <c r="G62" s="363">
        <v>0</v>
      </c>
      <c r="H62" s="363">
        <v>1589</v>
      </c>
    </row>
    <row r="63" spans="1:8" ht="15" customHeight="1" x14ac:dyDescent="0.2">
      <c r="C63" s="489" t="s">
        <v>527</v>
      </c>
      <c r="D63" s="388"/>
      <c r="E63" s="388"/>
      <c r="F63" s="357">
        <v>1589</v>
      </c>
      <c r="G63" s="357">
        <v>0</v>
      </c>
      <c r="H63" s="357">
        <v>1589</v>
      </c>
    </row>
    <row r="64" spans="1:8" ht="29.25" customHeight="1" x14ac:dyDescent="0.2"/>
    <row r="65" spans="1:8" ht="15.75" customHeight="1" x14ac:dyDescent="0.2">
      <c r="A65" s="389" t="s">
        <v>607</v>
      </c>
      <c r="B65" s="390"/>
      <c r="C65" s="390"/>
      <c r="D65" s="390"/>
      <c r="E65" s="390"/>
      <c r="F65" s="390"/>
      <c r="G65" s="390"/>
      <c r="H65" s="390"/>
    </row>
    <row r="66" spans="1:8" ht="15" customHeight="1" x14ac:dyDescent="0.2">
      <c r="C66" s="492" t="s">
        <v>525</v>
      </c>
      <c r="D66" s="493"/>
      <c r="E66" s="493"/>
      <c r="F66" s="365">
        <v>20668</v>
      </c>
      <c r="G66" s="365">
        <v>0</v>
      </c>
      <c r="H66" s="365">
        <v>20668</v>
      </c>
    </row>
    <row r="67" spans="1:8" ht="15" customHeight="1" x14ac:dyDescent="0.2">
      <c r="C67" s="492" t="s">
        <v>526</v>
      </c>
      <c r="D67" s="493"/>
      <c r="E67" s="493"/>
      <c r="F67" s="365">
        <v>1030</v>
      </c>
      <c r="G67" s="365">
        <v>3500</v>
      </c>
      <c r="H67" s="365">
        <v>4530</v>
      </c>
    </row>
    <row r="68" spans="1:8" ht="15" customHeight="1" x14ac:dyDescent="0.2">
      <c r="C68" s="492" t="s">
        <v>527</v>
      </c>
      <c r="D68" s="493"/>
      <c r="E68" s="493"/>
      <c r="F68" s="365">
        <v>19638</v>
      </c>
      <c r="G68" s="365">
        <v>-4500</v>
      </c>
      <c r="H68" s="365">
        <v>15138</v>
      </c>
    </row>
    <row r="69" spans="1:8" ht="15" customHeight="1" x14ac:dyDescent="0.2">
      <c r="C69" s="492" t="s">
        <v>529</v>
      </c>
      <c r="D69" s="493"/>
      <c r="E69" s="493"/>
      <c r="F69" s="365">
        <v>0</v>
      </c>
      <c r="G69" s="365">
        <v>1000</v>
      </c>
      <c r="H69" s="365">
        <v>1000</v>
      </c>
    </row>
    <row r="71" spans="1:8" ht="15.75" customHeight="1" x14ac:dyDescent="0.2">
      <c r="A71" s="387" t="s">
        <v>608</v>
      </c>
      <c r="B71" s="388"/>
      <c r="C71" s="388"/>
      <c r="D71" s="388"/>
      <c r="E71" s="388"/>
      <c r="F71" s="388"/>
      <c r="G71" s="388"/>
      <c r="H71" s="388"/>
    </row>
    <row r="72" spans="1:8" s="361" customFormat="1" ht="15" customHeight="1" x14ac:dyDescent="0.2">
      <c r="C72" s="490" t="s">
        <v>525</v>
      </c>
      <c r="D72" s="491"/>
      <c r="E72" s="491"/>
      <c r="F72" s="363">
        <v>20668</v>
      </c>
      <c r="G72" s="363">
        <v>0</v>
      </c>
      <c r="H72" s="363">
        <v>20668</v>
      </c>
    </row>
    <row r="73" spans="1:8" ht="15" customHeight="1" x14ac:dyDescent="0.2">
      <c r="C73" s="489" t="s">
        <v>526</v>
      </c>
      <c r="D73" s="388"/>
      <c r="E73" s="388"/>
      <c r="F73" s="357">
        <v>1030</v>
      </c>
      <c r="G73" s="357">
        <v>3500</v>
      </c>
      <c r="H73" s="357">
        <v>4530</v>
      </c>
    </row>
    <row r="74" spans="1:8" ht="15" customHeight="1" x14ac:dyDescent="0.2">
      <c r="C74" s="489" t="s">
        <v>527</v>
      </c>
      <c r="D74" s="388"/>
      <c r="E74" s="388"/>
      <c r="F74" s="357">
        <v>19638</v>
      </c>
      <c r="G74" s="357">
        <v>-4500</v>
      </c>
      <c r="H74" s="357">
        <v>15138</v>
      </c>
    </row>
    <row r="75" spans="1:8" ht="15" customHeight="1" x14ac:dyDescent="0.2">
      <c r="C75" s="489" t="s">
        <v>529</v>
      </c>
      <c r="D75" s="388"/>
      <c r="E75" s="388"/>
      <c r="F75" s="357">
        <v>0</v>
      </c>
      <c r="G75" s="357">
        <v>1000</v>
      </c>
      <c r="H75" s="357">
        <v>1000</v>
      </c>
    </row>
    <row r="76" spans="1:8" ht="30" customHeight="1" x14ac:dyDescent="0.2"/>
    <row r="77" spans="1:8" ht="15.75" customHeight="1" x14ac:dyDescent="0.2">
      <c r="A77" s="389" t="s">
        <v>620</v>
      </c>
      <c r="B77" s="390"/>
      <c r="C77" s="390"/>
      <c r="D77" s="390"/>
      <c r="E77" s="390"/>
      <c r="F77" s="390"/>
      <c r="G77" s="390"/>
      <c r="H77" s="390"/>
    </row>
    <row r="78" spans="1:8" ht="15" customHeight="1" x14ac:dyDescent="0.2">
      <c r="C78" s="492" t="s">
        <v>525</v>
      </c>
      <c r="D78" s="493"/>
      <c r="E78" s="493"/>
      <c r="F78" s="365">
        <v>14283</v>
      </c>
      <c r="G78" s="365">
        <v>0</v>
      </c>
      <c r="H78" s="365">
        <v>14283</v>
      </c>
    </row>
    <row r="79" spans="1:8" ht="15" customHeight="1" x14ac:dyDescent="0.2">
      <c r="C79" s="492" t="s">
        <v>527</v>
      </c>
      <c r="D79" s="493"/>
      <c r="E79" s="493"/>
      <c r="F79" s="365">
        <v>9783</v>
      </c>
      <c r="G79" s="365">
        <v>0</v>
      </c>
      <c r="H79" s="365">
        <v>9783</v>
      </c>
    </row>
    <row r="80" spans="1:8" ht="15" customHeight="1" x14ac:dyDescent="0.2">
      <c r="C80" s="492" t="s">
        <v>529</v>
      </c>
      <c r="D80" s="493"/>
      <c r="E80" s="493"/>
      <c r="F80" s="365">
        <v>500</v>
      </c>
      <c r="G80" s="365">
        <v>0</v>
      </c>
      <c r="H80" s="365">
        <v>500</v>
      </c>
    </row>
    <row r="81" spans="1:8" ht="15" customHeight="1" x14ac:dyDescent="0.2">
      <c r="C81" s="492" t="s">
        <v>587</v>
      </c>
      <c r="D81" s="493"/>
      <c r="E81" s="493"/>
      <c r="F81" s="365">
        <v>4000</v>
      </c>
      <c r="G81" s="365">
        <v>0</v>
      </c>
      <c r="H81" s="365">
        <v>4000</v>
      </c>
    </row>
    <row r="83" spans="1:8" ht="15.75" customHeight="1" x14ac:dyDescent="0.2">
      <c r="A83" s="387" t="s">
        <v>623</v>
      </c>
      <c r="B83" s="388"/>
      <c r="C83" s="388"/>
      <c r="D83" s="388"/>
      <c r="E83" s="388"/>
      <c r="F83" s="388"/>
      <c r="G83" s="388"/>
      <c r="H83" s="388"/>
    </row>
    <row r="84" spans="1:8" s="361" customFormat="1" ht="15" customHeight="1" x14ac:dyDescent="0.2">
      <c r="C84" s="490" t="s">
        <v>525</v>
      </c>
      <c r="D84" s="491"/>
      <c r="E84" s="491"/>
      <c r="F84" s="363">
        <v>7932</v>
      </c>
      <c r="G84" s="363">
        <v>0</v>
      </c>
      <c r="H84" s="363">
        <v>7932</v>
      </c>
    </row>
    <row r="85" spans="1:8" ht="15" customHeight="1" x14ac:dyDescent="0.2">
      <c r="C85" s="489" t="s">
        <v>527</v>
      </c>
      <c r="D85" s="388"/>
      <c r="E85" s="388"/>
      <c r="F85" s="357">
        <v>7432</v>
      </c>
      <c r="G85" s="357">
        <v>0</v>
      </c>
      <c r="H85" s="357">
        <v>7432</v>
      </c>
    </row>
    <row r="86" spans="1:8" ht="15" customHeight="1" x14ac:dyDescent="0.2">
      <c r="C86" s="489" t="s">
        <v>529</v>
      </c>
      <c r="D86" s="388"/>
      <c r="E86" s="388"/>
      <c r="F86" s="357">
        <v>500</v>
      </c>
      <c r="G86" s="357">
        <v>0</v>
      </c>
      <c r="H86" s="357">
        <v>500</v>
      </c>
    </row>
    <row r="88" spans="1:8" ht="15.75" customHeight="1" x14ac:dyDescent="0.2">
      <c r="A88" s="387" t="s">
        <v>876</v>
      </c>
      <c r="B88" s="388"/>
      <c r="C88" s="388"/>
      <c r="D88" s="388"/>
      <c r="E88" s="388"/>
      <c r="F88" s="388"/>
      <c r="G88" s="388"/>
      <c r="H88" s="388"/>
    </row>
    <row r="89" spans="1:8" s="361" customFormat="1" ht="15" customHeight="1" x14ac:dyDescent="0.2">
      <c r="C89" s="490" t="s">
        <v>525</v>
      </c>
      <c r="D89" s="491"/>
      <c r="E89" s="491"/>
      <c r="F89" s="363">
        <v>2240</v>
      </c>
      <c r="G89" s="363">
        <v>0</v>
      </c>
      <c r="H89" s="363">
        <v>2240</v>
      </c>
    </row>
    <row r="90" spans="1:8" ht="15" customHeight="1" x14ac:dyDescent="0.2">
      <c r="C90" s="489" t="s">
        <v>527</v>
      </c>
      <c r="D90" s="388"/>
      <c r="E90" s="388"/>
      <c r="F90" s="357">
        <v>2240</v>
      </c>
      <c r="G90" s="357">
        <v>0</v>
      </c>
      <c r="H90" s="357">
        <v>2240</v>
      </c>
    </row>
    <row r="92" spans="1:8" ht="15.75" customHeight="1" x14ac:dyDescent="0.2">
      <c r="A92" s="387" t="s">
        <v>630</v>
      </c>
      <c r="B92" s="388"/>
      <c r="C92" s="388"/>
      <c r="D92" s="388"/>
      <c r="E92" s="388"/>
      <c r="F92" s="388"/>
      <c r="G92" s="388"/>
      <c r="H92" s="388"/>
    </row>
    <row r="93" spans="1:8" s="361" customFormat="1" ht="15" customHeight="1" x14ac:dyDescent="0.2">
      <c r="C93" s="490" t="s">
        <v>525</v>
      </c>
      <c r="D93" s="491"/>
      <c r="E93" s="491"/>
      <c r="F93" s="363">
        <v>4111</v>
      </c>
      <c r="G93" s="363">
        <v>0</v>
      </c>
      <c r="H93" s="363">
        <v>4111</v>
      </c>
    </row>
    <row r="94" spans="1:8" ht="15" customHeight="1" x14ac:dyDescent="0.2">
      <c r="C94" s="489" t="s">
        <v>527</v>
      </c>
      <c r="D94" s="388"/>
      <c r="E94" s="388"/>
      <c r="F94" s="357">
        <v>111</v>
      </c>
      <c r="G94" s="357">
        <v>0</v>
      </c>
      <c r="H94" s="357">
        <v>111</v>
      </c>
    </row>
    <row r="95" spans="1:8" ht="15" customHeight="1" x14ac:dyDescent="0.2">
      <c r="C95" s="489" t="s">
        <v>587</v>
      </c>
      <c r="D95" s="388"/>
      <c r="E95" s="388"/>
      <c r="F95" s="357">
        <v>4000</v>
      </c>
      <c r="G95" s="357">
        <v>0</v>
      </c>
      <c r="H95" s="357">
        <v>4000</v>
      </c>
    </row>
    <row r="96" spans="1:8" ht="26.25" customHeight="1" x14ac:dyDescent="0.2"/>
    <row r="97" spans="1:8" ht="15.75" customHeight="1" x14ac:dyDescent="0.2">
      <c r="A97" s="389" t="s">
        <v>636</v>
      </c>
      <c r="B97" s="390"/>
      <c r="C97" s="390"/>
      <c r="D97" s="390"/>
      <c r="E97" s="390"/>
      <c r="F97" s="390"/>
      <c r="G97" s="390"/>
      <c r="H97" s="390"/>
    </row>
    <row r="98" spans="1:8" s="369" customFormat="1" ht="15" customHeight="1" x14ac:dyDescent="0.2">
      <c r="C98" s="492" t="s">
        <v>525</v>
      </c>
      <c r="D98" s="493"/>
      <c r="E98" s="493"/>
      <c r="F98" s="365">
        <v>6564</v>
      </c>
      <c r="G98" s="365">
        <v>800</v>
      </c>
      <c r="H98" s="365">
        <v>7364</v>
      </c>
    </row>
    <row r="99" spans="1:8" s="369" customFormat="1" ht="15" customHeight="1" x14ac:dyDescent="0.2">
      <c r="C99" s="492" t="s">
        <v>527</v>
      </c>
      <c r="D99" s="493"/>
      <c r="E99" s="493"/>
      <c r="F99" s="365">
        <v>6564</v>
      </c>
      <c r="G99" s="365">
        <v>800</v>
      </c>
      <c r="H99" s="365">
        <v>7364</v>
      </c>
    </row>
    <row r="101" spans="1:8" ht="15.75" customHeight="1" x14ac:dyDescent="0.2">
      <c r="A101" s="387" t="s">
        <v>650</v>
      </c>
      <c r="B101" s="388"/>
      <c r="C101" s="388"/>
      <c r="D101" s="388"/>
      <c r="E101" s="388"/>
      <c r="F101" s="388"/>
      <c r="G101" s="388"/>
      <c r="H101" s="388"/>
    </row>
    <row r="102" spans="1:8" s="361" customFormat="1" ht="15" customHeight="1" x14ac:dyDescent="0.2">
      <c r="C102" s="490" t="s">
        <v>525</v>
      </c>
      <c r="D102" s="491"/>
      <c r="E102" s="491"/>
      <c r="F102" s="363">
        <v>0</v>
      </c>
      <c r="G102" s="363">
        <v>300</v>
      </c>
      <c r="H102" s="363">
        <v>300</v>
      </c>
    </row>
    <row r="103" spans="1:8" ht="15" customHeight="1" x14ac:dyDescent="0.2">
      <c r="C103" s="489" t="s">
        <v>527</v>
      </c>
      <c r="D103" s="388"/>
      <c r="E103" s="388"/>
      <c r="F103" s="357">
        <v>0</v>
      </c>
      <c r="G103" s="357">
        <v>300</v>
      </c>
      <c r="H103" s="357">
        <v>300</v>
      </c>
    </row>
    <row r="105" spans="1:8" ht="15.75" customHeight="1" x14ac:dyDescent="0.2">
      <c r="A105" s="387" t="s">
        <v>656</v>
      </c>
      <c r="B105" s="388"/>
      <c r="C105" s="388"/>
      <c r="D105" s="388"/>
      <c r="E105" s="388"/>
      <c r="F105" s="388"/>
      <c r="G105" s="388"/>
      <c r="H105" s="388"/>
    </row>
    <row r="106" spans="1:8" s="361" customFormat="1" ht="15" customHeight="1" x14ac:dyDescent="0.2">
      <c r="C106" s="490" t="s">
        <v>525</v>
      </c>
      <c r="D106" s="491"/>
      <c r="E106" s="491"/>
      <c r="F106" s="363">
        <v>6564</v>
      </c>
      <c r="G106" s="363">
        <v>500</v>
      </c>
      <c r="H106" s="363">
        <v>7064</v>
      </c>
    </row>
    <row r="107" spans="1:8" ht="15" customHeight="1" x14ac:dyDescent="0.2">
      <c r="C107" s="489" t="s">
        <v>527</v>
      </c>
      <c r="D107" s="388"/>
      <c r="E107" s="388"/>
      <c r="F107" s="357">
        <v>6564</v>
      </c>
      <c r="G107" s="357">
        <v>500</v>
      </c>
      <c r="H107" s="357">
        <v>7064</v>
      </c>
    </row>
    <row r="108" spans="1:8" ht="23.25" customHeight="1" x14ac:dyDescent="0.2"/>
    <row r="109" spans="1:8" ht="15.75" customHeight="1" x14ac:dyDescent="0.2">
      <c r="A109" s="387" t="s">
        <v>665</v>
      </c>
      <c r="B109" s="388"/>
      <c r="C109" s="388"/>
      <c r="D109" s="388"/>
      <c r="E109" s="388"/>
      <c r="F109" s="388"/>
      <c r="G109" s="388"/>
      <c r="H109" s="388"/>
    </row>
    <row r="110" spans="1:8" ht="15" customHeight="1" x14ac:dyDescent="0.2">
      <c r="C110" s="490" t="s">
        <v>525</v>
      </c>
      <c r="D110" s="491"/>
      <c r="E110" s="491"/>
      <c r="F110" s="363">
        <v>2348044</v>
      </c>
      <c r="G110" s="363">
        <v>36784</v>
      </c>
      <c r="H110" s="363">
        <v>2384828</v>
      </c>
    </row>
    <row r="111" spans="1:8" ht="15" customHeight="1" x14ac:dyDescent="0.2">
      <c r="C111" s="489" t="s">
        <v>526</v>
      </c>
      <c r="D111" s="388"/>
      <c r="E111" s="388"/>
      <c r="F111" s="357">
        <v>64099</v>
      </c>
      <c r="G111" s="357">
        <v>3500</v>
      </c>
      <c r="H111" s="357">
        <v>67599</v>
      </c>
    </row>
    <row r="112" spans="1:8" ht="15" customHeight="1" x14ac:dyDescent="0.2">
      <c r="C112" s="489" t="s">
        <v>527</v>
      </c>
      <c r="D112" s="388"/>
      <c r="E112" s="388"/>
      <c r="F112" s="357">
        <v>1016438</v>
      </c>
      <c r="G112" s="357">
        <v>-4652</v>
      </c>
      <c r="H112" s="357">
        <v>1011786</v>
      </c>
    </row>
    <row r="113" spans="1:8" ht="15" customHeight="1" x14ac:dyDescent="0.2">
      <c r="C113" s="489" t="s">
        <v>528</v>
      </c>
      <c r="D113" s="388"/>
      <c r="E113" s="388"/>
      <c r="F113" s="357">
        <v>908186</v>
      </c>
      <c r="G113" s="357">
        <v>52645</v>
      </c>
      <c r="H113" s="357">
        <v>960831</v>
      </c>
    </row>
    <row r="114" spans="1:8" ht="15" customHeight="1" x14ac:dyDescent="0.2">
      <c r="C114" s="489" t="s">
        <v>529</v>
      </c>
      <c r="D114" s="388"/>
      <c r="E114" s="388"/>
      <c r="F114" s="357">
        <v>355321</v>
      </c>
      <c r="G114" s="357">
        <v>-14709</v>
      </c>
      <c r="H114" s="357">
        <v>340612</v>
      </c>
    </row>
    <row r="115" spans="1:8" ht="15" customHeight="1" x14ac:dyDescent="0.2">
      <c r="C115" s="489" t="s">
        <v>587</v>
      </c>
      <c r="D115" s="388"/>
      <c r="E115" s="388"/>
      <c r="F115" s="357">
        <v>4000</v>
      </c>
      <c r="G115" s="357">
        <v>0</v>
      </c>
      <c r="H115" s="357">
        <v>4000</v>
      </c>
    </row>
    <row r="116" spans="1:8" x14ac:dyDescent="0.2">
      <c r="H116" s="358"/>
    </row>
    <row r="118" spans="1:8" s="282" customFormat="1" ht="18.75" x14ac:dyDescent="0.3">
      <c r="A118" s="127" t="s">
        <v>103</v>
      </c>
      <c r="B118" s="128"/>
      <c r="C118" s="125"/>
      <c r="D118" s="125"/>
      <c r="H118" s="128" t="s">
        <v>104</v>
      </c>
    </row>
  </sheetData>
  <mergeCells count="92">
    <mergeCell ref="F2:H2"/>
    <mergeCell ref="A8:H8"/>
    <mergeCell ref="C9:E9"/>
    <mergeCell ref="C10:E10"/>
    <mergeCell ref="A12:H12"/>
    <mergeCell ref="D3:H3"/>
    <mergeCell ref="E4:H4"/>
    <mergeCell ref="B5:H5"/>
    <mergeCell ref="A6:E6"/>
    <mergeCell ref="C18:E18"/>
    <mergeCell ref="C19:E19"/>
    <mergeCell ref="C20:E20"/>
    <mergeCell ref="C13:E13"/>
    <mergeCell ref="C14:E14"/>
    <mergeCell ref="A16:H16"/>
    <mergeCell ref="C17:E17"/>
    <mergeCell ref="C27:E27"/>
    <mergeCell ref="C28:E28"/>
    <mergeCell ref="C29:E29"/>
    <mergeCell ref="A22:H22"/>
    <mergeCell ref="C23:E23"/>
    <mergeCell ref="C24:E24"/>
    <mergeCell ref="A26:H26"/>
    <mergeCell ref="C35:E35"/>
    <mergeCell ref="C36:E36"/>
    <mergeCell ref="A38:H38"/>
    <mergeCell ref="C39:E39"/>
    <mergeCell ref="C30:E30"/>
    <mergeCell ref="A32:H32"/>
    <mergeCell ref="C33:E33"/>
    <mergeCell ref="C34:E34"/>
    <mergeCell ref="A44:H44"/>
    <mergeCell ref="C45:E45"/>
    <mergeCell ref="C46:E46"/>
    <mergeCell ref="C47:E47"/>
    <mergeCell ref="C40:E40"/>
    <mergeCell ref="C41:E41"/>
    <mergeCell ref="C42:E42"/>
    <mergeCell ref="C54:E54"/>
    <mergeCell ref="C55:E55"/>
    <mergeCell ref="A57:H57"/>
    <mergeCell ref="C58:E58"/>
    <mergeCell ref="A49:H49"/>
    <mergeCell ref="C50:E50"/>
    <mergeCell ref="C51:E51"/>
    <mergeCell ref="A53:H53"/>
    <mergeCell ref="A65:H65"/>
    <mergeCell ref="C66:E66"/>
    <mergeCell ref="C67:E67"/>
    <mergeCell ref="C68:E68"/>
    <mergeCell ref="C59:E59"/>
    <mergeCell ref="A61:H61"/>
    <mergeCell ref="C62:E62"/>
    <mergeCell ref="C63:E63"/>
    <mergeCell ref="C74:E74"/>
    <mergeCell ref="C75:E75"/>
    <mergeCell ref="A77:H77"/>
    <mergeCell ref="C78:E78"/>
    <mergeCell ref="C69:E69"/>
    <mergeCell ref="A71:H71"/>
    <mergeCell ref="C72:E72"/>
    <mergeCell ref="C73:E73"/>
    <mergeCell ref="A83:H83"/>
    <mergeCell ref="C84:E84"/>
    <mergeCell ref="C85:E85"/>
    <mergeCell ref="C86:E86"/>
    <mergeCell ref="C79:E79"/>
    <mergeCell ref="C80:E80"/>
    <mergeCell ref="C81:E81"/>
    <mergeCell ref="C93:E93"/>
    <mergeCell ref="C94:E94"/>
    <mergeCell ref="C95:E95"/>
    <mergeCell ref="A88:H88"/>
    <mergeCell ref="C89:E89"/>
    <mergeCell ref="C90:E90"/>
    <mergeCell ref="A92:H92"/>
    <mergeCell ref="C102:E102"/>
    <mergeCell ref="C103:E103"/>
    <mergeCell ref="A105:H105"/>
    <mergeCell ref="C106:E106"/>
    <mergeCell ref="A97:H97"/>
    <mergeCell ref="C98:E98"/>
    <mergeCell ref="C99:E99"/>
    <mergeCell ref="A101:H101"/>
    <mergeCell ref="C115:E115"/>
    <mergeCell ref="C112:E112"/>
    <mergeCell ref="C113:E113"/>
    <mergeCell ref="C114:E114"/>
    <mergeCell ref="C107:E107"/>
    <mergeCell ref="A109:H109"/>
    <mergeCell ref="C110:E110"/>
    <mergeCell ref="C111:E111"/>
  </mergeCells>
  <pageMargins left="0.74803149606299213" right="0.74803149606299213" top="0.78740157480314965" bottom="0.39370078740157483" header="0.19685039370078741" footer="0.19685039370078741"/>
  <pageSetup scale="80" pageOrder="overThenDown" orientation="portrait" verticalDpi="0" r:id="rId1"/>
  <headerFooter>
    <oddFooter>&amp;R&amp;P</oddFooter>
  </headerFooter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1.pielikums</vt:lpstr>
      <vt:lpstr>2.pielikums</vt:lpstr>
      <vt:lpstr>3.pielikums</vt:lpstr>
      <vt:lpstr>4.pielikums</vt:lpstr>
      <vt:lpstr>5.pielikums</vt:lpstr>
      <vt:lpstr>6.pielikums</vt:lpstr>
      <vt:lpstr>7.pielikums</vt:lpstr>
      <vt:lpstr>'5.pielikums'!Print_Area</vt:lpstr>
      <vt:lpstr>'1.pielikums'!Print_Titles</vt:lpstr>
      <vt:lpstr>'3.pielikums'!Print_Titles</vt:lpstr>
      <vt:lpstr>'4.pielikums'!Print_Titles</vt:lpstr>
      <vt:lpstr>'5.pielikums'!Print_Titles</vt:lpstr>
      <vt:lpstr>'6.pielikums'!Print_Titles</vt:lpstr>
      <vt:lpstr>'7.pielikums'!Print_Titles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Pēce</dc:creator>
  <cp:lastModifiedBy>Baiba Jēkabsone</cp:lastModifiedBy>
  <cp:lastPrinted>2019-10-10T05:02:34Z</cp:lastPrinted>
  <dcterms:created xsi:type="dcterms:W3CDTF">2016-06-01T06:50:59Z</dcterms:created>
  <dcterms:modified xsi:type="dcterms:W3CDTF">2019-10-25T05:02:22Z</dcterms:modified>
</cp:coreProperties>
</file>