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75" windowWidth="11100" windowHeight="4335" tabRatio="724" activeTab="7"/>
  </bookViews>
  <sheets>
    <sheet name="1.pielikums" sheetId="10" r:id="rId1"/>
    <sheet name="2.pielikums" sheetId="7" r:id="rId2"/>
    <sheet name="3.pielikums" sheetId="5" r:id="rId3"/>
    <sheet name="4.pielikums" sheetId="34" r:id="rId4"/>
    <sheet name="5.pielikums" sheetId="33" r:id="rId5"/>
    <sheet name="6.pielikums" sheetId="23" r:id="rId6"/>
    <sheet name="7.pielikums" sheetId="35" r:id="rId7"/>
    <sheet name="8.pielikums" sheetId="36" r:id="rId8"/>
  </sheets>
  <definedNames>
    <definedName name="_xlnm.Print_Area" localSheetId="4">'5.pielikums'!$A$1:$X$134</definedName>
    <definedName name="_xlnm.Print_Titles" localSheetId="0">'1.pielikums'!$8:$8</definedName>
    <definedName name="_xlnm.Print_Titles" localSheetId="2">'3.pielikums'!$7:$8</definedName>
    <definedName name="_xlnm.Print_Titles" localSheetId="3">'4.pielikums'!$7:$7</definedName>
    <definedName name="_xlnm.Print_Titles" localSheetId="4">'5.pielikums'!$A:$A,'5.pielikums'!$5:$6</definedName>
    <definedName name="_xlnm.Print_Titles" localSheetId="6">'7.pielikums'!$7:$7</definedName>
  </definedNames>
  <calcPr calcId="145621"/>
</workbook>
</file>

<file path=xl/calcChain.xml><?xml version="1.0" encoding="utf-8"?>
<calcChain xmlns="http://schemas.openxmlformats.org/spreadsheetml/2006/main">
  <c r="G735" i="34" l="1"/>
  <c r="G733" i="34"/>
  <c r="G719" i="34"/>
  <c r="G716" i="34"/>
  <c r="G522" i="34"/>
  <c r="G521" i="34"/>
  <c r="G518" i="34"/>
  <c r="G514" i="34"/>
  <c r="G511" i="34"/>
  <c r="G500" i="34"/>
  <c r="G501" i="34"/>
  <c r="G497" i="34"/>
  <c r="D142" i="5"/>
  <c r="D135" i="5"/>
  <c r="D220" i="5"/>
  <c r="E18" i="23" l="1"/>
  <c r="D18" i="23"/>
  <c r="E20" i="23"/>
  <c r="E9" i="23"/>
  <c r="C10" i="36" l="1"/>
  <c r="E16" i="36"/>
  <c r="D16" i="36"/>
  <c r="C16" i="36"/>
  <c r="E10" i="36"/>
  <c r="D10" i="36"/>
  <c r="E8" i="36"/>
  <c r="D8" i="36"/>
  <c r="C8" i="36"/>
  <c r="H94" i="33" l="1"/>
  <c r="I103" i="33"/>
  <c r="H93" i="33"/>
  <c r="E93" i="33"/>
  <c r="C80" i="10" l="1"/>
  <c r="D160" i="5"/>
  <c r="F160" i="5"/>
  <c r="D145" i="5"/>
  <c r="C50" i="10" l="1"/>
  <c r="D86" i="5" l="1"/>
  <c r="D41" i="5"/>
  <c r="D28" i="23" l="1"/>
  <c r="C28" i="23"/>
  <c r="E25" i="23"/>
  <c r="D25" i="23"/>
  <c r="C25" i="23"/>
  <c r="D22" i="23"/>
  <c r="C22" i="23"/>
  <c r="C18" i="23"/>
  <c r="E17" i="23"/>
  <c r="E19" i="23"/>
  <c r="E21" i="23"/>
  <c r="E23" i="23"/>
  <c r="E24" i="23"/>
  <c r="E26" i="23"/>
  <c r="E27" i="23"/>
  <c r="D16" i="23"/>
  <c r="C16" i="23"/>
  <c r="E22" i="23" l="1"/>
  <c r="E28" i="23"/>
  <c r="E16" i="23"/>
  <c r="D73" i="5"/>
  <c r="D72" i="5" s="1"/>
  <c r="H213" i="5"/>
  <c r="H42" i="5"/>
  <c r="H208" i="5"/>
  <c r="H182" i="5"/>
  <c r="H155" i="5" l="1"/>
  <c r="H154" i="5"/>
  <c r="H150" i="5"/>
  <c r="H143" i="5"/>
  <c r="H142" i="5"/>
  <c r="D136" i="5"/>
  <c r="H135" i="5"/>
  <c r="D116" i="5"/>
  <c r="H110" i="5"/>
  <c r="H156" i="5"/>
  <c r="F156" i="5"/>
  <c r="E156" i="5"/>
  <c r="D156" i="5"/>
  <c r="D205" i="5"/>
  <c r="D158" i="5"/>
  <c r="D152" i="5"/>
  <c r="D51" i="5" l="1"/>
  <c r="D46" i="5"/>
  <c r="F129" i="33" l="1"/>
  <c r="W118" i="33"/>
  <c r="V118" i="33"/>
  <c r="U118" i="33"/>
  <c r="T118" i="33"/>
  <c r="S118" i="33"/>
  <c r="R118" i="33"/>
  <c r="Q118" i="33"/>
  <c r="P118" i="33"/>
  <c r="O118" i="33"/>
  <c r="N118" i="33"/>
  <c r="M118" i="33"/>
  <c r="L118" i="33"/>
  <c r="K118" i="33"/>
  <c r="J118" i="33"/>
  <c r="I118" i="33"/>
  <c r="H118" i="33"/>
  <c r="W117" i="33"/>
  <c r="W119" i="33" s="1"/>
  <c r="V117" i="33"/>
  <c r="V119" i="33" s="1"/>
  <c r="U117" i="33"/>
  <c r="U119" i="33" s="1"/>
  <c r="T117" i="33"/>
  <c r="T119" i="33" s="1"/>
  <c r="S117" i="33"/>
  <c r="S119" i="33" s="1"/>
  <c r="R117" i="33"/>
  <c r="R119" i="33" s="1"/>
  <c r="Q117" i="33"/>
  <c r="Q119" i="33" s="1"/>
  <c r="P117" i="33"/>
  <c r="P119" i="33" s="1"/>
  <c r="O117" i="33"/>
  <c r="O119" i="33" s="1"/>
  <c r="N117" i="33"/>
  <c r="N119" i="33" s="1"/>
  <c r="M117" i="33"/>
  <c r="M119" i="33" s="1"/>
  <c r="L117" i="33"/>
  <c r="L119" i="33" s="1"/>
  <c r="K117" i="33"/>
  <c r="K119" i="33" s="1"/>
  <c r="J117" i="33"/>
  <c r="J119" i="33" s="1"/>
  <c r="I117" i="33"/>
  <c r="I119" i="33" s="1"/>
  <c r="H117" i="33"/>
  <c r="H119" i="33" s="1"/>
  <c r="X116" i="33"/>
  <c r="X115" i="33"/>
  <c r="X114" i="33"/>
  <c r="X113" i="33"/>
  <c r="X112" i="33"/>
  <c r="X111" i="33"/>
  <c r="X110" i="33"/>
  <c r="X118" i="33" s="1"/>
  <c r="X109" i="33"/>
  <c r="H100" i="33"/>
  <c r="R95" i="33"/>
  <c r="R97" i="33" s="1"/>
  <c r="N95" i="33"/>
  <c r="N104" i="33" s="1"/>
  <c r="U94" i="33"/>
  <c r="T94" i="33"/>
  <c r="T127" i="33" s="1"/>
  <c r="S94" i="33"/>
  <c r="S127" i="33" s="1"/>
  <c r="R94" i="33"/>
  <c r="R127" i="33" s="1"/>
  <c r="Q94" i="33"/>
  <c r="P94" i="33"/>
  <c r="P127" i="33" s="1"/>
  <c r="O94" i="33"/>
  <c r="O127" i="33" s="1"/>
  <c r="N94" i="33"/>
  <c r="N127" i="33" s="1"/>
  <c r="M94" i="33"/>
  <c r="L94" i="33"/>
  <c r="L127" i="33" s="1"/>
  <c r="K94" i="33"/>
  <c r="K127" i="33" s="1"/>
  <c r="I94" i="33"/>
  <c r="I127" i="33" s="1"/>
  <c r="H127" i="33"/>
  <c r="T93" i="33"/>
  <c r="T95" i="33" s="1"/>
  <c r="S93" i="33"/>
  <c r="S126" i="33" s="1"/>
  <c r="S128" i="33" s="1"/>
  <c r="R93" i="33"/>
  <c r="R126" i="33" s="1"/>
  <c r="R128" i="33" s="1"/>
  <c r="Q93" i="33"/>
  <c r="Q95" i="33" s="1"/>
  <c r="P93" i="33"/>
  <c r="P103" i="33" s="1"/>
  <c r="O93" i="33"/>
  <c r="O126" i="33" s="1"/>
  <c r="O128" i="33" s="1"/>
  <c r="N93" i="33"/>
  <c r="N126" i="33" s="1"/>
  <c r="N128" i="33" s="1"/>
  <c r="M93" i="33"/>
  <c r="M95" i="33" s="1"/>
  <c r="L93" i="33"/>
  <c r="L126" i="33" s="1"/>
  <c r="L128" i="33" s="1"/>
  <c r="K93" i="33"/>
  <c r="K126" i="33" s="1"/>
  <c r="K128" i="33" s="1"/>
  <c r="J93" i="33"/>
  <c r="J126" i="33" s="1"/>
  <c r="I93" i="33"/>
  <c r="I95" i="33" s="1"/>
  <c r="X92" i="33"/>
  <c r="X91" i="33"/>
  <c r="X90" i="33"/>
  <c r="X89" i="33"/>
  <c r="X88" i="33"/>
  <c r="X87" i="33"/>
  <c r="X86" i="33"/>
  <c r="X85" i="33"/>
  <c r="X84" i="33"/>
  <c r="X83" i="33"/>
  <c r="E83" i="33"/>
  <c r="X82" i="33"/>
  <c r="X81" i="33"/>
  <c r="E81" i="33"/>
  <c r="X80" i="33"/>
  <c r="W80" i="33"/>
  <c r="G80" i="33"/>
  <c r="X79" i="33"/>
  <c r="E79" i="33"/>
  <c r="W78" i="33"/>
  <c r="X78" i="33" s="1"/>
  <c r="X77" i="33"/>
  <c r="E77" i="33"/>
  <c r="X76" i="33"/>
  <c r="X75" i="33"/>
  <c r="E75" i="33"/>
  <c r="X74" i="33"/>
  <c r="X73" i="33"/>
  <c r="X72" i="33"/>
  <c r="X71" i="33"/>
  <c r="E71" i="33"/>
  <c r="W70" i="33"/>
  <c r="X70" i="33" s="1"/>
  <c r="W69" i="33"/>
  <c r="X69" i="33" s="1"/>
  <c r="E69" i="33"/>
  <c r="X68" i="33"/>
  <c r="W68" i="33"/>
  <c r="X67" i="33"/>
  <c r="V67" i="33"/>
  <c r="V93" i="33" s="1"/>
  <c r="E67" i="33"/>
  <c r="X66" i="33"/>
  <c r="X65" i="33"/>
  <c r="H65" i="33"/>
  <c r="X64" i="33"/>
  <c r="X63" i="33"/>
  <c r="X62" i="33"/>
  <c r="X61" i="33"/>
  <c r="X60" i="33"/>
  <c r="X59" i="33"/>
  <c r="X58" i="33"/>
  <c r="H57" i="33"/>
  <c r="X57" i="33" s="1"/>
  <c r="E57" i="33"/>
  <c r="X56" i="33"/>
  <c r="W56" i="33"/>
  <c r="X55" i="33"/>
  <c r="W55" i="33"/>
  <c r="E55" i="33"/>
  <c r="W54" i="33"/>
  <c r="X54" i="33" s="1"/>
  <c r="X53" i="33"/>
  <c r="E53" i="33"/>
  <c r="X52" i="33"/>
  <c r="X51" i="33"/>
  <c r="E51" i="33"/>
  <c r="X50" i="33"/>
  <c r="W50" i="33"/>
  <c r="X49" i="33"/>
  <c r="E49" i="33"/>
  <c r="X48" i="33"/>
  <c r="X47" i="33"/>
  <c r="X46" i="33"/>
  <c r="X45" i="33"/>
  <c r="E45" i="33"/>
  <c r="X44" i="33"/>
  <c r="X43" i="33"/>
  <c r="X42" i="33"/>
  <c r="X41" i="33"/>
  <c r="E41" i="33"/>
  <c r="X40" i="33"/>
  <c r="H39" i="33"/>
  <c r="H99" i="33" s="1"/>
  <c r="E39" i="33"/>
  <c r="X38" i="33"/>
  <c r="W37" i="33"/>
  <c r="U37" i="33"/>
  <c r="X37" i="33" s="1"/>
  <c r="E37" i="33"/>
  <c r="J36" i="33"/>
  <c r="J94" i="33" s="1"/>
  <c r="X35" i="33"/>
  <c r="E35" i="33"/>
  <c r="W34" i="33"/>
  <c r="W94" i="33" s="1"/>
  <c r="W127" i="33" s="1"/>
  <c r="W33" i="33"/>
  <c r="X33" i="33" s="1"/>
  <c r="E33" i="33"/>
  <c r="X32" i="33"/>
  <c r="W32" i="33"/>
  <c r="X31" i="33"/>
  <c r="X30" i="33"/>
  <c r="X29" i="33"/>
  <c r="U29" i="33"/>
  <c r="X28" i="33"/>
  <c r="X27" i="33"/>
  <c r="X26" i="33"/>
  <c r="W26" i="33"/>
  <c r="X25" i="33"/>
  <c r="X24" i="33"/>
  <c r="X23" i="33"/>
  <c r="U23" i="33"/>
  <c r="X22" i="33"/>
  <c r="W21" i="33"/>
  <c r="W93" i="33" s="1"/>
  <c r="E21" i="33"/>
  <c r="X20" i="33"/>
  <c r="X19" i="33"/>
  <c r="E19" i="33"/>
  <c r="X18" i="33"/>
  <c r="X17" i="33"/>
  <c r="U17" i="33"/>
  <c r="X16" i="33"/>
  <c r="U15" i="33"/>
  <c r="X15" i="33" s="1"/>
  <c r="E15" i="33"/>
  <c r="X14" i="33"/>
  <c r="X13" i="33"/>
  <c r="X12" i="33"/>
  <c r="X11" i="33"/>
  <c r="X10" i="33"/>
  <c r="X9" i="33"/>
  <c r="W8" i="33"/>
  <c r="V8" i="33"/>
  <c r="V94" i="33" s="1"/>
  <c r="V127" i="33" s="1"/>
  <c r="X7" i="33"/>
  <c r="L6" i="33"/>
  <c r="M6" i="33" s="1"/>
  <c r="N6" i="33" s="1"/>
  <c r="O6" i="33" s="1"/>
  <c r="P6" i="33" s="1"/>
  <c r="Q6" i="33" s="1"/>
  <c r="R6" i="33" s="1"/>
  <c r="S6" i="33" s="1"/>
  <c r="T6" i="33" s="1"/>
  <c r="U6" i="33" s="1"/>
  <c r="V6" i="33" s="1"/>
  <c r="K6" i="33"/>
  <c r="J6" i="33"/>
  <c r="I6" i="33"/>
  <c r="X117" i="33" l="1"/>
  <c r="M127" i="33"/>
  <c r="Q127" i="33"/>
  <c r="U127" i="33"/>
  <c r="N130" i="33"/>
  <c r="N129" i="33"/>
  <c r="K130" i="33"/>
  <c r="K129" i="33"/>
  <c r="O130" i="33"/>
  <c r="O129" i="33"/>
  <c r="S130" i="33"/>
  <c r="S129" i="33"/>
  <c r="V95" i="33"/>
  <c r="V126" i="33"/>
  <c r="V128" i="33" s="1"/>
  <c r="L130" i="33"/>
  <c r="L129" i="33"/>
  <c r="T97" i="33"/>
  <c r="T96" i="33"/>
  <c r="J127" i="33"/>
  <c r="J128" i="33" s="1"/>
  <c r="J95" i="33"/>
  <c r="R130" i="33"/>
  <c r="R129" i="33"/>
  <c r="W126" i="33"/>
  <c r="W128" i="33" s="1"/>
  <c r="W95" i="33"/>
  <c r="I97" i="33"/>
  <c r="I96" i="33"/>
  <c r="M97" i="33"/>
  <c r="M96" i="33"/>
  <c r="Q104" i="33"/>
  <c r="Q97" i="33"/>
  <c r="Q96" i="33"/>
  <c r="X119" i="33"/>
  <c r="L103" i="33"/>
  <c r="T103" i="33"/>
  <c r="R104" i="33"/>
  <c r="P126" i="33"/>
  <c r="P128" i="33" s="1"/>
  <c r="T126" i="33"/>
  <c r="T128" i="33" s="1"/>
  <c r="X21" i="33"/>
  <c r="X93" i="33" s="1"/>
  <c r="X34" i="33"/>
  <c r="X94" i="33" s="1"/>
  <c r="X36" i="33"/>
  <c r="X39" i="33"/>
  <c r="U93" i="33"/>
  <c r="K95" i="33"/>
  <c r="O95" i="33"/>
  <c r="S95" i="33"/>
  <c r="T104" i="33" s="1"/>
  <c r="N96" i="33"/>
  <c r="R96" i="33"/>
  <c r="N97" i="33"/>
  <c r="M103" i="33"/>
  <c r="Q103" i="33"/>
  <c r="I126" i="33"/>
  <c r="I128" i="33" s="1"/>
  <c r="M126" i="33"/>
  <c r="M128" i="33" s="1"/>
  <c r="Q126" i="33"/>
  <c r="Q128" i="33" s="1"/>
  <c r="X8" i="33"/>
  <c r="L95" i="33"/>
  <c r="P95" i="33"/>
  <c r="J103" i="33"/>
  <c r="N103" i="33"/>
  <c r="R103" i="33"/>
  <c r="K103" i="33"/>
  <c r="O103" i="33"/>
  <c r="S103" i="33"/>
  <c r="X127" i="33" l="1"/>
  <c r="J130" i="33"/>
  <c r="J129" i="33"/>
  <c r="X95" i="33"/>
  <c r="J104" i="33"/>
  <c r="J97" i="33"/>
  <c r="J96" i="33"/>
  <c r="H95" i="33"/>
  <c r="H126" i="33"/>
  <c r="K97" i="33"/>
  <c r="K96" i="33"/>
  <c r="K104" i="33"/>
  <c r="V104" i="33"/>
  <c r="V97" i="33"/>
  <c r="V96" i="33"/>
  <c r="O97" i="33"/>
  <c r="O96" i="33"/>
  <c r="O104" i="33"/>
  <c r="W130" i="33"/>
  <c r="W129" i="33"/>
  <c r="U95" i="33"/>
  <c r="U126" i="33"/>
  <c r="U128" i="33" s="1"/>
  <c r="U103" i="33"/>
  <c r="I130" i="33"/>
  <c r="I129" i="33"/>
  <c r="P130" i="33"/>
  <c r="P129" i="33"/>
  <c r="V130" i="33"/>
  <c r="V129" i="33"/>
  <c r="P97" i="33"/>
  <c r="P96" i="33"/>
  <c r="P104" i="33"/>
  <c r="Q130" i="33"/>
  <c r="Q129" i="33"/>
  <c r="L97" i="33"/>
  <c r="L96" i="33"/>
  <c r="L104" i="33"/>
  <c r="M130" i="33"/>
  <c r="M129" i="33"/>
  <c r="S97" i="33"/>
  <c r="S96" i="33"/>
  <c r="S104" i="33"/>
  <c r="T130" i="33"/>
  <c r="T129" i="33"/>
  <c r="M104" i="33"/>
  <c r="W97" i="33"/>
  <c r="W96" i="33"/>
  <c r="V103" i="33"/>
  <c r="H97" i="33" l="1"/>
  <c r="H96" i="33"/>
  <c r="I104" i="33"/>
  <c r="U104" i="33"/>
  <c r="U96" i="33"/>
  <c r="U97" i="33"/>
  <c r="H128" i="33"/>
  <c r="X126" i="33"/>
  <c r="X128" i="33" s="1"/>
  <c r="U130" i="33"/>
  <c r="U129" i="33"/>
  <c r="H130" i="33" l="1"/>
  <c r="H129" i="33"/>
  <c r="E23" i="5" l="1"/>
  <c r="F23" i="5"/>
  <c r="G23" i="5"/>
  <c r="H23" i="5"/>
  <c r="D23" i="5"/>
  <c r="C24" i="5"/>
  <c r="E72" i="5"/>
  <c r="F72" i="5"/>
  <c r="G72" i="5"/>
  <c r="H72" i="5"/>
  <c r="C73" i="5"/>
  <c r="E177" i="5"/>
  <c r="F177" i="5"/>
  <c r="G177" i="5"/>
  <c r="H177" i="5"/>
  <c r="D177" i="5"/>
  <c r="C185" i="5"/>
  <c r="C174" i="5"/>
  <c r="C175" i="5"/>
  <c r="E173" i="5"/>
  <c r="F173" i="5"/>
  <c r="G173" i="5"/>
  <c r="H173" i="5"/>
  <c r="D173" i="5"/>
  <c r="C160" i="5"/>
  <c r="G153" i="5"/>
  <c r="D141" i="5"/>
  <c r="C147" i="5"/>
  <c r="D134" i="5"/>
  <c r="C137" i="5"/>
  <c r="C46" i="5"/>
  <c r="C173" i="5" l="1"/>
  <c r="C72" i="5"/>
  <c r="C177" i="5"/>
  <c r="C49" i="10" l="1"/>
  <c r="C56" i="10" l="1"/>
  <c r="C45" i="10"/>
  <c r="D40" i="5" l="1"/>
  <c r="H27" i="7" l="1"/>
  <c r="G27" i="7"/>
  <c r="F27" i="7"/>
  <c r="E27" i="7"/>
  <c r="D27" i="7"/>
  <c r="C210" i="5"/>
  <c r="C209" i="5"/>
  <c r="C191" i="5"/>
  <c r="C190" i="5"/>
  <c r="C111" i="5"/>
  <c r="C106" i="5"/>
  <c r="C105" i="5"/>
  <c r="C220" i="5" l="1"/>
  <c r="E82" i="5"/>
  <c r="F82" i="5"/>
  <c r="G82" i="5"/>
  <c r="H82" i="5"/>
  <c r="D82" i="5"/>
  <c r="C84" i="5"/>
  <c r="C51" i="5"/>
  <c r="C58" i="5"/>
  <c r="C78" i="5"/>
  <c r="D75" i="5"/>
  <c r="C76" i="5"/>
  <c r="C74" i="5"/>
  <c r="E11" i="5"/>
  <c r="F11" i="5"/>
  <c r="G11" i="5"/>
  <c r="H11" i="5"/>
  <c r="D11" i="5"/>
  <c r="C15" i="5"/>
  <c r="C203" i="5"/>
  <c r="C202" i="5"/>
  <c r="C201" i="5"/>
  <c r="E197" i="5"/>
  <c r="F197" i="5"/>
  <c r="G197" i="5"/>
  <c r="H197" i="5"/>
  <c r="D197" i="5"/>
  <c r="C198" i="5"/>
  <c r="E195" i="5"/>
  <c r="F195" i="5"/>
  <c r="G195" i="5"/>
  <c r="H195" i="5"/>
  <c r="D195" i="5"/>
  <c r="C196" i="5"/>
  <c r="F153" i="5"/>
  <c r="E153" i="5"/>
  <c r="D153" i="5"/>
  <c r="H153" i="5"/>
  <c r="C127" i="5"/>
  <c r="E126" i="5"/>
  <c r="F126" i="5"/>
  <c r="G126" i="5"/>
  <c r="H126" i="5"/>
  <c r="D126" i="5"/>
  <c r="C83" i="5"/>
  <c r="E80" i="5"/>
  <c r="F80" i="5"/>
  <c r="G80" i="5"/>
  <c r="H80" i="5"/>
  <c r="D80" i="5"/>
  <c r="C81" i="5"/>
  <c r="E70" i="5"/>
  <c r="F70" i="5"/>
  <c r="G70" i="5"/>
  <c r="H70" i="5"/>
  <c r="D70" i="5"/>
  <c r="C71" i="5"/>
  <c r="C55" i="5"/>
  <c r="E34" i="5"/>
  <c r="F34" i="5"/>
  <c r="G34" i="5"/>
  <c r="H34" i="5"/>
  <c r="D34" i="5"/>
  <c r="E31" i="5"/>
  <c r="F31" i="5"/>
  <c r="G31" i="5"/>
  <c r="H31" i="5"/>
  <c r="D31" i="5"/>
  <c r="C32" i="5"/>
  <c r="C37" i="5"/>
  <c r="E25" i="5"/>
  <c r="F25" i="5"/>
  <c r="G25" i="5"/>
  <c r="H25" i="5"/>
  <c r="D25" i="5"/>
  <c r="C126" i="5" l="1"/>
  <c r="C153" i="5"/>
  <c r="C25" i="5"/>
  <c r="C34" i="5"/>
  <c r="C76" i="10" l="1"/>
  <c r="C70" i="10"/>
  <c r="C65" i="10"/>
  <c r="C63" i="10"/>
  <c r="C41" i="10"/>
  <c r="C39" i="10"/>
  <c r="C38" i="10" s="1"/>
  <c r="C22" i="10"/>
  <c r="C48" i="10"/>
  <c r="C35" i="10"/>
  <c r="C34" i="10" s="1"/>
  <c r="C60" i="10" l="1"/>
  <c r="C59" i="10" s="1"/>
  <c r="D214" i="5"/>
  <c r="D212" i="5" l="1"/>
  <c r="C184" i="5" l="1"/>
  <c r="E164" i="5"/>
  <c r="F164" i="5"/>
  <c r="G164" i="5"/>
  <c r="H164" i="5"/>
  <c r="D164" i="5"/>
  <c r="C168" i="5"/>
  <c r="C158" i="5"/>
  <c r="C159" i="5"/>
  <c r="E149" i="5"/>
  <c r="F149" i="5"/>
  <c r="G149" i="5"/>
  <c r="H149" i="5"/>
  <c r="D149" i="5"/>
  <c r="C152" i="5"/>
  <c r="E141" i="5"/>
  <c r="F141" i="5"/>
  <c r="G141" i="5"/>
  <c r="H141" i="5"/>
  <c r="C148" i="5"/>
  <c r="C136" i="5"/>
  <c r="E101" i="5"/>
  <c r="F101" i="5"/>
  <c r="G101" i="5"/>
  <c r="H101" i="5"/>
  <c r="D101" i="5"/>
  <c r="C107" i="5"/>
  <c r="C99" i="5"/>
  <c r="E93" i="5"/>
  <c r="F93" i="5"/>
  <c r="G93" i="5"/>
  <c r="H93" i="5"/>
  <c r="D93" i="5"/>
  <c r="D48" i="5"/>
  <c r="E53" i="5"/>
  <c r="F53" i="5"/>
  <c r="G53" i="5"/>
  <c r="H53" i="5"/>
  <c r="D53" i="5"/>
  <c r="C54" i="5"/>
  <c r="C52" i="5"/>
  <c r="E48" i="5"/>
  <c r="F48" i="5"/>
  <c r="G48" i="5"/>
  <c r="H48" i="5"/>
  <c r="C141" i="5" l="1"/>
  <c r="C48" i="5"/>
  <c r="C149" i="5"/>
  <c r="C101" i="5"/>
  <c r="C53" i="5"/>
  <c r="H199" i="5" l="1"/>
  <c r="C59" i="5" l="1"/>
  <c r="C144" i="5" l="1"/>
  <c r="C143" i="5"/>
  <c r="C142" i="5"/>
  <c r="E85" i="5" l="1"/>
  <c r="F85" i="5"/>
  <c r="G85" i="5"/>
  <c r="H85" i="5"/>
  <c r="D85" i="5"/>
  <c r="C92" i="5"/>
  <c r="E109" i="5"/>
  <c r="F109" i="5"/>
  <c r="G109" i="5"/>
  <c r="H109" i="5"/>
  <c r="D109" i="5"/>
  <c r="C112" i="5"/>
  <c r="E20" i="5" l="1"/>
  <c r="F20" i="5"/>
  <c r="G20" i="5"/>
  <c r="H20" i="5"/>
  <c r="D20" i="5"/>
  <c r="C20" i="5" l="1"/>
  <c r="C22" i="5"/>
  <c r="C91" i="5"/>
  <c r="C26" i="10" l="1"/>
  <c r="E10" i="23" l="1"/>
  <c r="C183" i="5" l="1"/>
  <c r="C167" i="5"/>
  <c r="E214" i="5" l="1"/>
  <c r="F214" i="5"/>
  <c r="F212" i="5" s="1"/>
  <c r="G214" i="5"/>
  <c r="G212" i="5" s="1"/>
  <c r="H214" i="5"/>
  <c r="H212" i="5" s="1"/>
  <c r="D21" i="7"/>
  <c r="E26" i="7"/>
  <c r="F26" i="7"/>
  <c r="G26" i="7"/>
  <c r="H26" i="7"/>
  <c r="D26" i="7"/>
  <c r="E25" i="7"/>
  <c r="F25" i="7"/>
  <c r="G25" i="7"/>
  <c r="H25" i="7"/>
  <c r="D25" i="7"/>
  <c r="C219" i="5"/>
  <c r="C218" i="5"/>
  <c r="H23" i="7"/>
  <c r="E23" i="7"/>
  <c r="F23" i="7"/>
  <c r="G23" i="7"/>
  <c r="E212" i="5" l="1"/>
  <c r="C212" i="5" s="1"/>
  <c r="C214" i="5"/>
  <c r="C26" i="7"/>
  <c r="C25" i="7"/>
  <c r="D27" i="5" l="1"/>
  <c r="C27" i="7" l="1"/>
  <c r="C145" i="5"/>
  <c r="C117" i="5"/>
  <c r="C29" i="5"/>
  <c r="C19" i="5"/>
  <c r="C165" i="5"/>
  <c r="D56" i="5"/>
  <c r="D39" i="5" s="1"/>
  <c r="C47" i="10"/>
  <c r="C44" i="10" s="1"/>
  <c r="C179" i="5"/>
  <c r="E113" i="5"/>
  <c r="C110" i="5"/>
  <c r="E75" i="5"/>
  <c r="F75" i="5"/>
  <c r="G75" i="5"/>
  <c r="H75" i="5"/>
  <c r="C14" i="5"/>
  <c r="C13" i="5"/>
  <c r="D207" i="5"/>
  <c r="C114" i="5"/>
  <c r="D199" i="5"/>
  <c r="D186" i="5"/>
  <c r="C208" i="5"/>
  <c r="C155" i="5"/>
  <c r="C135" i="5"/>
  <c r="E134" i="5"/>
  <c r="F134" i="5"/>
  <c r="G134" i="5"/>
  <c r="C78" i="10"/>
  <c r="C52" i="10"/>
  <c r="C14" i="10"/>
  <c r="C11" i="10"/>
  <c r="F113" i="5"/>
  <c r="G113" i="5"/>
  <c r="H113" i="5"/>
  <c r="D113" i="5"/>
  <c r="C171" i="5"/>
  <c r="C138" i="5"/>
  <c r="C77" i="5"/>
  <c r="D169" i="5"/>
  <c r="E56" i="5"/>
  <c r="F56" i="5"/>
  <c r="G56" i="5"/>
  <c r="H56" i="5"/>
  <c r="C65" i="5"/>
  <c r="E40" i="5"/>
  <c r="F40" i="5"/>
  <c r="G40" i="5"/>
  <c r="H40" i="5"/>
  <c r="C47" i="5"/>
  <c r="C45" i="5"/>
  <c r="C62" i="5"/>
  <c r="D36" i="5"/>
  <c r="D33" i="5" s="1"/>
  <c r="C28" i="5"/>
  <c r="E186" i="5"/>
  <c r="E189" i="5"/>
  <c r="E199" i="5"/>
  <c r="E207" i="5"/>
  <c r="F186" i="5"/>
  <c r="F189" i="5"/>
  <c r="F199" i="5"/>
  <c r="F207" i="5"/>
  <c r="G186" i="5"/>
  <c r="G189" i="5"/>
  <c r="G199" i="5"/>
  <c r="G207" i="5"/>
  <c r="H186" i="5"/>
  <c r="H189" i="5"/>
  <c r="D118" i="5"/>
  <c r="D122" i="5"/>
  <c r="D128" i="5"/>
  <c r="D16" i="5"/>
  <c r="D10" i="5" s="1"/>
  <c r="D161" i="5"/>
  <c r="D67" i="5"/>
  <c r="D66" i="5" s="1"/>
  <c r="D15" i="7"/>
  <c r="E16" i="5"/>
  <c r="E27" i="5"/>
  <c r="E36" i="5"/>
  <c r="E67" i="5"/>
  <c r="E79" i="5"/>
  <c r="E14" i="7" s="1"/>
  <c r="E115" i="5"/>
  <c r="E118" i="5"/>
  <c r="E122" i="5"/>
  <c r="E128" i="5"/>
  <c r="E161" i="5"/>
  <c r="E169" i="5"/>
  <c r="E15" i="7"/>
  <c r="F16" i="5"/>
  <c r="F27" i="5"/>
  <c r="F36" i="5"/>
  <c r="F67" i="5"/>
  <c r="F79" i="5"/>
  <c r="F14" i="7" s="1"/>
  <c r="F115" i="5"/>
  <c r="F118" i="5"/>
  <c r="F122" i="5"/>
  <c r="F128" i="5"/>
  <c r="F161" i="5"/>
  <c r="F169" i="5"/>
  <c r="F15" i="7"/>
  <c r="G27" i="5"/>
  <c r="G16" i="5"/>
  <c r="G161" i="5"/>
  <c r="G169" i="5"/>
  <c r="G36" i="5"/>
  <c r="G67" i="5"/>
  <c r="G79" i="5"/>
  <c r="G14" i="7" s="1"/>
  <c r="G115" i="5"/>
  <c r="G118" i="5"/>
  <c r="G122" i="5"/>
  <c r="G128" i="5"/>
  <c r="G15" i="7"/>
  <c r="H169" i="5"/>
  <c r="H161" i="5"/>
  <c r="H27" i="5"/>
  <c r="H16" i="5"/>
  <c r="H36" i="5"/>
  <c r="H67" i="5"/>
  <c r="H79" i="5"/>
  <c r="H14" i="7" s="1"/>
  <c r="H115" i="5"/>
  <c r="H118" i="5"/>
  <c r="H122" i="5"/>
  <c r="H128" i="5"/>
  <c r="H15" i="7"/>
  <c r="F21" i="7"/>
  <c r="H21" i="7"/>
  <c r="C157" i="5"/>
  <c r="C146" i="5"/>
  <c r="C98" i="5"/>
  <c r="C94" i="5"/>
  <c r="C95" i="5"/>
  <c r="C96" i="5"/>
  <c r="C97" i="5"/>
  <c r="C50" i="5"/>
  <c r="C44" i="5"/>
  <c r="C211" i="5"/>
  <c r="C23" i="5"/>
  <c r="C206" i="5"/>
  <c r="C120" i="5"/>
  <c r="C64" i="5"/>
  <c r="C38" i="5"/>
  <c r="C90" i="5"/>
  <c r="D23" i="7"/>
  <c r="C23" i="7" s="1"/>
  <c r="C194" i="5"/>
  <c r="C63" i="5"/>
  <c r="D20" i="7"/>
  <c r="D19" i="7" s="1"/>
  <c r="F20" i="7"/>
  <c r="H20" i="7"/>
  <c r="E20" i="7"/>
  <c r="G20" i="7"/>
  <c r="C42" i="5"/>
  <c r="C193" i="5"/>
  <c r="C172" i="5"/>
  <c r="C125" i="5"/>
  <c r="C60" i="5"/>
  <c r="C216" i="5"/>
  <c r="C61" i="5"/>
  <c r="C17" i="5"/>
  <c r="C18" i="5"/>
  <c r="H24" i="7"/>
  <c r="E24" i="7"/>
  <c r="F24" i="7"/>
  <c r="G24" i="7"/>
  <c r="D24" i="7"/>
  <c r="E22" i="7"/>
  <c r="F22" i="7"/>
  <c r="G22" i="7"/>
  <c r="H22" i="7"/>
  <c r="D22" i="7"/>
  <c r="C162" i="5"/>
  <c r="C163" i="5"/>
  <c r="C130" i="5"/>
  <c r="C131" i="5"/>
  <c r="C132" i="5"/>
  <c r="C121" i="5"/>
  <c r="C116" i="5"/>
  <c r="C119" i="5"/>
  <c r="C150" i="5"/>
  <c r="C195" i="5"/>
  <c r="C21" i="5"/>
  <c r="C26" i="5"/>
  <c r="C30" i="5"/>
  <c r="C215" i="5"/>
  <c r="C192" i="5"/>
  <c r="C89" i="5"/>
  <c r="C80" i="5"/>
  <c r="C49" i="5"/>
  <c r="C170" i="5"/>
  <c r="C154" i="5"/>
  <c r="C166" i="5"/>
  <c r="C200" i="5"/>
  <c r="C204" i="5"/>
  <c r="C205" i="5"/>
  <c r="C187" i="5"/>
  <c r="C188" i="5"/>
  <c r="C178" i="5"/>
  <c r="C180" i="5"/>
  <c r="C181" i="5"/>
  <c r="C197" i="5"/>
  <c r="C217" i="5"/>
  <c r="C35" i="5"/>
  <c r="C57" i="5"/>
  <c r="C68" i="5"/>
  <c r="C69" i="5"/>
  <c r="C70" i="5"/>
  <c r="C82" i="5"/>
  <c r="C86" i="5"/>
  <c r="C87" i="5"/>
  <c r="C88" i="5"/>
  <c r="C102" i="5"/>
  <c r="C103" i="5"/>
  <c r="C104" i="5"/>
  <c r="C123" i="5"/>
  <c r="C124" i="5"/>
  <c r="C129" i="5"/>
  <c r="C151" i="5"/>
  <c r="C43" i="5"/>
  <c r="C213" i="5"/>
  <c r="D189" i="5"/>
  <c r="H207" i="5"/>
  <c r="C139" i="5"/>
  <c r="H134" i="5"/>
  <c r="C182" i="5"/>
  <c r="C12" i="5"/>
  <c r="C41" i="5"/>
  <c r="D115" i="5"/>
  <c r="G21" i="7"/>
  <c r="C31" i="5"/>
  <c r="E66" i="5" l="1"/>
  <c r="E13" i="7" s="1"/>
  <c r="C40" i="5"/>
  <c r="H19" i="7"/>
  <c r="H66" i="5"/>
  <c r="H13" i="7" s="1"/>
  <c r="F19" i="7"/>
  <c r="G66" i="5"/>
  <c r="G13" i="7" s="1"/>
  <c r="F66" i="5"/>
  <c r="F13" i="7" s="1"/>
  <c r="G19" i="7"/>
  <c r="C10" i="10"/>
  <c r="F39" i="5"/>
  <c r="F12" i="7" s="1"/>
  <c r="F10" i="5"/>
  <c r="F10" i="7" s="1"/>
  <c r="G10" i="5"/>
  <c r="E10" i="5"/>
  <c r="E10" i="7" s="1"/>
  <c r="H10" i="5"/>
  <c r="G39" i="5"/>
  <c r="G12" i="7" s="1"/>
  <c r="H33" i="5"/>
  <c r="H11" i="7" s="1"/>
  <c r="G33" i="5"/>
  <c r="G11" i="7" s="1"/>
  <c r="F33" i="5"/>
  <c r="F11" i="7" s="1"/>
  <c r="E33" i="5"/>
  <c r="E11" i="7" s="1"/>
  <c r="E39" i="5"/>
  <c r="E12" i="7" s="1"/>
  <c r="H39" i="5"/>
  <c r="H12" i="7" s="1"/>
  <c r="C93" i="5"/>
  <c r="C55" i="10"/>
  <c r="C54" i="10" s="1"/>
  <c r="C75" i="5"/>
  <c r="F108" i="5"/>
  <c r="F100" i="5" s="1"/>
  <c r="F16" i="7" s="1"/>
  <c r="C199" i="5"/>
  <c r="C16" i="5"/>
  <c r="C161" i="5"/>
  <c r="C115" i="5"/>
  <c r="C122" i="5"/>
  <c r="C24" i="7"/>
  <c r="E176" i="5"/>
  <c r="E18" i="7" s="1"/>
  <c r="D176" i="5"/>
  <c r="D18" i="7" s="1"/>
  <c r="F140" i="5"/>
  <c r="H140" i="5"/>
  <c r="H133" i="5" s="1"/>
  <c r="C15" i="7"/>
  <c r="D108" i="5"/>
  <c r="D100" i="5" s="1"/>
  <c r="F176" i="5"/>
  <c r="F18" i="7" s="1"/>
  <c r="C164" i="5"/>
  <c r="G176" i="5"/>
  <c r="G18" i="7" s="1"/>
  <c r="H176" i="5"/>
  <c r="H18" i="7" s="1"/>
  <c r="C189" i="5"/>
  <c r="C169" i="5"/>
  <c r="C128" i="5"/>
  <c r="C134" i="5"/>
  <c r="C207" i="5"/>
  <c r="C109" i="5"/>
  <c r="E108" i="5"/>
  <c r="E100" i="5" s="1"/>
  <c r="E16" i="7" s="1"/>
  <c r="C22" i="7"/>
  <c r="C20" i="7"/>
  <c r="G108" i="5"/>
  <c r="G100" i="5" s="1"/>
  <c r="G16" i="7" s="1"/>
  <c r="C27" i="5"/>
  <c r="C56" i="5"/>
  <c r="C21" i="10"/>
  <c r="C20" i="10" s="1"/>
  <c r="D11" i="7"/>
  <c r="C11" i="5"/>
  <c r="C85" i="5"/>
  <c r="D79" i="5"/>
  <c r="C186" i="5"/>
  <c r="G140" i="5"/>
  <c r="E21" i="7"/>
  <c r="E19" i="7" s="1"/>
  <c r="C118" i="5"/>
  <c r="C36" i="5"/>
  <c r="E140" i="5"/>
  <c r="H108" i="5"/>
  <c r="H100" i="5" s="1"/>
  <c r="H16" i="7" s="1"/>
  <c r="C156" i="5"/>
  <c r="C67" i="5"/>
  <c r="C113" i="5"/>
  <c r="F133" i="5" l="1"/>
  <c r="F17" i="7" s="1"/>
  <c r="F9" i="7" s="1"/>
  <c r="F28" i="7" s="1"/>
  <c r="E133" i="5"/>
  <c r="E17" i="7" s="1"/>
  <c r="E9" i="7" s="1"/>
  <c r="G133" i="5"/>
  <c r="G17" i="7" s="1"/>
  <c r="C39" i="5"/>
  <c r="C33" i="5"/>
  <c r="C11" i="7"/>
  <c r="C10" i="5"/>
  <c r="G10" i="7"/>
  <c r="C66" i="5"/>
  <c r="H17" i="7"/>
  <c r="C21" i="7"/>
  <c r="C19" i="7" s="1"/>
  <c r="C9" i="10"/>
  <c r="C81" i="10" s="1"/>
  <c r="C18" i="7"/>
  <c r="C108" i="5"/>
  <c r="C176" i="5"/>
  <c r="D12" i="7"/>
  <c r="C12" i="7" s="1"/>
  <c r="D10" i="7"/>
  <c r="D14" i="7"/>
  <c r="C14" i="7" s="1"/>
  <c r="C79" i="5"/>
  <c r="D16" i="7"/>
  <c r="C16" i="7" s="1"/>
  <c r="C100" i="5"/>
  <c r="H10" i="7"/>
  <c r="D13" i="7"/>
  <c r="C13" i="7" s="1"/>
  <c r="D140" i="5"/>
  <c r="D133" i="5" s="1"/>
  <c r="G9" i="5" l="1"/>
  <c r="G221" i="5" s="1"/>
  <c r="E9" i="5"/>
  <c r="E221" i="5" s="1"/>
  <c r="F9" i="5"/>
  <c r="F221" i="5" s="1"/>
  <c r="G9" i="7"/>
  <c r="G28" i="7" s="1"/>
  <c r="E28" i="7"/>
  <c r="H9" i="5"/>
  <c r="H221" i="5" s="1"/>
  <c r="H9" i="7"/>
  <c r="H28" i="7" s="1"/>
  <c r="C10" i="7"/>
  <c r="C140" i="5"/>
  <c r="C133" i="5" l="1"/>
  <c r="D17" i="7"/>
  <c r="D9" i="5"/>
  <c r="C17" i="7" l="1"/>
  <c r="C9" i="7" s="1"/>
  <c r="C28" i="7" s="1"/>
  <c r="D9" i="7"/>
  <c r="D28" i="7" s="1"/>
  <c r="C9" i="5"/>
  <c r="C221" i="5" s="1"/>
  <c r="D221" i="5"/>
</calcChain>
</file>

<file path=xl/sharedStrings.xml><?xml version="1.0" encoding="utf-8"?>
<sst xmlns="http://schemas.openxmlformats.org/spreadsheetml/2006/main" count="1571" uniqueCount="850">
  <si>
    <t>Azartspēļu nodoklis</t>
  </si>
  <si>
    <t>Valsts nodevas, kuras ieskaita pašvaldību budžetā</t>
  </si>
  <si>
    <t>Pašvaldību nodevas</t>
  </si>
  <si>
    <t>Naudas sodi un sankcijas</t>
  </si>
  <si>
    <t>Pārējie nenodokļu ieņēmumi</t>
  </si>
  <si>
    <t>Ieņēmumi no ēku un būvju īpašuma pārdošanas</t>
  </si>
  <si>
    <t>Maksa par izglītības pakalpojumiem</t>
  </si>
  <si>
    <t>Ieņēmumi par dokumentu izsniegšanu un kancelejas pakalpojumiem</t>
  </si>
  <si>
    <t>Ieņēmumi par nomu un īri</t>
  </si>
  <si>
    <t>Vispārējie valdības dienesti</t>
  </si>
  <si>
    <t>Vispārēja rakstura transferti no pašvaldību budžeta pašvaldību budžetam</t>
  </si>
  <si>
    <t>Sabiedriskā kārtība un drošība</t>
  </si>
  <si>
    <t>Ekonomiskā darbība</t>
  </si>
  <si>
    <t>Vides aizsardzība</t>
  </si>
  <si>
    <t>Atpūta, kultūra un reliģija</t>
  </si>
  <si>
    <t>Izglītība</t>
  </si>
  <si>
    <t>Sociālā aizsardzība</t>
  </si>
  <si>
    <t>F40020000</t>
  </si>
  <si>
    <t>Aizņēmumi</t>
  </si>
  <si>
    <t xml:space="preserve">           Pamatbudžeta ieņēmumi</t>
  </si>
  <si>
    <t xml:space="preserve">Iedzīvotāju ienākuma nodoklis </t>
  </si>
  <si>
    <t xml:space="preserve">Nekustamā īpašuma nodoklis </t>
  </si>
  <si>
    <t xml:space="preserve">Nekustamā īpašuma nodoklis par zemi </t>
  </si>
  <si>
    <t xml:space="preserve">Valsts (pašvaldību) nodevas un kancelejas nodevas </t>
  </si>
  <si>
    <t>Valsts budžeta transferti</t>
  </si>
  <si>
    <t>Domes priekšsēdētājs</t>
  </si>
  <si>
    <t>A. Rāviņš</t>
  </si>
  <si>
    <t xml:space="preserve">I. Izdevumi atbilstoši funkcionālajām kategorijām </t>
  </si>
  <si>
    <t>Valdības funkcija</t>
  </si>
  <si>
    <t>01.000.</t>
  </si>
  <si>
    <t>03.000.</t>
  </si>
  <si>
    <t>04.000.</t>
  </si>
  <si>
    <t>05.000.</t>
  </si>
  <si>
    <t>06.000.</t>
  </si>
  <si>
    <t>08.000.</t>
  </si>
  <si>
    <t>09.000.</t>
  </si>
  <si>
    <t>10.000.</t>
  </si>
  <si>
    <t>01.120.</t>
  </si>
  <si>
    <t>01.720.</t>
  </si>
  <si>
    <t>01.110.</t>
  </si>
  <si>
    <t>01.830.</t>
  </si>
  <si>
    <t>01.890.</t>
  </si>
  <si>
    <t>03.110.</t>
  </si>
  <si>
    <t>03.200.</t>
  </si>
  <si>
    <t>04.510.</t>
  </si>
  <si>
    <t>Autotransports</t>
  </si>
  <si>
    <t>01.330.</t>
  </si>
  <si>
    <t>05.100.</t>
  </si>
  <si>
    <t>Atkritumu apsaimniekošana</t>
  </si>
  <si>
    <t>Ielu apgaismošana</t>
  </si>
  <si>
    <t>06.600.</t>
  </si>
  <si>
    <t>II. Finansēšana</t>
  </si>
  <si>
    <t>Resursi izdevumu segšanai</t>
  </si>
  <si>
    <t>08.100.</t>
  </si>
  <si>
    <t>Atpūtas un sporta pasākumi</t>
  </si>
  <si>
    <t>08.200.</t>
  </si>
  <si>
    <t>Kultūra</t>
  </si>
  <si>
    <t>08.210.</t>
  </si>
  <si>
    <t>08.220.</t>
  </si>
  <si>
    <t>08.230.</t>
  </si>
  <si>
    <t>08.240.</t>
  </si>
  <si>
    <t xml:space="preserve">08.290. </t>
  </si>
  <si>
    <t>08.400.</t>
  </si>
  <si>
    <t xml:space="preserve">Finanšu un fiskālā darbība </t>
  </si>
  <si>
    <t>01.831.</t>
  </si>
  <si>
    <t>01.832.</t>
  </si>
  <si>
    <t>01.833.</t>
  </si>
  <si>
    <t>Transferti citām pašvaldībām izglītības funkciju nodrošināšanai</t>
  </si>
  <si>
    <t>Transferti citām pašvaldībām sociālās aizsardzības funkciju nodrošināšanai</t>
  </si>
  <si>
    <t>Ugunsdrošības, ugunsdzēsības, glābšanas un civilās drošības dienesti</t>
  </si>
  <si>
    <t>04.511.</t>
  </si>
  <si>
    <t>05.101.</t>
  </si>
  <si>
    <t>06.601.</t>
  </si>
  <si>
    <t>06.602.</t>
  </si>
  <si>
    <t>PAVISAM IZDEVUMI</t>
  </si>
  <si>
    <t>08.101.</t>
  </si>
  <si>
    <t>08.103.</t>
  </si>
  <si>
    <t>06.603.</t>
  </si>
  <si>
    <t>3. pielikums</t>
  </si>
  <si>
    <t xml:space="preserve">           Pamatbudžeta izdevumu atšifrējums pa programmām </t>
  </si>
  <si>
    <t>PAVISAM IZDEVUMI (I+II)</t>
  </si>
  <si>
    <t>A.Rāviņš</t>
  </si>
  <si>
    <t>1. pielikums</t>
  </si>
  <si>
    <t>06.604.</t>
  </si>
  <si>
    <t>08.291.</t>
  </si>
  <si>
    <t>08.292.</t>
  </si>
  <si>
    <t>09.510.</t>
  </si>
  <si>
    <t>03.202.</t>
  </si>
  <si>
    <t>09.511.</t>
  </si>
  <si>
    <t>09.512.</t>
  </si>
  <si>
    <t>10.120.</t>
  </si>
  <si>
    <t>Sociālā aizsardzība invaliditātes gadījumā</t>
  </si>
  <si>
    <t>10.400.</t>
  </si>
  <si>
    <t>10.700.</t>
  </si>
  <si>
    <t>Notekūdeņu apsaimniekošana</t>
  </si>
  <si>
    <t>F50010000</t>
  </si>
  <si>
    <t>08.221.</t>
  </si>
  <si>
    <t>04.515.</t>
  </si>
  <si>
    <t>04.730.</t>
  </si>
  <si>
    <t>09.100.</t>
  </si>
  <si>
    <t>09.810.</t>
  </si>
  <si>
    <t xml:space="preserve">Teātri, izrādes un koncertdarbība </t>
  </si>
  <si>
    <t>09.200.</t>
  </si>
  <si>
    <t>Pamatizglītība, vispārējā un profesionālā izglītība</t>
  </si>
  <si>
    <t>Interešu un profesionālās ievirzes izglītība</t>
  </si>
  <si>
    <t>09.513.</t>
  </si>
  <si>
    <t>09.514.</t>
  </si>
  <si>
    <t>10.121.</t>
  </si>
  <si>
    <t>10.123.</t>
  </si>
  <si>
    <t>10.124.</t>
  </si>
  <si>
    <t>10.125.</t>
  </si>
  <si>
    <t>Dienas centrs "Integra"</t>
  </si>
  <si>
    <t>Dienas centrs "Atbalsts"</t>
  </si>
  <si>
    <t>Grupu dzīvokļi</t>
  </si>
  <si>
    <t>10.200.</t>
  </si>
  <si>
    <t>Atbalsts gados veciem cilvēkiem</t>
  </si>
  <si>
    <t>10.201.</t>
  </si>
  <si>
    <t>10.202.</t>
  </si>
  <si>
    <t>Sociālās un medicīniskās aprūpes centrs</t>
  </si>
  <si>
    <t>10.403.</t>
  </si>
  <si>
    <t>10.701.</t>
  </si>
  <si>
    <t>10.704.</t>
  </si>
  <si>
    <t>10.707.</t>
  </si>
  <si>
    <t>Sociālā māja un sociālie dzīvokļi</t>
  </si>
  <si>
    <t>Radītāju nosaukums</t>
  </si>
  <si>
    <t xml:space="preserve">Nekustamā īpašuma nodoklis par ēkām  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</si>
  <si>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</si>
  <si>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</si>
  <si>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</si>
  <si>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</si>
  <si>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Naudas sodi, ko uzliek pašvaldības</t>
  </si>
  <si>
    <t>Pašvaldību budžetu transferti</t>
  </si>
  <si>
    <t>Iemaksas pašvaldību finanšu izlīdzināšanas fondā</t>
  </si>
  <si>
    <t>Ceļu un ielu infrastruktūras funkcionēšana, izmantošana, būvniecība un uzturēšana</t>
  </si>
  <si>
    <t>Pašvaldības dzīvokļu pārvaldīšana, remonts, veco māju nojaukšana</t>
  </si>
  <si>
    <t>Dotācijas sporta pasākumiem</t>
  </si>
  <si>
    <t>Pilsētas nozīmes pasākumi</t>
  </si>
  <si>
    <t>Pārējā citur neklasificētā kultūra</t>
  </si>
  <si>
    <t>01.122.</t>
  </si>
  <si>
    <t>01.123.</t>
  </si>
  <si>
    <t xml:space="preserve">Tūrisms </t>
  </si>
  <si>
    <t>04.900.</t>
  </si>
  <si>
    <t>Pilsētas sanitārā tīrīšana (SIA "Zemgales EKO" funkcija)</t>
  </si>
  <si>
    <t xml:space="preserve">05.102. </t>
  </si>
  <si>
    <t>10.402.</t>
  </si>
  <si>
    <t xml:space="preserve">Saņemts no Valsts kases sadales konta iepriekšējā gada nesadalītais iedzīvotāju ienākuma nodokļa atlikums </t>
  </si>
  <si>
    <t xml:space="preserve">Saņemts no Valsts kases sadales konta pārskata gadā ieskaitītais iedzīvotāju ienākuma nodoklis </t>
  </si>
  <si>
    <t>Pārējās valsts nodevas, kuras ieskaita pašvaldību budžetā</t>
  </si>
  <si>
    <t>04.733.</t>
  </si>
  <si>
    <t>07.000.</t>
  </si>
  <si>
    <t>Veselība</t>
  </si>
  <si>
    <t>Akcijas un cita līdzdalība komersantu pašu kapitālā</t>
  </si>
  <si>
    <t xml:space="preserve"> 2.pielikums</t>
  </si>
  <si>
    <t>09.811.</t>
  </si>
  <si>
    <t>Pārējā izglītības vadība</t>
  </si>
  <si>
    <t>07.450.</t>
  </si>
  <si>
    <t xml:space="preserve">1. Nodokļu ieņēmumi </t>
  </si>
  <si>
    <t xml:space="preserve">2. Nenodokļu ieņēmumi </t>
  </si>
  <si>
    <t>3. Transferti</t>
  </si>
  <si>
    <t>II. FINANSĒŠANA</t>
  </si>
  <si>
    <t xml:space="preserve"> I.  IEŅĒMUMI KOPĀ (1+2+3+4)</t>
  </si>
  <si>
    <t>PAVISAM RESURSI (I+II)</t>
  </si>
  <si>
    <t>4. Maksas pakalpojumi un citi pašu ieņēmumi</t>
  </si>
  <si>
    <t>Teritoriju un mājokļu apsaimniekošana</t>
  </si>
  <si>
    <t>F40320020</t>
  </si>
  <si>
    <t>Saņemto ilgtermiņa aizņēmumu atmaksa</t>
  </si>
  <si>
    <t xml:space="preserve">Akcijas un cita līdzdalība komersantu pašu kapitālā </t>
  </si>
  <si>
    <t>04.901.</t>
  </si>
  <si>
    <t>Zemes reformas darbība, zemes īpašuma un lietošanas tiesību pārveidošana</t>
  </si>
  <si>
    <t>07.100.</t>
  </si>
  <si>
    <t>Ārstniecības līdzekļi</t>
  </si>
  <si>
    <t>07.200.</t>
  </si>
  <si>
    <t>Ambulatoro ārstniecības iestāžu darbība un pakalpojumi</t>
  </si>
  <si>
    <t>07.300.</t>
  </si>
  <si>
    <t>Slimnīcu pakalpojumi</t>
  </si>
  <si>
    <t>09.101.</t>
  </si>
  <si>
    <t>09.222.</t>
  </si>
  <si>
    <t>Profesionālā vidējā izglītība</t>
  </si>
  <si>
    <t>09.530.</t>
  </si>
  <si>
    <t>Līmeņos nedefinēta izglītība pieaugušajiem</t>
  </si>
  <si>
    <t>09.531.</t>
  </si>
  <si>
    <t>09.532.</t>
  </si>
  <si>
    <t>09.520.</t>
  </si>
  <si>
    <t>Sociālā palīdzība ģimenēm ar bērniem un vardarbībā cietušo bērnu rehabilitācija</t>
  </si>
  <si>
    <t>Nekustamā īpašuma nodoklis par mājokļiem</t>
  </si>
  <si>
    <t>01.111.</t>
  </si>
  <si>
    <t xml:space="preserve">Klasifik. kods </t>
  </si>
  <si>
    <t>Izpildvaras institūcija</t>
  </si>
  <si>
    <t>01.112.</t>
  </si>
  <si>
    <t>08.241.</t>
  </si>
  <si>
    <t>09.210.</t>
  </si>
  <si>
    <t>08.105.</t>
  </si>
  <si>
    <t>08.243.</t>
  </si>
  <si>
    <t>Jelgavas Ā.Alunāna teātra darbības nodrošināšana</t>
  </si>
  <si>
    <t>08.401.</t>
  </si>
  <si>
    <t>08.402.</t>
  </si>
  <si>
    <t>08.231.</t>
  </si>
  <si>
    <t>08.232.</t>
  </si>
  <si>
    <t>08.403.</t>
  </si>
  <si>
    <t>Kultūras padomes finansētie pasākumi</t>
  </si>
  <si>
    <t>08.405.</t>
  </si>
  <si>
    <t>Reliģisko organizāciju un citu biedrību un nodibinājumu pakalpojumi</t>
  </si>
  <si>
    <t>09.521.</t>
  </si>
  <si>
    <t>09.522.</t>
  </si>
  <si>
    <t xml:space="preserve">Klasifikā-cijas kods </t>
  </si>
  <si>
    <t>04.100.</t>
  </si>
  <si>
    <t>04.110.</t>
  </si>
  <si>
    <t>04.120.</t>
  </si>
  <si>
    <t>04.130.</t>
  </si>
  <si>
    <t>05.410.</t>
  </si>
  <si>
    <t>09.400.</t>
  </si>
  <si>
    <t>09.430.</t>
  </si>
  <si>
    <t>09.450.</t>
  </si>
  <si>
    <t>09.490.</t>
  </si>
  <si>
    <t>09.500.</t>
  </si>
  <si>
    <t>09.515.</t>
  </si>
  <si>
    <t>09.517.</t>
  </si>
  <si>
    <t>10.140.</t>
  </si>
  <si>
    <t>12.000.</t>
  </si>
  <si>
    <t>13.000.</t>
  </si>
  <si>
    <t>13.100.</t>
  </si>
  <si>
    <t>18.000.</t>
  </si>
  <si>
    <t>18.600.</t>
  </si>
  <si>
    <t>18.620.</t>
  </si>
  <si>
    <t>18.630.</t>
  </si>
  <si>
    <t>19.000.</t>
  </si>
  <si>
    <t>19.200.</t>
  </si>
  <si>
    <t>21.000.</t>
  </si>
  <si>
    <t>21.300.</t>
  </si>
  <si>
    <t>21.350.</t>
  </si>
  <si>
    <t>21.370.</t>
  </si>
  <si>
    <t>21.380.</t>
  </si>
  <si>
    <t>21.390.</t>
  </si>
  <si>
    <t>01.124.</t>
  </si>
  <si>
    <t>Dotācija no vispārējiem ieņēmumiem</t>
  </si>
  <si>
    <t>Budžeta iestāžu ieņēmumi</t>
  </si>
  <si>
    <t xml:space="preserve"> Valsts budžeta transferti </t>
  </si>
  <si>
    <t>Pašvaldību budžeta transferti</t>
  </si>
  <si>
    <t>Izpildvaras un likumdošanas varas institūcijas</t>
  </si>
  <si>
    <t>04.909.</t>
  </si>
  <si>
    <t>Dotācija "Zemgales plānošanas reģions"</t>
  </si>
  <si>
    <t>10.504.</t>
  </si>
  <si>
    <t>09.812.</t>
  </si>
  <si>
    <t>Pašvaldību saņemtie transferti no valsts budžeta</t>
  </si>
  <si>
    <t>Pašvaldību no valsts budžeta iestādēm saņemtie transferti Eiropas Savienības politiku instrumentu un pārējās ārvalstu finanšu palīdzības līdzfinansētajiem projektiem (pasākumiem)</t>
  </si>
  <si>
    <t>Pašvaldību saņemtie transferti no citām pašvaldībām</t>
  </si>
  <si>
    <t>Dotācijas projektu realizācijai NVO</t>
  </si>
  <si>
    <t>Atbalsts ģimenēm ar bērniem</t>
  </si>
  <si>
    <t>Atbalsts bezdarba gadījumā</t>
  </si>
  <si>
    <t>Pārējais citur neklasificētais atbalsts sociāli atstumtām personām</t>
  </si>
  <si>
    <t>Palīdzība veciem cilvēkiem</t>
  </si>
  <si>
    <t>Valsts nodeva par uzvārda, vārda un tautības ieraksta maiņu personu apliecinošos dokumentos</t>
  </si>
  <si>
    <t>09.529.</t>
  </si>
  <si>
    <t>06.606.</t>
  </si>
  <si>
    <t>08.242.</t>
  </si>
  <si>
    <t>01.600.</t>
  </si>
  <si>
    <t>10.922.</t>
  </si>
  <si>
    <t>09.219.3.</t>
  </si>
  <si>
    <t>09.518.</t>
  </si>
  <si>
    <t xml:space="preserve">Ielu, laukumu, publisko dārzu un parku tīrīšana un atkritumu savākšana </t>
  </si>
  <si>
    <t>06.201.</t>
  </si>
  <si>
    <t>Ar pašvaldības teritoriju saistīto normatīvo aktu un standartu sagatavošana un ieviešana</t>
  </si>
  <si>
    <t>Veselības veicināšanas pasākumi</t>
  </si>
  <si>
    <t>Muzeji un izstādes</t>
  </si>
  <si>
    <t>09.219.1.</t>
  </si>
  <si>
    <t>09.219.2.</t>
  </si>
  <si>
    <t>Jelgavas Amatu vidusskolas projektu realizācija</t>
  </si>
  <si>
    <t>09.222.2.</t>
  </si>
  <si>
    <t>09.222.3.</t>
  </si>
  <si>
    <t>10.900.</t>
  </si>
  <si>
    <t>Pabalsti ārkārtas gadījumos, citi pabalsti un kompensācijas</t>
  </si>
  <si>
    <t>10.921.</t>
  </si>
  <si>
    <t>Braukšanas maksas atvieglojumi skolēniem sabiedriskajā transportā</t>
  </si>
  <si>
    <t>Pārējās nodevas, ko uzliek pašvaldības</t>
  </si>
  <si>
    <t>Projektu sagatavošana, izstrāde un teritoriju attīstība</t>
  </si>
  <si>
    <t>Jelgavas vispārizglītojošo skolu projektu īstenošana</t>
  </si>
  <si>
    <t>Bērnu un jauniešu izglītības centra "Junda" projektu īstenošana</t>
  </si>
  <si>
    <t>09.812.3.</t>
  </si>
  <si>
    <t>JSLP Naktspatversme</t>
  </si>
  <si>
    <t>EUR</t>
  </si>
  <si>
    <t>10.705.2.</t>
  </si>
  <si>
    <t xml:space="preserve">           Pamatbudžeta izdevumi                                                            </t>
  </si>
  <si>
    <t>05.530.</t>
  </si>
  <si>
    <t>21.100.</t>
  </si>
  <si>
    <t>10.911.</t>
  </si>
  <si>
    <t>Zaudējumu kompensācija pašvaldības SIA "Jelgavas autobusu parks"</t>
  </si>
  <si>
    <t>Valsts nodevas par laulības reģistrāciju, civilstāvokļa akta reģistra ieraksta aktualizēšanu vai atjaunošanu un atkārtotas civilstāvokļa aktu reģistrācijas apliecības izsniegšanu</t>
  </si>
  <si>
    <t>Pašvaldības nodeva par domes izstrādāto oficiālo dokumentu un apliecinātu to kopiju saņemšanu</t>
  </si>
  <si>
    <t>18.640.</t>
  </si>
  <si>
    <t xml:space="preserve">Iestādes ieņēmumi </t>
  </si>
  <si>
    <t>Iestādes ieņēmumi no ārvalstu finanšu palīdzības</t>
  </si>
  <si>
    <t xml:space="preserve">Ieņēmumi no iestāžu sniegtajiem maksas pakalpojumiem un citi pašu ieņēmumi </t>
  </si>
  <si>
    <t>Ieņēmumi par pārējiem sniegtajiem maksas pakalpojumiem</t>
  </si>
  <si>
    <t>10.154.</t>
  </si>
  <si>
    <t>01.113.</t>
  </si>
  <si>
    <t>Projekts "Komunikācija ar sabiedrību tās iesaistei pašvaldību lēmumu pieņemšanā"</t>
  </si>
  <si>
    <t>05.202.</t>
  </si>
  <si>
    <t>06.401.</t>
  </si>
  <si>
    <t>08.211.</t>
  </si>
  <si>
    <t>08.331.</t>
  </si>
  <si>
    <t>10.122.</t>
  </si>
  <si>
    <t>10.601.</t>
  </si>
  <si>
    <t>Naudas līdzekļu atlikums uz perioda beigām</t>
  </si>
  <si>
    <t>Naudas līdzekļi uz perioda sākumu</t>
  </si>
  <si>
    <t>Bibliotēkas</t>
  </si>
  <si>
    <t>Jelgavas kamerorķestra darbības nodrošināšana</t>
  </si>
  <si>
    <t>Jelgavas bigbenda darbības nodrošināšana</t>
  </si>
  <si>
    <t>Centralizēto datoru un datortīkla uzturēšana</t>
  </si>
  <si>
    <t>Parāda procentu nomaksa</t>
  </si>
  <si>
    <t>Izdevumi neparedzētiem gadījumiem</t>
  </si>
  <si>
    <t>Tautas mākslas kolektīvu darbības nodrošināšana</t>
  </si>
  <si>
    <t>Naudas sodi, ko uzliek pašvaldību institūcijas par pārkāpumiem ceļu satiksmē</t>
  </si>
  <si>
    <t>PAVISAM KOPĀ</t>
  </si>
  <si>
    <t>Nosaukums</t>
  </si>
  <si>
    <t>Izdevumi kopā</t>
  </si>
  <si>
    <t>01.111. Izpildvaras institūcija</t>
  </si>
  <si>
    <t>01.331. Centralizēto datoru un datortīklu uzturēšana</t>
  </si>
  <si>
    <t>01.831. Transferti citām pašvaldībām izglītības funkciju nodrošināšanai</t>
  </si>
  <si>
    <t>01.832. Transferti citām pašvaldībām sociālās aizsardzības funkciju nodrošināšanai</t>
  </si>
  <si>
    <t>01.890.  Izdevumi neparedzētiem gadījumiem</t>
  </si>
  <si>
    <t>04.511. Ceļu un ielu infrastruktūras funkcionēšana, izmantošana, būvniecība un uzturēšana</t>
  </si>
  <si>
    <t>04.901. Zemes reformas darbība, zemes īpašuma un lietošanas tiesību pārveidošana</t>
  </si>
  <si>
    <t>04.909. Dotācija Zemgales plānošanas reģionam</t>
  </si>
  <si>
    <t>05.101. Ielu, laukumu, publisko dārzu un parku tīrīšana, atkritumu savākšana</t>
  </si>
  <si>
    <t>05.202. Notekūdeņu apsaimniekošana</t>
  </si>
  <si>
    <t>06.201. Projektu sagatavošana un teritoriju attīstība</t>
  </si>
  <si>
    <t>06.401. Ielu apgaismošana</t>
  </si>
  <si>
    <t>06.604. Pašvaldības dzīvokļu pārvaldīšana, remonts, veco māju nojaukšana</t>
  </si>
  <si>
    <t>06.606. Ar pašvaldības teritoriju saistīto normatīvo aktu un standartu sagatavošana un ieviešana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</si>
  <si>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</si>
  <si>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</si>
  <si>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</si>
  <si>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</si>
  <si>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08.103. Dotācijas sporta pasākumiem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</si>
  <si>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</si>
  <si>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</si>
  <si>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</si>
  <si>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</si>
  <si>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08.292. Pilsētas nozīmes pasākumi</t>
  </si>
  <si>
    <t>08.401. Dotācijas projektu realizācijai NVO</t>
  </si>
  <si>
    <t>08.402. Kultūras padomes finansētie pasākumi</t>
  </si>
  <si>
    <t>09.101. Jelgavas pirmsskolas izglītības iestāžu darbības nodrošināšana - kopsavilkums</t>
  </si>
  <si>
    <t>09.219.1. Jelgavas vispārizglītojošo skolu darbības nodrošināšana - kopsavilkums</t>
  </si>
  <si>
    <t>09.219.3. Jelgavas vispārizglītojošo skolu projektu īstenošana</t>
  </si>
  <si>
    <t>09.222.2. Jelgavas Amatu vidusskolas darbības nodrošināšana</t>
  </si>
  <si>
    <t>09.512. Jelgavas Mākslas skolas darbības nodrošināšana</t>
  </si>
  <si>
    <t>09.513.1. Jelgavas Bērnu un jaunatnes sporta skola</t>
  </si>
  <si>
    <t>09.513.2. Jelgavas Specializētā peldēšanas skola</t>
  </si>
  <si>
    <t>09.513.3. Jelgavas Ledus sporta skola</t>
  </si>
  <si>
    <t>10.125. Grupu dzīvokļi</t>
  </si>
  <si>
    <t>10.202. Palīdzība veciem cilvēkiem</t>
  </si>
  <si>
    <t>10.504. Atbalsts Bezdarba gadījumā</t>
  </si>
  <si>
    <t>10.601. Dzīvokļa pabalsts un pabalsts individuālās apkures nodrošināšanai</t>
  </si>
  <si>
    <t>10.701. Sociālā māja un sociālie dzīvokļi</t>
  </si>
  <si>
    <t>10.705.2. JSLP Naktspatversme</t>
  </si>
  <si>
    <t>10.707. Higiēnas centrs</t>
  </si>
  <si>
    <t>10.921. Pabalsti ārkārtas gadījumos, citi pabalsti un maksājumi</t>
  </si>
  <si>
    <t>10.922. Braukšanas maksas atvieglojumi skolēniem sabiedriskajā transportā</t>
  </si>
  <si>
    <t>F40020000 Aizdevumu pamatsummu atmaksa</t>
  </si>
  <si>
    <t>F21010000. Naudas līdzekļu atlikums uz perioda beigām</t>
  </si>
  <si>
    <t>Higiēnas centrs</t>
  </si>
  <si>
    <t>Pašvaldību budžetā saņemtā dotācija no pašvaldību finanšu izlīdzināšanas fonda</t>
  </si>
  <si>
    <t>09.533.</t>
  </si>
  <si>
    <t>10.127.</t>
  </si>
  <si>
    <t>Vēlēšanu organizēšana</t>
  </si>
  <si>
    <t>Klasifikā-cijas kods</t>
  </si>
  <si>
    <t>PAVISAM RESURSI KOPĀ</t>
  </si>
  <si>
    <t>PAVISAM IZDEVUMI KOPĀ</t>
  </si>
  <si>
    <t>09.513. Jelgavas sporta skolu darbības nodrošināšana - kopsavilkums</t>
  </si>
  <si>
    <t>6.pielikums</t>
  </si>
  <si>
    <t>10.402. Sociālā palīdzība ģimenēm ar bērniem un vardarbībā cietušo bērnu rehabilitācija</t>
  </si>
  <si>
    <t>10.201. Sociālās un medicīniskās aprūpes centrs</t>
  </si>
  <si>
    <t>21.400.</t>
  </si>
  <si>
    <t>06.607.</t>
  </si>
  <si>
    <t>01.332.</t>
  </si>
  <si>
    <t>04.735.</t>
  </si>
  <si>
    <t>05.600.</t>
  </si>
  <si>
    <t>05.603.</t>
  </si>
  <si>
    <t>07.452.</t>
  </si>
  <si>
    <t>Pārējo vispārējas nozīmes dienestu darbība un pakalpojumi</t>
  </si>
  <si>
    <t>01.331.</t>
  </si>
  <si>
    <t>Pārējā nekur citur neklasificētā vides aizsardzība</t>
  </si>
  <si>
    <t>Pašvaldības līdzfinansējums energoefektivitātes paaugstināšanas pasākumu veikšanai daudzdzīvokļu dzīvojamās mājās</t>
  </si>
  <si>
    <t>03.206.</t>
  </si>
  <si>
    <t>08.213.</t>
  </si>
  <si>
    <t>06.608.</t>
  </si>
  <si>
    <t>09.219.5.</t>
  </si>
  <si>
    <r>
      <t>Kultūras centri, nami un klubi</t>
    </r>
    <r>
      <rPr>
        <b/>
        <i/>
        <sz val="11"/>
        <rFont val="Times New Roman"/>
        <family val="1"/>
        <charset val="186"/>
      </rPr>
      <t xml:space="preserve"> </t>
    </r>
  </si>
  <si>
    <r>
      <t>Pārējā citur neklasificētā sociālā aizsardzība</t>
    </r>
    <r>
      <rPr>
        <b/>
        <i/>
        <sz val="11"/>
        <rFont val="Times New Roman"/>
        <family val="1"/>
        <charset val="186"/>
      </rPr>
      <t xml:space="preserve">  </t>
    </r>
  </si>
  <si>
    <t xml:space="preserve"> PI "Pašvaldības iestāžu centralizētā grāmatvedība" darbības nodrošināšana</t>
  </si>
  <si>
    <t>PI "Jelgavas pilsētas pašvaldības policija"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</si>
  <si>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</si>
  <si>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</si>
  <si>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</si>
  <si>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 "Jelgavas pilsētas bibliotēka" darbības nodrošināšana</t>
  </si>
  <si>
    <t>PI "Ģ.Eliasa Jelgavas Vēstures un mākslas muzejs" darbības nodrošināšana</t>
  </si>
  <si>
    <t>PI  "Kultūra" darbības nodrošināšana</t>
  </si>
  <si>
    <t>PI "Zemgales INFO" darbības nodrošināšana</t>
  </si>
  <si>
    <t>Pirmsskolas izglītības iestāžu darbības nodrošināšana</t>
  </si>
  <si>
    <t>Jelgavas vispārizglītojošo skolu darbības nodrošināšana</t>
  </si>
  <si>
    <t>Jelgavas Amatu vidusskolas darbības nodrošināšana</t>
  </si>
  <si>
    <t>Citi interešu izglītības pasākumi, t.sk. Bērnu un jauniešu izglītības centrs "Junda" darbības nodrošināšana</t>
  </si>
  <si>
    <t>Jelgavas Mākslas skolas darbības nodrošināšana</t>
  </si>
  <si>
    <t>Jelgavas sporta skolu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</si>
  <si>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</si>
  <si>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</si>
  <si>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</si>
  <si>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 projektu īstenošana</t>
  </si>
  <si>
    <t>PI "Jelgavas Izglītības pārvalde" iekļaujošas izglītības atbalsta centrs</t>
  </si>
  <si>
    <t>PI "Jelgavas pilsētas bāriņtiesa" darbības nodrošināšana</t>
  </si>
  <si>
    <t>PI "Kultūra" pasākumi</t>
  </si>
  <si>
    <t>PI "Jelgavas sociālo lietu pārvalde" darbības nodrošināšana</t>
  </si>
  <si>
    <t>Pašvaldības nodeva par būvatļaujas izdošanu vai būvniecības ieceres akceptu</t>
  </si>
  <si>
    <t xml:space="preserve">Ieņēmumi no valsts (pašvaldību) īpašuma iznomāšanas, pārdošanas un no nodokļu pamatparāda kapitalizācijas </t>
  </si>
  <si>
    <t>Pārējie  21.300 grupā neklasificētie iestāžu ieņēmumi par iestāžu sniegtajiem maksas pakalpojumiem un citi pašu ieņēmumi</t>
  </si>
  <si>
    <t>7000. Uzturēšanas izdevumu transferti, pašu resursu maksājumi, starptautiskā sadarbība</t>
  </si>
  <si>
    <t>6000. Sociālie pabalsti</t>
  </si>
  <si>
    <t>5000. Pamatkapitāla veidošana</t>
  </si>
  <si>
    <t>3000. Subsīdijas un dotācijas</t>
  </si>
  <si>
    <t>2000. Preces un pakalpojumi</t>
  </si>
  <si>
    <t>1000. Atlīdzība</t>
  </si>
  <si>
    <t>F50010000 Akcijas un cita līdzdalība komersantu pašu kapitālā</t>
  </si>
  <si>
    <t>F40320020 Saņemto ilgtermiņa aizņēmumu atmaksa</t>
  </si>
  <si>
    <t>10.911. PI 'Jelgavas sociālo lietu pārvalde' darbības nodrošināšana</t>
  </si>
  <si>
    <t>10.704. GMI pabalsts, mirušo apbedīšanas izdevumi un citi naudas maksājumi maznodrošinātām un neaizsargātām personām</t>
  </si>
  <si>
    <t>10.124. Dienas centrs 'Atbalsts'</t>
  </si>
  <si>
    <t>10.123. Dienas centrs 'Integra'</t>
  </si>
  <si>
    <t>10.121. Invalīdu rehabilitācijas pasākumi, invalīdu transporta izdevumi u.c. kompensācijas</t>
  </si>
  <si>
    <t>10.403. PI 'Jelgavas pilsētas bāriņtiesa' darbības nodrošināšana</t>
  </si>
  <si>
    <t>09.532. PI 'Zemgales reģiona kompetenču attīstības centrs' projektu īstenošana</t>
  </si>
  <si>
    <t>09.531. PI 'Zemgales reģiona kompetenču attīstības centrs' darbības nodrošināšana</t>
  </si>
  <si>
    <t>09.812.3. PI 'Jelgavas izglītības pārvalde' iekļaujošas izglītības atbalsta centrs</t>
  </si>
  <si>
    <t>09.812. PI 'Jelgavas izglītības pārvalde' projektu īstenošana</t>
  </si>
  <si>
    <t>09.811. PI 'Jelgavas izglītības pārvalde' darbības nodrošināšana</t>
  </si>
  <si>
    <t>09.511. Pārējie interešu izglītības pasākumi, t.sk. BJIC 'Junda' darbības nodrošināšana</t>
  </si>
  <si>
    <t>08.232. PI 'Kultūra' pasākumi</t>
  </si>
  <si>
    <t>08.231. PI 'Kultūra' darbības nodrošināšana</t>
  </si>
  <si>
    <t>08.221. PI 'Ģ.Eliasa Jelgavas Vēstures un mākslas muzejs' darbības nodrošināšana</t>
  </si>
  <si>
    <t>08.211. PI 'Jelgavas pilsētas bibliotēka' darbības nodrošināšana</t>
  </si>
  <si>
    <t>08.101. PI 'Sporta servisa centrs' darbības nodrošināšana</t>
  </si>
  <si>
    <t>06.601. PI 'Pilsētsaimniecība' darbības nodrošināšana</t>
  </si>
  <si>
    <t>04.733. PI 'Jelgavas reģionālais tūrisma centrs' darbības nodrošināšana</t>
  </si>
  <si>
    <t>03.111. PI 'Jelgavas pilsētas pašvaldības policija' darbības nodrošināšana</t>
  </si>
  <si>
    <t>01.123. PI 'Pašvaldības iestāžu centralizētā grāmatvedība' darbības nodrošināšana</t>
  </si>
  <si>
    <t>06.603. Pašvaldības īpašumu apsaimniekošana - finansējums SIA 'Jelgavas nekustamā īpašuma pārvalde'</t>
  </si>
  <si>
    <t>05.102.  Pilsētas sanitārā tīrīšana - SIA 'Zemgales EKO' funkcija</t>
  </si>
  <si>
    <t>04.515. Dotācija zaudējumu kompensācijai pašvaldības SIA 'Jelgavas autobusu parks'</t>
  </si>
  <si>
    <t>01.122. Nekustamā īpašuma nodokļa u.c. pašvaldības ieņēmumu administrēšana</t>
  </si>
  <si>
    <t>02. JELGAVAS PILSĒTAS DOMES FINANŠU NODAĻA</t>
  </si>
  <si>
    <t>06.607. Pašvaldības līdzfinansējums energoefektivitātes paaugstināšanas pasākumu veikšanai daudzdzīvokļu dzīvojamās mājās</t>
  </si>
  <si>
    <t>01.113. Projekts - 'Komunikācija ar sabiedrību tās iesaistei pašvaldības lēmumu pieņemšanā'</t>
  </si>
  <si>
    <t>01. JELGAVAS PILSĒTAS DOME</t>
  </si>
  <si>
    <t>4.pielikums</t>
  </si>
  <si>
    <t>7. pielikums</t>
  </si>
  <si>
    <t>5.pielikums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</si>
  <si>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</si>
  <si>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</si>
  <si>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</si>
  <si>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</si>
  <si>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</si>
  <si>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</si>
  <si>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</si>
  <si>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</si>
  <si>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</si>
  <si>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KOPĀ</t>
  </si>
  <si>
    <t>Pamatsumma</t>
  </si>
  <si>
    <t>Valsts kase</t>
  </si>
  <si>
    <t>Jelgavas 1.internātpamatskolas rekonstrukcijas darbi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</si>
  <si>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</si>
  <si>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</si>
  <si>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</si>
  <si>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</si>
  <si>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</si>
  <si>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</si>
  <si>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</si>
  <si>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</si>
  <si>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</si>
  <si>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</si>
  <si>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</si>
  <si>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</si>
  <si>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</si>
  <si>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</si>
  <si>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</si>
  <si>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>07.06.2017.-20.03.2047.</t>
  </si>
  <si>
    <t>A2/1/17/364</t>
  </si>
  <si>
    <t>Prioritārais proj. "Jelgavas kultūras nama iekšējo komunikāciju atjaunošana"</t>
  </si>
  <si>
    <t>07.06.2017.-20.11.2036.</t>
  </si>
  <si>
    <t>A2/1/17/365</t>
  </si>
  <si>
    <t>03.07.2017.-20.11.2036.</t>
  </si>
  <si>
    <t>A2/1/17/467</t>
  </si>
  <si>
    <t>Izglītības iestāžu invest.pr. "Jelgavas pilsētas PII "Zemenīte" telpu pārbūve"</t>
  </si>
  <si>
    <t>A2/1/17/465</t>
  </si>
  <si>
    <t xml:space="preserve">Izglītības iestāžu invest.projekts  "Jelgavas 1.internātpamatskolas jumta konstrukciju nomaiņa" </t>
  </si>
  <si>
    <t>10.08.2017.-20.11.2036.</t>
  </si>
  <si>
    <t>A2/1/17/588</t>
  </si>
  <si>
    <t>31.08.2017.-20.03.2047.</t>
  </si>
  <si>
    <t>A2/1/17/632</t>
  </si>
  <si>
    <t>31.08.2017.-20.08.2037.</t>
  </si>
  <si>
    <t>A2/1/17/633</t>
  </si>
  <si>
    <t>Asfaltbetona seguma atjaunošana Akadēmijas ielas posmā</t>
  </si>
  <si>
    <t>25.10.2017.-20.10.2037.</t>
  </si>
  <si>
    <t>A2/1/17/774</t>
  </si>
  <si>
    <t>Latvijas - Lietuvas pārrobežu sadarbības programmas projekts "Pilsētas iedzīvotāju kartes pieejamo pakalpojumu pilnveidošana Jelgavā un Šauļos"</t>
  </si>
  <si>
    <t>A2/1/17/842</t>
  </si>
  <si>
    <t xml:space="preserve">  Kopā pamatsummas                  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</si>
  <si>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</si>
  <si>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</si>
  <si>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</si>
  <si>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</si>
  <si>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</si>
  <si>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Galvojumi:</t>
  </si>
  <si>
    <t>03.12.2010. - 20.12.2030.</t>
  </si>
  <si>
    <t>A/1/10/1025</t>
  </si>
  <si>
    <t>18.12.2013. - 20.12.2030.</t>
  </si>
  <si>
    <t>G/13/1206</t>
  </si>
  <si>
    <t>Galvojumu saistības kopā</t>
  </si>
  <si>
    <t xml:space="preserve"> Kopā pamatsummas                  </t>
  </si>
  <si>
    <t>Atmodas ielas posmu asfalta seguma atjaunošana</t>
  </si>
  <si>
    <t>SIA "Jelgavas ūdens" pamatkapitāla palielināšanai projekta "Ūdenssaimniecības pakalpojumu attīstība Jelgavā, V kārta" īstenošanai</t>
  </si>
  <si>
    <t>Izglītības iestāžu invest.pr. "Jelgavas PII "Rotaļa" ēkas rekonstrukcija"</t>
  </si>
  <si>
    <t xml:space="preserve">         JELGAVAS PILSĒTAS PAŠVALDĪBAS ILGTERMIŅA SAISTĪBAS</t>
  </si>
  <si>
    <t>MUZEJA jumta skārda seguma nomaiņa un bēniņu pārseguma siltināšana</t>
  </si>
  <si>
    <t>Pašvaldību saņemtie valsts budžeta transferti</t>
  </si>
  <si>
    <t>04.510.526.</t>
  </si>
  <si>
    <t>Eiropas Kohēzijas fonda projekts "Loka maģistrāles pārbūve posmā no Kalnciema ceļa līdz Jelgavas pilsētas administratīvajai robežai"</t>
  </si>
  <si>
    <t>06.07.2018.-20.11.2034.</t>
  </si>
  <si>
    <t>A2/1/18/441</t>
  </si>
  <si>
    <t>ERAF projekts "Mācību vides uzlabošana Jelgavas Valsts ģimnāzijā un Jelgavas Tehnoloģiju vidusskolā"</t>
  </si>
  <si>
    <t>08.03.2018.-20.11.2037.</t>
  </si>
  <si>
    <t>A2/1/18/92</t>
  </si>
  <si>
    <t>Latvijas - Lietuvas pārrobežu sadarbības programmas projekts "Vides risku pārvaldības resursu pilnveidošana pierobežas reģionā (DERMR)"</t>
  </si>
  <si>
    <t>08.03.2018.-20.11.2027.</t>
  </si>
  <si>
    <t>A2/1/18/93</t>
  </si>
  <si>
    <t>ERAF projekts "Jelgavas pilsētas pašvaldības PII "Sprīdītis" energoefektivitātes paaugstināšana"</t>
  </si>
  <si>
    <t>01.06.2018.-20.03.2048.</t>
  </si>
  <si>
    <t>A2/1/18/296</t>
  </si>
  <si>
    <t>Pašvaldības izglītības iestāžu investīciju projekts "Jelgavas 2.internātpamatskolas rekonstrukcija 2.kārta"</t>
  </si>
  <si>
    <t>05.07.2018.-20.03.2038.</t>
  </si>
  <si>
    <t>A2/1/18/434</t>
  </si>
  <si>
    <t>05.07.2018.-20.03.2048.</t>
  </si>
  <si>
    <t>A2/1/18/435</t>
  </si>
  <si>
    <t>ERAF projekts "Nozīmīga kultūrvēsturiskā mantojuma saglabāšana un attīstība kultūras tūrisma piedāvājuma pilnveidošanai Zemgales reģionā"</t>
  </si>
  <si>
    <t>A2/1/18/436</t>
  </si>
  <si>
    <t>Valsts budžeta līdzfinansēta kultūras iestādes investīciju projekta "Publiskās slidotavas un brīvdabas estrādes Pasta salā jumtu pārsegumu projektēšana, izbūve un autoruzraudzība" pabeigšanai</t>
  </si>
  <si>
    <t>A2/1/18/541</t>
  </si>
  <si>
    <t>A2/1/18/542</t>
  </si>
  <si>
    <t>A2/1/18/543</t>
  </si>
  <si>
    <t>Jelgavas Valsts ģimnāzijas pārbūves papilddarbi</t>
  </si>
  <si>
    <t>A2/1/18/602</t>
  </si>
  <si>
    <t>A2/1/18/603</t>
  </si>
  <si>
    <t>30.08.2018. - 20.06.2038.</t>
  </si>
  <si>
    <t>A2/1/18/604</t>
  </si>
  <si>
    <t>A2/1/18/709</t>
  </si>
  <si>
    <t>22.10.2018. - 20.09.2047.</t>
  </si>
  <si>
    <t>A2/1/18/736</t>
  </si>
  <si>
    <t>18.12.2018. - 20.09.2028.</t>
  </si>
  <si>
    <t>A2/1/18/891</t>
  </si>
  <si>
    <t>Kultūras iestāžu investīciju projekts "Jelgavas Kultūras nama ēkas fasādes, pamatu vertikālās hidroizolācijas atjaunošana un teritorijas sakārtošana"</t>
  </si>
  <si>
    <t>19.12.2018. -20.09.2038.</t>
  </si>
  <si>
    <t>04.510.527.</t>
  </si>
  <si>
    <t>ERAF projekts "Tehniskās infrastruktūras sakārtošana uzņēmējdarbības attīstībai degradētajā teritorijā, 1.kārta"</t>
  </si>
  <si>
    <t>04.510.528.</t>
  </si>
  <si>
    <t>Projekts "Miera ielas un Aizsargu ielas asfalta seguma atjaunošana un tilta pār Platones upi pārbūve"</t>
  </si>
  <si>
    <t>04.737.</t>
  </si>
  <si>
    <t>04.740.</t>
  </si>
  <si>
    <t>Vairāku mērķu attīstības projekti</t>
  </si>
  <si>
    <t>04.743.</t>
  </si>
  <si>
    <t>ERAF projekts "Jelgavas lidlauka poldera dambja pārbūve plūdu draudu novēršanai"</t>
  </si>
  <si>
    <t>Interreg V-A Latvijas - Lietuvas programmas projekts "Pilsētas iedzīvotāju kartes pieejamo pakalpojumu pilnveidošana Jelgavā un Šauļos"</t>
  </si>
  <si>
    <t>Interreg V-A Latvijas - Lietuvas programmas projekts "Civilās aizsardzības sistēmas pilnveidošana Jelgavā un Šauļos"</t>
  </si>
  <si>
    <t>Interreg V-A Latvijas - Lietuvas programmas projekts "Starptautiskais kultūras tūrisma maršruts "Baltu ceļš""</t>
  </si>
  <si>
    <t>Interreg V-A Latvijas - Lietuvas programmas projekts "Vides risku pārvaldības resursu pilnveidošana pierobežas reģionā, lai efektīvi veiktu vides aizsardzības pasākumus"</t>
  </si>
  <si>
    <t>ES Horizon 2020 programmas projekts  "THERMOS - termālās enerģijas resursu modelēšanas un optimizācijas sistēma"</t>
  </si>
  <si>
    <t>ESF projekts "Kompleksu veselības veicināšanas un slimību profilakses pasākumu īstenošana Jelgavas pilsētā, 1.kārta"</t>
  </si>
  <si>
    <t>07.623.</t>
  </si>
  <si>
    <t>Nodibinājums "Jelgavnieku veselības veicināšanas fonds"</t>
  </si>
  <si>
    <t>09.219.6.</t>
  </si>
  <si>
    <t>09.222.7.</t>
  </si>
  <si>
    <t>09.519.02.</t>
  </si>
  <si>
    <t>Pašvaldības izglītības iestāžu investīciju projekts "Jelgavas pilsētas pašvaldības ēkas Zemgales prospekts 7 pārbūve un jaunais būvapjoms (piebūve)", I un III kārta</t>
  </si>
  <si>
    <t>09.519.03.</t>
  </si>
  <si>
    <t>ERAF projekts "Jelgavas pilsētas pašvaldības ēkas Zemgales prospekts 7 energoefektivitātes paaugstināšana", II kārta</t>
  </si>
  <si>
    <t>09.534.</t>
  </si>
  <si>
    <t xml:space="preserve">ESF projekts “Nodarbināto personu profesionālās kompetences pilnveide” </t>
  </si>
  <si>
    <t>ESF projekts "Proti un dari"</t>
  </si>
  <si>
    <t>Dienas centrs "Harmonija"</t>
  </si>
  <si>
    <t>ESF projekts "Atver sirdi Zemgalē"</t>
  </si>
  <si>
    <t>10.128.</t>
  </si>
  <si>
    <t>GMI pabalsts, mirušo apbedīšanas izdevumi un citi naudas maksājumi maznodrošinātām un neaizsargātām personām</t>
  </si>
  <si>
    <t>10.100.</t>
  </si>
  <si>
    <t>Naudas sodi</t>
  </si>
  <si>
    <t>13.210.</t>
  </si>
  <si>
    <t>Ieņēmumi no zemes īpašuma pārdošanas</t>
  </si>
  <si>
    <t>12.340.</t>
  </si>
  <si>
    <t>Ieņēmumi no budžeta iestāžu saņemto un iepriekšējos gados neizlietoto budžeta līdzekļu atmaksāšanas</t>
  </si>
  <si>
    <t>12.349.</t>
  </si>
  <si>
    <t xml:space="preserve">Ieņēmumi no budžeta iestādēm atmaksātiem pārējiem debitoru parādiem </t>
  </si>
  <si>
    <t>21.194.</t>
  </si>
  <si>
    <t>Ieņēmumi no vadošā partnera partneru grupas īstenotajiem ārvalstu finanšu palīdzības projektiem</t>
  </si>
  <si>
    <t>21.351.</t>
  </si>
  <si>
    <t>Mācību maksa</t>
  </si>
  <si>
    <t>21.359.</t>
  </si>
  <si>
    <t>Pārējie ieņēmumi par izglītības pakalpojumiem</t>
  </si>
  <si>
    <t>21.379.</t>
  </si>
  <si>
    <t>Ieņēmumi par pārējo dokumentu izsniegšanu un pārējiem kancelejas pakalpojumiem</t>
  </si>
  <si>
    <t>21.381.</t>
  </si>
  <si>
    <t>Ieņēmumi par telpu nomu</t>
  </si>
  <si>
    <t>21.383.</t>
  </si>
  <si>
    <t>Ieņēmumi no kustamā īpašuma iznomāšanas</t>
  </si>
  <si>
    <t>21.384.</t>
  </si>
  <si>
    <t>21.389.</t>
  </si>
  <si>
    <t>Ieņēmumi par zemes nomu</t>
  </si>
  <si>
    <t>Pārējie ieņēmumi par nomu un īri</t>
  </si>
  <si>
    <t>21.391.</t>
  </si>
  <si>
    <t>21.393.</t>
  </si>
  <si>
    <t>21.394.</t>
  </si>
  <si>
    <t>Maksa par personu uzturēšanos sociālās aprūpes iestādēs</t>
  </si>
  <si>
    <t>Ieņēmumi par biļešu realizāciju</t>
  </si>
  <si>
    <t>Ieņēmumi par komunālajiem pakalpojumiem</t>
  </si>
  <si>
    <t>21.395.</t>
  </si>
  <si>
    <t>Ieņēmumi par projektu īstenošanu</t>
  </si>
  <si>
    <t>21.399.</t>
  </si>
  <si>
    <t>Citi ieņēmumi par maksas pakalpojumiem</t>
  </si>
  <si>
    <t>21.499.</t>
  </si>
  <si>
    <t>Pārējie iepriekš neklasificētie pašu ieņēmumi</t>
  </si>
  <si>
    <t>01.721.</t>
  </si>
  <si>
    <t>Pašvaldību budžetu pārāda darījumi</t>
  </si>
  <si>
    <t>Pārējie citur neklasificētie vispārēja rakstura transferti starp dažādiem valsts pārvaldes līmeņiem</t>
  </si>
  <si>
    <t>01.891.</t>
  </si>
  <si>
    <t>03.100.</t>
  </si>
  <si>
    <t>Policija</t>
  </si>
  <si>
    <t xml:space="preserve">PI "Jelgavas pašvaldības operatīvās informācijas centrs" darbības nodrošināšana </t>
  </si>
  <si>
    <t>04.742.</t>
  </si>
  <si>
    <t>05.200.</t>
  </si>
  <si>
    <t>06.200.</t>
  </si>
  <si>
    <t>Teritoriju attīstība</t>
  </si>
  <si>
    <t>06.400.</t>
  </si>
  <si>
    <t xml:space="preserve">Pārējā citur neklasificētā teritoriju un mājokļu apsaimniekošanas darbība </t>
  </si>
  <si>
    <t>08.330.</t>
  </si>
  <si>
    <t>Izdevniecība</t>
  </si>
  <si>
    <t>Pirmsskolas izglītība</t>
  </si>
  <si>
    <t>Vispārējā izglītība. Pamatizglītība</t>
  </si>
  <si>
    <t>Pedagogu profesionālās meistarības pilnveidošana, rezidentu apmācība un tālākizglītība, Valsts administrācijas skolas nodrošinātā apmācība</t>
  </si>
  <si>
    <t>10.500.</t>
  </si>
  <si>
    <t>10.600.</t>
  </si>
  <si>
    <t>Dzīvokļa pabalsts un pabalsts individuālās apkures nodrošināšanai</t>
  </si>
  <si>
    <t>Mājokļa atbalsts</t>
  </si>
  <si>
    <t>10.710.</t>
  </si>
  <si>
    <t>10.711.</t>
  </si>
  <si>
    <t>01.115.</t>
  </si>
  <si>
    <t>05.300.</t>
  </si>
  <si>
    <t>05.306.</t>
  </si>
  <si>
    <t>Vides piesārņojuma novēršana un samazināšana</t>
  </si>
  <si>
    <t>06.403.</t>
  </si>
  <si>
    <t xml:space="preserve">ESF projekts "Tehniskā palīdzība integrētu teritoriālo investīciju projektu iesniegumu atlašu nodrošināšanai Jelgavas pilsētas pašvaldībā" </t>
  </si>
  <si>
    <t>ERAF projekts "Kompleksu pasākumu īstenošana Svētes upes caurplūdes atjaunošanai un plūdu apdraudējuma samazināšanai piegulošajās teritorijās"</t>
  </si>
  <si>
    <t>Eiropas Kohēzijas fonda projekts "Videi draudzīgas sabiedriskā transporta infrastruktūras attīstība Jelgavā"</t>
  </si>
  <si>
    <t>Emisijas kvotu izsolīšanas instrumenta projekts "Siltumnīcefekta gāzu emisiju samazināšana ar viedajām pilsētvides tehnoloģijām Jelgavā"</t>
  </si>
  <si>
    <t>Pašvaldības īpašumu apsaimniekošana</t>
  </si>
  <si>
    <t>Nodibinājums "Sporta tālākizglītības atbalsta fonds"</t>
  </si>
  <si>
    <t>Interreg V-A Latvijas - Lietuvas programmas projekts "Inovatīvu bibliotēku darbības risinājumu izveide dažādām paaudzēm pierobežas reģionā"</t>
  </si>
  <si>
    <t>Nodibinājums "Kultūras tālākizglītības atbalsta fonds"</t>
  </si>
  <si>
    <t>Interreg V-A Latvijas - Lietuvas programmas projekts "Tehniskās bāzes un operatīvo dienestu speciālistu fiziskās kapacitātes uzlabošana Latvijas un Lietuvas pierobežas reģionā"</t>
  </si>
  <si>
    <t>Nodibinājums "Izglītības atbalsta fonds"</t>
  </si>
  <si>
    <t>Nodibinājums "J.Bisenieka fonds"</t>
  </si>
  <si>
    <t>Invalīdu rehabilitācijas pasākumi, invalīdu transports u.c. kompensācijas</t>
  </si>
  <si>
    <t>ESF projekts "Sabiedrībā balstītu sociālo pakalpojumu nodrošināšana bērniem ar funkcionāliem traucējumiem"</t>
  </si>
  <si>
    <t>Sociālo pakalpojumu centrs bērniem</t>
  </si>
  <si>
    <t>Projekts "Sabiedrībā balstītu sociālo pakalpojumu infrastruktūras izveide, Jelgavā"</t>
  </si>
  <si>
    <t>SIA "Medicīnas sabiedrība OPTIMA 1"</t>
  </si>
  <si>
    <t>SIA "Jelgavas ūdens"</t>
  </si>
  <si>
    <t>SIA "Zemgales Olimpiskais centrs"</t>
  </si>
  <si>
    <t>SIA "Jelgavas poliklīnika"</t>
  </si>
  <si>
    <t>SIA "Jelgavas pilsētas slimnīca"</t>
  </si>
  <si>
    <t>Ziedojumi/ dāvinājumi</t>
  </si>
  <si>
    <t>ERAF projekts "Jelgavas Amatu vidusskolas infrastruktūras uzlabošana un mācību aprīkojuma modernizācija, 2.kārta"</t>
  </si>
  <si>
    <t>Dotācijas biedrībām, nodibinājumiem</t>
  </si>
  <si>
    <t>01.115. ESF projekts - 'Tehniskā palīdzība integrētu teritoriālo investīciju projektu iesniegumu atlašu nodrošināšanai Jelgavas pilsētas pašvaldībā'</t>
  </si>
  <si>
    <t>01.332. Interreg V-A Latvijas - Lietuvas programmas projekts - 'Pilsētas iedzīvotāju kartes pieejamo pakalpojumu pilnveidošana Jelgavā un Šauļos'</t>
  </si>
  <si>
    <t>04.510.526. Eiropas Kohēzijas fonda projekts - 'Loka maģistrāles pārbūve posmā no Kalnciema ceļa līdz Jelgavas pilsētas administratīvajai robežai'</t>
  </si>
  <si>
    <t>04.510.527. ERAF projekts - 'Tehniskās infrastruktūras sakārtošana uzņēmējdarbības attīstībai degradētajā teritorijā, 1.kārta'</t>
  </si>
  <si>
    <t>04.735. Interreg V-A Latvijas -Lietuvas programmas projekts - 'Starptautiskais kultūras tūrisma maršruts 'Baltu ceļš''</t>
  </si>
  <si>
    <t>04.737. ERAF projekts - 'Nozīmīga kultūrvēsturiskā mantojuma saglabāšana un attīstība kultūras tūrisma piedāvājuma pilnveidošanai Zemgales reģionā'</t>
  </si>
  <si>
    <t>05.306. Eiropas Kohēzijas fonda projekts - 'Videi draudzīgas sabiedriskā transporta infrastruktūras attīstība Jelgavā'</t>
  </si>
  <si>
    <t>05.603. Interreg V-A Latvijas - Lietuvas programmas projekts - 'Vides risku pārvaldības resursu pilnveidošana pierobežas reģionā, lai efektīvi veiktu vides aizsardzības pasākumus'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</si>
  <si>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</si>
  <si>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</si>
  <si>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09.219.5. ERAF projekts - 'Mācību vides uzlabošana Jelgavas Valsts ģimnāzijā un Jelgavas Tehnoloģiju vidusskolā'</t>
  </si>
  <si>
    <t>09.219.6. Interreg V-A Latvijas - Lietuvas programmas projekts - 'Tehniskās bāzes un operatīvo dienestu speciālistu fiziskās kapacitātes uzlabošana Latvijas un Lietuvas pierobežas reģionā'</t>
  </si>
  <si>
    <t>09.222.7. ERAF projekts - 'Jelgavas Amatu vidusskolas infrastruktūras uzlabošana un mācību aprīkojuma modernizācija, 2.kārta'</t>
  </si>
  <si>
    <t>09.519.02. Pašvaldības izglītības iestāžu investīciju projekts - 'Jelgavas pilsētas pašvaldības ēkas Zemgales prospekts 7 pārbūve un jaunais būvapjoms (piebūve)', I un III kārta</t>
  </si>
  <si>
    <t>09.519.03. ERAF projekts - 'Jelgavas pilsētas pašvaldības ēkas Zemgales prospekts 7 energoefektivitātes paaugstināšana', II kārta</t>
  </si>
  <si>
    <t>09.533. ESF projekts - 'Proti un dari'</t>
  </si>
  <si>
    <t>10.127. ESF projekts - 'Atver sirdi Zemgalē'</t>
  </si>
  <si>
    <t>10.711. Projekts - 'Sabiedrībā balstītu sociālo pakalpojumu infrastruktūras izveide Jelgavā'</t>
  </si>
  <si>
    <t>07.623. Fonds 'Jelgavnieku veselības veicināšanas fonds'</t>
  </si>
  <si>
    <t>08.105. Nodibinājums 'Sporta tālākizglītības atbalsta fonds'</t>
  </si>
  <si>
    <t>08.403. Nodibinājums 'Atbalsts kultūrai Jelgavā'</t>
  </si>
  <si>
    <t>08.405. Dotācijas biedrībām un nodibinājumiem</t>
  </si>
  <si>
    <t>09.521. Nodibinājums 'Izglītības atbalsta fonds'</t>
  </si>
  <si>
    <t>09.522. Nodibinājums 'J.Bisenieka atbalsta fonds'</t>
  </si>
  <si>
    <t>03. JELGAVAS PILSĒTAS PAŠVALDĪBAS IESTĀDE 'PAŠVALDĪBAS IESTĀŽU CENTRALIZĒTĀ GRĀMATVEDĪBA'</t>
  </si>
  <si>
    <t>04. JELGAVAS PILSĒTAS PAŠVALDĪBAS IESTĀDE 'JELGAVAS PILSĒTAS PAŠVALDĪBAS POLICIJA'</t>
  </si>
  <si>
    <t>05. JELGAVAS PILSĒTAS PAŠVALDĪBAS IESTĀDE 'JELGAVAS PAŠVALDĪBAS OPERATĪVĀS INFORMĀCIJAS CENTRS'</t>
  </si>
  <si>
    <t>03.202. PI 'Pašvaldības operatīvās informācijas centrs' darbības nodrošināšana</t>
  </si>
  <si>
    <t>03.206. Interreg V-A Latvijas - Lietuvas programmas projekts  - 'Civilās aizsardzības saistēmas pilnveidošana Jelgavas un Šauļu pilsētās'</t>
  </si>
  <si>
    <t>06. JELGAVAS PILSĒTAS PAŠVALDĪBAS IESTĀDE 'JELGAVAS REĢIONĀLAIS TŪRISMA CENTRS'</t>
  </si>
  <si>
    <t>07. JELGAVAS PILSĒTAS PAŠVALDĪBAS IESTĀDE 'PILSĒTSAIMNIECĪBA'</t>
  </si>
  <si>
    <t>04.742. ERAF projekts - 'Kompleksu pasākumu īstenošana Svētes upes caurplūdes atjaunošanai un plūdu apdraudējuma samazināšanai piegulošajās teritorijās'</t>
  </si>
  <si>
    <t>04.743. ERAF projekts - 'Jelgavas lidlauka poldera dambja pārbūve plūdu draudu novēršanai'</t>
  </si>
  <si>
    <t>06.403. Emisijas kvotu izsolīšanas instrumenta projekts - 'Situmnīcefekta gāzu emisiju samazināšana ar viedajām pilsētvides tehnoloģijām Jelgavā'</t>
  </si>
  <si>
    <t>08. JELGAVAS PILSĒTAS PAŠVALDĪBAS IESTĀDE 'SPORTA SERVISA CENTRS'</t>
  </si>
  <si>
    <t>09. JELGAVAS PILSĒTAS PAŠVALDĪBAS IESTĀDE 'JELGAVAS PILSĒTAS BIBLIOTĒKA'</t>
  </si>
  <si>
    <t>08.213. Interreg V-A Latvijas - Lietuvas programmas projekts - 'Inovatīvu bibliotēku darbības risinājumu izveide dažādām paaudzēm pierobežas reģionā'</t>
  </si>
  <si>
    <t>10. JELGAVAS PILSĒTAS PAŠVALDĪBAS IESTĀDE 'Ģ.ELIASA JELGAVAS VĒSTURES UN MĀKSLAS MUZEJS'</t>
  </si>
  <si>
    <t>11. JELGAVAS PILSĒTAS PAŠVALDĪBAS IESTĀDE 'KULTŪRA'</t>
  </si>
  <si>
    <t>09.222.3. Jelgavas Amatu vidusskolas projektu īstenošana - kopsavilkums</t>
  </si>
  <si>
    <t>10.122. Dienas centrs 'Harmonija'</t>
  </si>
  <si>
    <t>10.710. Sociālo pakalpojumu centrs bērniem</t>
  </si>
  <si>
    <t>F50010000. Akcijas un cita līdzdalība komersantu pašu kapitālā</t>
  </si>
  <si>
    <t>30.08.2018. -20.06.2028.</t>
  </si>
  <si>
    <t>Zvērināto auditoru pakalpojumi un grāmatvedības programmu uzturēšana</t>
  </si>
  <si>
    <t>Dabas resursu nodoklis</t>
  </si>
  <si>
    <t>17.000.</t>
  </si>
  <si>
    <t xml:space="preserve">No valsts budžeta daļēji finansēto atvasināto publisko personu un budžeta nefinansēto iestāžu transferti </t>
  </si>
  <si>
    <t>17.200.</t>
  </si>
  <si>
    <t>Pašvaldību saņemtie transferti no valsts budžeta daļēji finansētām atvasinātām publiskām personām un no budžeta nefinansētām iestādēm</t>
  </si>
  <si>
    <t>21.191.</t>
  </si>
  <si>
    <t>Ieņēmumi no citu Eiropas Savienības politiku instrumentu līdzfinansēto projektu un pasākumu īstenošanas, kas nav Eiropas Savienības struktūrfondi</t>
  </si>
  <si>
    <t xml:space="preserve">         JELGAVAS PILSĒTAS PAŠVALDĪBAS 2020.GADA BUDŽETS  </t>
  </si>
  <si>
    <t xml:space="preserve">JELGAVAS PILSĒTAS PAŠVALDĪBAS 2020.GADA BUDŽETS  </t>
  </si>
  <si>
    <t>2020.gada izdevumu plāns</t>
  </si>
  <si>
    <t>Finansēšana (naudas līdzekļu atlikums uz 31.12.2019.)</t>
  </si>
  <si>
    <t>04.510.529.</t>
  </si>
  <si>
    <t>ERAF projekts "Tehniskās infrastruktūras sakārtošana uzņēmējdarbības attīstībai degradētajā teritorijā, 2.kārta"</t>
  </si>
  <si>
    <t>09.111.</t>
  </si>
  <si>
    <t>Projekts "Ēkas pārbūve par pirmskolas izglītības iestādi Brīvības bulvārī 31 A, Jelgavā"</t>
  </si>
  <si>
    <t>09.219.8.</t>
  </si>
  <si>
    <t>ERAF projekts "Jelgavas pilsētas pašvaldības izglītības iestādes "Jelgavas Tehnoloģiju vidusskola" energoefektivitātes paaugstināšana"</t>
  </si>
  <si>
    <t>09.519.04.</t>
  </si>
  <si>
    <t>Latvijas - Lietuvas pārrobežu sadarbības programmas projekts "Sociālajam riskam pakļauto bērnu un jauniešu integrācija Jelgavas un Šauļu pilsētas pašvaldībās"</t>
  </si>
  <si>
    <t>09.820.</t>
  </si>
  <si>
    <t>Pārējie citur neklasificētie izglītības pakalpojumi</t>
  </si>
  <si>
    <t>09.821.</t>
  </si>
  <si>
    <t>Projekts "Jelgava jauniešiem II"</t>
  </si>
  <si>
    <t>10.129.</t>
  </si>
  <si>
    <t>ESF projekts "Par individuālā budžeta modeļa aprobāciju pilngadīgām personām ar garīga rakstura traucējumiem sabiedrībā balstītu sociālo pakalpojumu nodrošināšanai"</t>
  </si>
  <si>
    <t>05.303.</t>
  </si>
  <si>
    <t>Pārējie iepriekš neklasificētie vispārējie valdības dienesti</t>
  </si>
  <si>
    <t>01.601.</t>
  </si>
  <si>
    <t>Nekustamā īpašuma nodokļa un citu pašvaldības ieņēmumu administrēšana</t>
  </si>
  <si>
    <t>Pārējā nekur citur neklasificētā ekonomiskā darbība</t>
  </si>
  <si>
    <t>Plāns 2020.gadam</t>
  </si>
  <si>
    <t>2035-2050</t>
  </si>
  <si>
    <t>Investīciju projektu īstenošanai (saistību pārjaunojums)</t>
  </si>
  <si>
    <t>24.11.2017.-20.11.2022</t>
  </si>
  <si>
    <t>Pašvaldības izglītības iestāžu investīciju projekts "Jelgavas pilsētas pašvaldības ēkas Zemgales prospekts 7 pārbūve un jaunais būvapjoms (piebūve)", I un III kārta ("Junda" izvietošanai)</t>
  </si>
  <si>
    <t>07.08.2018.- 20.06.2048.</t>
  </si>
  <si>
    <t>ERAF projekts ""Jelgavas pilsētas pašvaldības ēkas Zemgales prospekts 7 energoefektivitātes paaugstināšana" II kārta"</t>
  </si>
  <si>
    <t>07.08.2018.- 20.03.2048.</t>
  </si>
  <si>
    <t>Projekts "Asfaltbetona seguma izbūve Romas ielā posmā no Zemeņu ielas līdz Turaidas ielai"</t>
  </si>
  <si>
    <t>07.08.2018.- 20.03.2038.</t>
  </si>
  <si>
    <t>30.08.2018.- 20.06.2038.</t>
  </si>
  <si>
    <t>Lat-Lit pārrobežu sadarbības programmas projekts "Civilās aizsardzības sistēmas pilnveidošana Jelgavas un Šauļu pilsētās (C-System)</t>
  </si>
  <si>
    <t>Izglītības iestādes investīciju projekts "Jelgavas pilsētas pašvaldības PII "Gaismina" telpu vienkāršota atjaunošana"</t>
  </si>
  <si>
    <t>Pašvaldības prioritārais investīciju projekts "Jelgavas Kultūras nama ēkas fasādes, pamatu vertikālās hidroizolācijas atjaunošana un teritorijas sakārtošana"</t>
  </si>
  <si>
    <t>10.10.2018. -20.09.2038.</t>
  </si>
  <si>
    <t>SIA "Jelgavas ūdens" pamatkapitāla palielināšanai projektam "Ūdenssaimniecības pakalpojumu attīstība Jelgavā, V kārta"</t>
  </si>
  <si>
    <t>Lat -Lit pārrobežu sadarbības projekts "Tehniskās bāzes un operatīvo dienestu speciālistu fziskās kapacitātes uzlabošana Latvijas un Lietuvas pierobežas reģionā (All for safety)"</t>
  </si>
  <si>
    <t>Lat-Lit pārrobežu sadarbības programmas projekts "Inovatīvu bibliotēku darbības risinājumu izveide dažādām paaudzēm pierobežas reģionā"</t>
  </si>
  <si>
    <t>11.03.2019.-20.11.2038.</t>
  </si>
  <si>
    <t>A2/1/19/65</t>
  </si>
  <si>
    <t>02.04.2019.- 20.03.2049.</t>
  </si>
  <si>
    <t>A2/1/19/84</t>
  </si>
  <si>
    <t>17.05.2019.- 20.03.2049.</t>
  </si>
  <si>
    <t>A2/1/19/156</t>
  </si>
  <si>
    <t>19.06.2019.-20.03.2049.</t>
  </si>
  <si>
    <t>A2/1/19/231</t>
  </si>
  <si>
    <t>KF projekts "Loka maģistrāles pārbūve posmā no Kalnciema ceļa līdz Jelgavas administratīvajai robežai"</t>
  </si>
  <si>
    <t>18.09.2019.-20.03.2049.</t>
  </si>
  <si>
    <t>A2/1/19/337</t>
  </si>
  <si>
    <t>ERAF projekts "Tehniskās infrastruktūras sakārtošana uzņēmējdarbības attīstībai degradētajā teritorijā, 1.kārta" (Riska likme)</t>
  </si>
  <si>
    <t>A2/1/19/338</t>
  </si>
  <si>
    <t>A2/1/19/339</t>
  </si>
  <si>
    <t>VB līdzfinansēts projekts "Miera ielas un Aizsargu ielas asfalta seguma atjaunošana un tilta pār Platones upi pārbūve"</t>
  </si>
  <si>
    <t>A2/1/19/340</t>
  </si>
  <si>
    <t xml:space="preserve"> Saistību īpatsvars bez priekšfinansējuma atmaksām</t>
  </si>
  <si>
    <t>Priekšfinansējuma atmaksas uz 28.01.2020.</t>
  </si>
  <si>
    <t>Pamatsummu atmaksa pēc grafika</t>
  </si>
  <si>
    <t>Pamatsummu pieaugums pret iepriekšējo gadu</t>
  </si>
  <si>
    <t>Kopējo saistību pieaugums pret iepriekšējo gadu</t>
  </si>
  <si>
    <t>SIA Jelgavas ūdens - Ūdenssaimniecība II kārta</t>
  </si>
  <si>
    <t>SIA Jelgavas ūdens - Ūdenssaimniecība III kārta</t>
  </si>
  <si>
    <t>Pirmstermiņa atmaksas uz xx.xx.2020.</t>
  </si>
  <si>
    <t>Jelgavas pilsētas pašvaldības 2020.gada ziedojumu un dāvinājumu budžeta kopsavilkums</t>
  </si>
  <si>
    <t>Resursu plāns 2020.gadam</t>
  </si>
  <si>
    <t>Naudas līdzekļu atlikums uz 31.12.2019.</t>
  </si>
  <si>
    <t>Izdevumu plāns uz 2020.gadam</t>
  </si>
  <si>
    <t>Jelgavas speciālo skolu un speciālās pirmsskolas izglītības programma</t>
  </si>
  <si>
    <t>Dotācija pašvaldības kapitālsabiedrībām no dabas resursu nodokļa fonda</t>
  </si>
  <si>
    <t>F22010000</t>
  </si>
  <si>
    <t>Ziedojumu un dāvinājumu budžeta resursi</t>
  </si>
  <si>
    <t>Ziedojumu un dāvinājumu budžeta izdevumi</t>
  </si>
  <si>
    <t>Valdības funkcijas kods</t>
  </si>
  <si>
    <t>01.124. Zvērināto auditoru pakalpojumi un grāmatvedības programmas Horizon uzturēšana</t>
  </si>
  <si>
    <t>04.510.529. ERAF projekts 'Tehniskās infrastruktūras sakārtošana uzņēmējdarbības attīstībai degradētajā teritorijā, 2.kārta'</t>
  </si>
  <si>
    <t>09.111. Projekts - 'Ēkas pārbūve par pirmskolas izglītības iestādi Brīvības bulvārī 31 A, Jelgavā'</t>
  </si>
  <si>
    <t>09.219.8. ERAF projekts - 'Jelgavas pilsētas pašvaldības izglītības iestādes 'Jelgavas Tehnoloģiju vidusskola' energoefektivitātes paaugstināšana'</t>
  </si>
  <si>
    <t>09.821. Projekts 'Jelgava jauniešiem'</t>
  </si>
  <si>
    <t>4000. Procentu izdevumi</t>
  </si>
  <si>
    <t>09.219.2. Jelgavas speciālo skolu un speciālās pirmsskolas izglītības programma - kopsavilkums</t>
  </si>
  <si>
    <t>10.129. ESF projekts 'Par individuālā budžeta modeļa aprobāciju pilngadīgām personām ar garīga rakstura traucējumiem sabiedrībā balstītu sociālo pakalpojumu nodrošināšanai'</t>
  </si>
  <si>
    <t>JELGAVAS PILSĒTAS PAŠVALDĪBAS 2020.GADA PAMATBUDŽETS ATŠIFRĒJUMĀ PA PROGRAMMĀM UN EKONOMISKĀS KLASIFIKĀCIJAS KODIEM</t>
  </si>
  <si>
    <t>2020.gada plāns</t>
  </si>
  <si>
    <t>12. JELGAVAS PILSĒTAS PAŠVALDĪBAS IESTĀDE 'ZEMGALES REĢIONA KOMPETENČU ATTĪSTĪBAS CENTRS'</t>
  </si>
  <si>
    <t>13. JELGAVAS PILSĒTAS PAŠVALDĪBAS IESTĀDE 'JELGAVAS IZGLĪTĪBAS PĀRVALDE'</t>
  </si>
  <si>
    <t>14. JELGAVAS PILSĒTAS PAŠVALDIBAS IESTĀDE 'JELGAVAS PILSĒTAS BĀRIŅTIESA'</t>
  </si>
  <si>
    <t>15. JELGAVAS PILSĒTAS PAŠVALDĪBAS IESTĀDE 'JELGAVAS SOCIĀLO LIETU PĀRVALDE'</t>
  </si>
  <si>
    <t>16. FINANSĒŠANA</t>
  </si>
  <si>
    <t>F22010000. Naudas līdzekļu atlikums uz perioda beigām</t>
  </si>
  <si>
    <t>01.721. Aizņēmumu procentu nomaksa</t>
  </si>
  <si>
    <t>05.303. Dotācija pašvaldības kapitālsabiedrībām no dabas resursu nodokļa fonda</t>
  </si>
  <si>
    <t>Pašvaldības teritorijas, kapsētu un mežu apsaimniekošana</t>
  </si>
  <si>
    <t>06.602. Pašvaldības teritorijas, mežu un kapsētu apsaimniekošana</t>
  </si>
  <si>
    <t>8. pielikums</t>
  </si>
  <si>
    <t>N.p.k.</t>
  </si>
  <si>
    <t>2020.gads</t>
  </si>
  <si>
    <t>2021.gads</t>
  </si>
  <si>
    <t>I</t>
  </si>
  <si>
    <t>Pašvaldību saņemtie valsts budžeta transferti noteiktam mērķim</t>
  </si>
  <si>
    <t>II</t>
  </si>
  <si>
    <t>Izdevumi - kopā</t>
  </si>
  <si>
    <t>Ielu būvniecība un rekonstrukcija</t>
  </si>
  <si>
    <t>Ietvju būvniecība un rekonstrukcija</t>
  </si>
  <si>
    <t>Ceļu un ielu atjaunošana, pārbūve un nojaukšana</t>
  </si>
  <si>
    <t>Ceļu un ielu ikdienas uzturēšana</t>
  </si>
  <si>
    <t>Pārējie izdevumi</t>
  </si>
  <si>
    <t>III</t>
  </si>
  <si>
    <t>Finansēšana</t>
  </si>
  <si>
    <t>Naudas līdzekļi perioda sākumā</t>
  </si>
  <si>
    <t>2022.gads</t>
  </si>
  <si>
    <t>JELGAVAS PILSĒTAS PAŠVALDĪBAS 2020. GADA ZIEDOJUMU UN DĀVINĀJUMU BUDŽETS ATŠIFRĒJUMĀ PA PROGRAMMĀM UN EKONOMISKĀS KLASIFIKĀCIJAS KODIEM</t>
  </si>
  <si>
    <t>JELGAVAS PILSĒTAS PAŠVALDĪBAS VIDĒJA TERMIŅA PILSĒTAS IELU FINANSĒŠANAI PAREDZĒTAIS AUTOCEĻU FONDS</t>
  </si>
  <si>
    <t>SIA Jelgavas ūdens - Ūdenssaimniecības pakalpojumu attīstība Jelgavā, V kārta</t>
  </si>
  <si>
    <t>Projekts</t>
  </si>
  <si>
    <t>PI "Ģ.Eliasa Jelgavas Vēstures un mākslas muzejs" muzeja krājumu iegādei</t>
  </si>
  <si>
    <t>SAISTOŠAJIEM NOTEIKUMIEM Nr.20-5</t>
  </si>
  <si>
    <t>28.01.2020.prot.Nr.2/34</t>
  </si>
  <si>
    <t>28.01.2020.prot. Nr.2/34</t>
  </si>
  <si>
    <t>SAISTOŠAJIEM NOTEIKUMIEM Nr. 20-5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</si>
</sst>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\ &quot;Ls&quot;_-;\-* #,##0.00\ &quot;Ls&quot;_-;_-* &quot;-&quot;??\ &quot;Ls&quot;_-;_-@_-"/>
    <numFmt numFmtId="165" formatCode="_-* #,##0.00\ _L_s_-;\-* #,##0.00\ _L_s_-;_-* &quot;-&quot;??\ _L_s_-;_-@_-"/>
    <numFmt numFmtId="166" formatCode="0.000%"/>
    <numFmt numFmtId="167" formatCode="_-* #,##0\ _L_s_-;\-* #,##0\ _L_s_-;_-* &quot;-&quot;??\ _L_s_-;_-@_-"/>
    <numFmt numFmtId="168" formatCode="#,##0.00_ ;\-#,##0.00\ "/>
  </numFmts>
  <fonts count="92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6"/>
      <name val="Times New Roman Baltic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Arial"/>
      <family val="2"/>
      <charset val="186"/>
    </font>
    <font>
      <sz val="12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name val="Arial"/>
      <family val="2"/>
      <charset val="186"/>
    </font>
    <font>
      <sz val="13"/>
      <name val="Arial"/>
      <family val="2"/>
      <charset val="186"/>
    </font>
    <font>
      <b/>
      <sz val="13"/>
      <name val="Arial"/>
      <family val="2"/>
      <charset val="186"/>
    </font>
    <font>
      <b/>
      <i/>
      <sz val="11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i/>
      <sz val="11"/>
      <color rgb="FFFF0000"/>
      <name val="Times New Roman"/>
      <family val="1"/>
      <charset val="186"/>
    </font>
    <font>
      <i/>
      <sz val="11"/>
      <color rgb="FFFF0000"/>
      <name val="Times New Roman Baltic"/>
      <charset val="186"/>
    </font>
    <font>
      <b/>
      <sz val="10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1"/>
      <name val="Arial"/>
      <family val="2"/>
      <charset val="186"/>
    </font>
    <font>
      <b/>
      <sz val="11"/>
      <name val="Times New Roman Baltic"/>
      <charset val="186"/>
    </font>
    <font>
      <i/>
      <sz val="11"/>
      <name val="Times New Roman Baltic"/>
      <charset val="186"/>
    </font>
    <font>
      <i/>
      <sz val="11"/>
      <name val="Times New Roman"/>
      <family val="1"/>
    </font>
    <font>
      <i/>
      <sz val="11"/>
      <name val="Times New Roman Baltic"/>
      <family val="1"/>
      <charset val="186"/>
    </font>
    <font>
      <sz val="11"/>
      <name val="Times New Roman"/>
      <family val="1"/>
    </font>
    <font>
      <b/>
      <sz val="16"/>
      <name val="Times New Roman"/>
      <family val="1"/>
      <charset val="186"/>
    </font>
    <font>
      <sz val="16"/>
      <name val="Times New Roman"/>
      <family val="1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sz val="14"/>
      <name val="Times New Roman Baltic"/>
      <family val="1"/>
      <charset val="186"/>
    </font>
    <font>
      <b/>
      <sz val="11"/>
      <name val="Times New Roman"/>
      <family val="1"/>
    </font>
    <font>
      <b/>
      <sz val="11"/>
      <name val="Times New Roman Baltic"/>
      <family val="1"/>
      <charset val="186"/>
    </font>
    <font>
      <sz val="10"/>
      <name val="Arial"/>
      <family val="2"/>
      <charset val="186"/>
    </font>
    <font>
      <b/>
      <i/>
      <sz val="12"/>
      <name val="Times New Roman"/>
      <family val="1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Arial"/>
      <family val="2"/>
      <charset val="186"/>
    </font>
    <font>
      <sz val="8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i/>
      <sz val="11"/>
      <color rgb="FFFF0000"/>
      <name val="Times New Roman Baltic"/>
      <family val="1"/>
      <charset val="186"/>
    </font>
    <font>
      <i/>
      <sz val="12"/>
      <color rgb="FFFF0000"/>
      <name val="Times New Roman"/>
      <family val="1"/>
      <charset val="186"/>
    </font>
    <font>
      <i/>
      <sz val="11"/>
      <color rgb="FFFF0000"/>
      <name val="Times New Roman"/>
      <family val="1"/>
    </font>
    <font>
      <sz val="12"/>
      <color rgb="FFFF0000"/>
      <name val="Times New Roman"/>
      <family val="1"/>
    </font>
    <font>
      <i/>
      <sz val="9"/>
      <name val="Times New Roman"/>
      <family val="1"/>
      <charset val="186"/>
    </font>
    <font>
      <sz val="7.5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38" fillId="0" borderId="0"/>
    <xf numFmtId="0" fontId="38" fillId="0" borderId="0"/>
    <xf numFmtId="0" fontId="46" fillId="0" borderId="0"/>
    <xf numFmtId="0" fontId="41" fillId="0" borderId="0"/>
    <xf numFmtId="0" fontId="45" fillId="0" borderId="0"/>
    <xf numFmtId="0" fontId="38" fillId="0" borderId="0"/>
    <xf numFmtId="0" fontId="5" fillId="23" borderId="7" applyNumberFormat="0" applyFont="0" applyAlignment="0" applyProtection="0"/>
    <xf numFmtId="0" fontId="29" fillId="20" borderId="8" applyNumberFormat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597">
    <xf numFmtId="0" fontId="0" fillId="0" borderId="0" xfId="0"/>
    <xf numFmtId="0" fontId="6" fillId="0" borderId="0" xfId="0" applyFont="1"/>
    <xf numFmtId="0" fontId="8" fillId="0" borderId="0" xfId="0" applyFont="1" applyBorder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/>
    <xf numFmtId="3" fontId="0" fillId="0" borderId="0" xfId="0" applyNumberFormat="1"/>
    <xf numFmtId="0" fontId="6" fillId="0" borderId="0" xfId="0" applyFont="1" applyBorder="1"/>
    <xf numFmtId="0" fontId="11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6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9" fillId="0" borderId="0" xfId="0" applyFont="1"/>
    <xf numFmtId="3" fontId="37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0" fontId="12" fillId="0" borderId="0" xfId="0" applyFont="1" applyBorder="1"/>
    <xf numFmtId="0" fontId="11" fillId="0" borderId="0" xfId="0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48" fillId="0" borderId="0" xfId="0" applyFont="1" applyBorder="1"/>
    <xf numFmtId="0" fontId="48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/>
    </xf>
    <xf numFmtId="0" fontId="48" fillId="0" borderId="0" xfId="0" applyFont="1" applyBorder="1" applyAlignment="1">
      <alignment horizontal="left" wrapText="1" indent="2"/>
    </xf>
    <xf numFmtId="0" fontId="48" fillId="0" borderId="0" xfId="0" applyFont="1"/>
    <xf numFmtId="0" fontId="48" fillId="0" borderId="0" xfId="0" applyFont="1" applyAlignment="1">
      <alignment vertical="center" wrapText="1"/>
    </xf>
    <xf numFmtId="0" fontId="52" fillId="0" borderId="0" xfId="0" applyFont="1"/>
    <xf numFmtId="0" fontId="52" fillId="0" borderId="0" xfId="0" applyFont="1" applyAlignment="1">
      <alignment horizontal="center"/>
    </xf>
    <xf numFmtId="0" fontId="51" fillId="0" borderId="0" xfId="59" applyFont="1"/>
    <xf numFmtId="0" fontId="51" fillId="0" borderId="0" xfId="59" applyFont="1" applyAlignment="1">
      <alignment wrapText="1"/>
    </xf>
    <xf numFmtId="0" fontId="7" fillId="0" borderId="0" xfId="59" applyFont="1"/>
    <xf numFmtId="0" fontId="7" fillId="0" borderId="0" xfId="59" applyFont="1" applyAlignment="1">
      <alignment wrapText="1"/>
    </xf>
    <xf numFmtId="0" fontId="57" fillId="27" borderId="10" xfId="59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25" borderId="10" xfId="0" applyFont="1" applyFill="1" applyBorder="1" applyAlignment="1">
      <alignment horizontal="center" wrapText="1"/>
    </xf>
    <xf numFmtId="0" fontId="12" fillId="25" borderId="10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/>
    </xf>
    <xf numFmtId="0" fontId="12" fillId="24" borderId="10" xfId="0" applyFont="1" applyFill="1" applyBorder="1" applyAlignment="1">
      <alignment horizontal="center" wrapText="1"/>
    </xf>
    <xf numFmtId="3" fontId="12" fillId="24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24" borderId="10" xfId="0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3" fontId="9" fillId="24" borderId="10" xfId="0" applyNumberFormat="1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wrapText="1"/>
    </xf>
    <xf numFmtId="0" fontId="12" fillId="24" borderId="10" xfId="0" applyFont="1" applyFill="1" applyBorder="1" applyAlignment="1">
      <alignment vertical="center" wrapText="1"/>
    </xf>
    <xf numFmtId="3" fontId="12" fillId="24" borderId="10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left" wrapText="1"/>
    </xf>
    <xf numFmtId="0" fontId="12" fillId="0" borderId="10" xfId="0" applyFont="1" applyBorder="1" applyAlignment="1">
      <alignment vertical="center" wrapText="1"/>
    </xf>
    <xf numFmtId="3" fontId="12" fillId="0" borderId="10" xfId="0" applyNumberFormat="1" applyFont="1" applyBorder="1" applyAlignment="1">
      <alignment horizontal="center"/>
    </xf>
    <xf numFmtId="0" fontId="13" fillId="0" borderId="10" xfId="0" applyFont="1" applyFill="1" applyBorder="1" applyAlignment="1">
      <alignment horizontal="right" wrapText="1"/>
    </xf>
    <xf numFmtId="3" fontId="11" fillId="0" borderId="10" xfId="0" applyNumberFormat="1" applyFont="1" applyFill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12" fillId="0" borderId="10" xfId="0" applyFont="1" applyFill="1" applyBorder="1"/>
    <xf numFmtId="0" fontId="12" fillId="0" borderId="10" xfId="0" applyFont="1" applyFill="1" applyBorder="1" applyAlignment="1">
      <alignment vertical="center" wrapText="1"/>
    </xf>
    <xf numFmtId="0" fontId="12" fillId="0" borderId="10" xfId="0" applyFont="1" applyBorder="1" applyAlignment="1">
      <alignment wrapText="1"/>
    </xf>
    <xf numFmtId="3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left" wrapText="1" indent="2"/>
    </xf>
    <xf numFmtId="3" fontId="11" fillId="0" borderId="10" xfId="0" applyNumberFormat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left" wrapText="1" indent="2"/>
    </xf>
    <xf numFmtId="3" fontId="11" fillId="0" borderId="10" xfId="0" applyNumberFormat="1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31" borderId="10" xfId="0" applyNumberFormat="1" applyFont="1" applyFill="1" applyBorder="1" applyAlignment="1">
      <alignment horizontal="center" vertical="center"/>
    </xf>
    <xf numFmtId="0" fontId="12" fillId="24" borderId="10" xfId="0" applyFont="1" applyFill="1" applyBorder="1"/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11" fillId="0" borderId="10" xfId="0" applyFont="1" applyFill="1" applyBorder="1"/>
    <xf numFmtId="0" fontId="11" fillId="0" borderId="10" xfId="0" applyFont="1" applyFill="1" applyBorder="1" applyAlignment="1">
      <alignment wrapText="1"/>
    </xf>
    <xf numFmtId="0" fontId="7" fillId="0" borderId="0" xfId="0" applyFont="1"/>
    <xf numFmtId="0" fontId="6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64" fillId="0" borderId="0" xfId="0" applyFont="1" applyBorder="1" applyAlignment="1"/>
    <xf numFmtId="0" fontId="65" fillId="0" borderId="0" xfId="0" applyFont="1" applyBorder="1" applyAlignment="1">
      <alignment horizontal="right"/>
    </xf>
    <xf numFmtId="0" fontId="7" fillId="0" borderId="10" xfId="0" applyFont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10" xfId="0" applyFont="1" applyBorder="1"/>
    <xf numFmtId="0" fontId="63" fillId="0" borderId="10" xfId="0" applyFont="1" applyFill="1" applyBorder="1" applyAlignment="1">
      <alignment vertical="center" wrapText="1"/>
    </xf>
    <xf numFmtId="0" fontId="67" fillId="26" borderId="10" xfId="0" applyFont="1" applyFill="1" applyBorder="1"/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center"/>
    </xf>
    <xf numFmtId="0" fontId="5" fillId="0" borderId="0" xfId="0" applyFont="1"/>
    <xf numFmtId="0" fontId="68" fillId="0" borderId="0" xfId="0" applyFont="1"/>
    <xf numFmtId="3" fontId="14" fillId="0" borderId="0" xfId="0" applyNumberFormat="1" applyFont="1"/>
    <xf numFmtId="3" fontId="8" fillId="0" borderId="0" xfId="0" applyNumberFormat="1" applyFont="1" applyAlignment="1">
      <alignment horizontal="center"/>
    </xf>
    <xf numFmtId="0" fontId="68" fillId="0" borderId="0" xfId="0" applyFont="1" applyAlignment="1">
      <alignment horizontal="right"/>
    </xf>
    <xf numFmtId="0" fontId="49" fillId="31" borderId="10" xfId="0" applyFont="1" applyFill="1" applyBorder="1" applyAlignment="1">
      <alignment horizontal="left" vertical="center" wrapText="1" indent="1"/>
    </xf>
    <xf numFmtId="3" fontId="49" fillId="31" borderId="10" xfId="0" applyNumberFormat="1" applyFont="1" applyFill="1" applyBorder="1" applyAlignment="1">
      <alignment horizontal="center"/>
    </xf>
    <xf numFmtId="0" fontId="59" fillId="0" borderId="10" xfId="0" applyFont="1" applyFill="1" applyBorder="1" applyAlignment="1">
      <alignment vertical="center" wrapText="1"/>
    </xf>
    <xf numFmtId="49" fontId="49" fillId="31" borderId="10" xfId="0" applyNumberFormat="1" applyFont="1" applyFill="1" applyBorder="1" applyAlignment="1">
      <alignment horizontal="right" wrapText="1"/>
    </xf>
    <xf numFmtId="0" fontId="12" fillId="0" borderId="10" xfId="0" applyFont="1" applyFill="1" applyBorder="1" applyAlignment="1">
      <alignment horizontal="left" vertical="center" wrapText="1"/>
    </xf>
    <xf numFmtId="0" fontId="11" fillId="24" borderId="10" xfId="0" applyFont="1" applyFill="1" applyBorder="1"/>
    <xf numFmtId="0" fontId="8" fillId="0" borderId="0" xfId="0" applyFont="1"/>
    <xf numFmtId="3" fontId="7" fillId="0" borderId="0" xfId="0" applyNumberFormat="1" applyFont="1" applyAlignment="1">
      <alignment horizontal="center"/>
    </xf>
    <xf numFmtId="3" fontId="40" fillId="0" borderId="10" xfId="0" applyNumberFormat="1" applyFont="1" applyBorder="1" applyAlignment="1">
      <alignment horizontal="center"/>
    </xf>
    <xf numFmtId="0" fontId="12" fillId="25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24" borderId="10" xfId="0" applyFont="1" applyFill="1" applyBorder="1" applyAlignment="1">
      <alignment horizontal="center" vertical="center" wrapText="1"/>
    </xf>
    <xf numFmtId="0" fontId="7" fillId="0" borderId="0" xfId="63" applyFont="1" applyAlignment="1">
      <alignment horizontal="right"/>
    </xf>
    <xf numFmtId="0" fontId="11" fillId="0" borderId="0" xfId="63" applyFont="1" applyFill="1" applyBorder="1" applyAlignment="1">
      <alignment horizontal="right"/>
    </xf>
    <xf numFmtId="4" fontId="74" fillId="0" borderId="22" xfId="64" applyNumberFormat="1" applyFont="1" applyFill="1" applyBorder="1"/>
    <xf numFmtId="4" fontId="74" fillId="28" borderId="23" xfId="64" applyNumberFormat="1" applyFont="1" applyFill="1" applyBorder="1"/>
    <xf numFmtId="0" fontId="5" fillId="0" borderId="0" xfId="64" applyFill="1"/>
    <xf numFmtId="4" fontId="74" fillId="0" borderId="25" xfId="64" applyNumberFormat="1" applyFont="1" applyFill="1" applyBorder="1"/>
    <xf numFmtId="3" fontId="74" fillId="0" borderId="25" xfId="64" applyNumberFormat="1" applyFont="1" applyFill="1" applyBorder="1"/>
    <xf numFmtId="4" fontId="74" fillId="28" borderId="26" xfId="64" applyNumberFormat="1" applyFont="1" applyFill="1" applyBorder="1"/>
    <xf numFmtId="4" fontId="74" fillId="0" borderId="27" xfId="64" applyNumberFormat="1" applyFont="1" applyFill="1" applyBorder="1"/>
    <xf numFmtId="3" fontId="74" fillId="0" borderId="28" xfId="64" applyNumberFormat="1" applyFont="1" applyFill="1" applyBorder="1"/>
    <xf numFmtId="0" fontId="5" fillId="0" borderId="0" xfId="64" applyFont="1" applyFill="1"/>
    <xf numFmtId="10" fontId="74" fillId="0" borderId="22" xfId="64" applyNumberFormat="1" applyFont="1" applyFill="1" applyBorder="1" applyAlignment="1">
      <alignment horizontal="center"/>
    </xf>
    <xf numFmtId="3" fontId="74" fillId="0" borderId="22" xfId="64" applyNumberFormat="1" applyFont="1" applyFill="1" applyBorder="1"/>
    <xf numFmtId="3" fontId="74" fillId="0" borderId="27" xfId="64" applyNumberFormat="1" applyFont="1" applyFill="1" applyBorder="1"/>
    <xf numFmtId="3" fontId="74" fillId="0" borderId="28" xfId="65" applyNumberFormat="1" applyFont="1" applyFill="1" applyBorder="1" applyAlignment="1">
      <alignment horizontal="right" vertical="center"/>
    </xf>
    <xf numFmtId="4" fontId="74" fillId="0" borderId="22" xfId="65" applyNumberFormat="1" applyFont="1" applyFill="1" applyBorder="1" applyAlignment="1">
      <alignment horizontal="right" vertical="center"/>
    </xf>
    <xf numFmtId="3" fontId="74" fillId="0" borderId="25" xfId="65" applyNumberFormat="1" applyFont="1" applyFill="1" applyBorder="1" applyAlignment="1">
      <alignment horizontal="right" vertical="center"/>
    </xf>
    <xf numFmtId="4" fontId="74" fillId="0" borderId="22" xfId="62" applyNumberFormat="1" applyFont="1" applyFill="1" applyBorder="1"/>
    <xf numFmtId="3" fontId="74" fillId="0" borderId="22" xfId="62" applyNumberFormat="1" applyFont="1" applyFill="1" applyBorder="1"/>
    <xf numFmtId="3" fontId="74" fillId="0" borderId="25" xfId="62" applyNumberFormat="1" applyFont="1" applyFill="1" applyBorder="1"/>
    <xf numFmtId="0" fontId="43" fillId="0" borderId="25" xfId="62" applyFont="1" applyFill="1" applyBorder="1"/>
    <xf numFmtId="10" fontId="78" fillId="32" borderId="43" xfId="67" applyNumberFormat="1" applyFont="1" applyFill="1" applyBorder="1" applyAlignment="1">
      <alignment horizontal="center"/>
    </xf>
    <xf numFmtId="10" fontId="78" fillId="32" borderId="40" xfId="67" applyNumberFormat="1" applyFont="1" applyFill="1" applyBorder="1" applyAlignment="1">
      <alignment horizontal="center"/>
    </xf>
    <xf numFmtId="4" fontId="76" fillId="0" borderId="22" xfId="64" applyNumberFormat="1" applyFont="1" applyFill="1" applyBorder="1"/>
    <xf numFmtId="4" fontId="76" fillId="0" borderId="45" xfId="64" applyNumberFormat="1" applyFont="1" applyFill="1" applyBorder="1"/>
    <xf numFmtId="4" fontId="76" fillId="0" borderId="25" xfId="64" applyNumberFormat="1" applyFont="1" applyFill="1" applyBorder="1"/>
    <xf numFmtId="4" fontId="76" fillId="0" borderId="46" xfId="64" applyNumberFormat="1" applyFont="1" applyFill="1" applyBorder="1"/>
    <xf numFmtId="0" fontId="74" fillId="0" borderId="25" xfId="62" applyFont="1" applyFill="1" applyBorder="1" applyAlignment="1">
      <alignment horizontal="center"/>
    </xf>
    <xf numFmtId="10" fontId="78" fillId="32" borderId="56" xfId="67" applyNumberFormat="1" applyFont="1" applyFill="1" applyBorder="1" applyAlignment="1">
      <alignment horizontal="center"/>
    </xf>
    <xf numFmtId="0" fontId="79" fillId="0" borderId="0" xfId="68" applyFont="1" applyProtection="1">
      <protection locked="0"/>
    </xf>
    <xf numFmtId="0" fontId="6" fillId="0" borderId="0" xfId="68" applyFont="1" applyProtection="1">
      <protection locked="0"/>
    </xf>
    <xf numFmtId="0" fontId="6" fillId="0" borderId="0" xfId="68" applyFont="1" applyBorder="1" applyProtection="1">
      <protection locked="0"/>
    </xf>
    <xf numFmtId="14" fontId="7" fillId="0" borderId="0" xfId="68" applyNumberFormat="1" applyFont="1" applyProtection="1"/>
    <xf numFmtId="0" fontId="6" fillId="0" borderId="0" xfId="64" applyFont="1" applyBorder="1"/>
    <xf numFmtId="0" fontId="5" fillId="0" borderId="0" xfId="64"/>
    <xf numFmtId="3" fontId="74" fillId="0" borderId="58" xfId="65" applyNumberFormat="1" applyFont="1" applyFill="1" applyBorder="1" applyAlignment="1">
      <alignment horizontal="right" vertical="center"/>
    </xf>
    <xf numFmtId="3" fontId="74" fillId="0" borderId="59" xfId="65" applyNumberFormat="1" applyFont="1" applyFill="1" applyBorder="1" applyAlignment="1">
      <alignment horizontal="right" vertical="center"/>
    </xf>
    <xf numFmtId="3" fontId="74" fillId="0" borderId="45" xfId="62" applyNumberFormat="1" applyFont="1" applyFill="1" applyBorder="1"/>
    <xf numFmtId="4" fontId="74" fillId="0" borderId="45" xfId="62" applyNumberFormat="1" applyFont="1" applyFill="1" applyBorder="1"/>
    <xf numFmtId="3" fontId="74" fillId="0" borderId="46" xfId="62" applyNumberFormat="1" applyFont="1" applyFill="1" applyBorder="1"/>
    <xf numFmtId="4" fontId="74" fillId="0" borderId="45" xfId="65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12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13" fillId="0" borderId="10" xfId="0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right" vertical="center" wrapText="1"/>
    </xf>
    <xf numFmtId="0" fontId="69" fillId="0" borderId="10" xfId="0" applyFont="1" applyFill="1" applyBorder="1" applyAlignment="1">
      <alignment horizontal="left" vertical="center" wrapText="1"/>
    </xf>
    <xf numFmtId="0" fontId="61" fillId="0" borderId="10" xfId="0" applyFont="1" applyFill="1" applyBorder="1" applyAlignment="1">
      <alignment horizontal="right" vertical="center" wrapText="1"/>
    </xf>
    <xf numFmtId="49" fontId="13" fillId="0" borderId="10" xfId="0" applyNumberFormat="1" applyFont="1" applyFill="1" applyBorder="1" applyAlignment="1">
      <alignment horizontal="right" vertical="center" wrapText="1"/>
    </xf>
    <xf numFmtId="0" fontId="13" fillId="31" borderId="10" xfId="0" applyFont="1" applyFill="1" applyBorder="1" applyAlignment="1">
      <alignment horizontal="right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3" fontId="36" fillId="0" borderId="10" xfId="0" applyNumberFormat="1" applyFont="1" applyFill="1" applyBorder="1" applyAlignment="1">
      <alignment horizontal="center" vertical="center"/>
    </xf>
    <xf numFmtId="3" fontId="13" fillId="30" borderId="10" xfId="0" applyNumberFormat="1" applyFont="1" applyFill="1" applyBorder="1" applyAlignment="1">
      <alignment horizontal="center" vertical="center"/>
    </xf>
    <xf numFmtId="3" fontId="49" fillId="31" borderId="10" xfId="0" applyNumberFormat="1" applyFont="1" applyFill="1" applyBorder="1" applyAlignment="1">
      <alignment horizontal="center" vertical="center"/>
    </xf>
    <xf numFmtId="3" fontId="59" fillId="0" borderId="10" xfId="0" applyNumberFormat="1" applyFont="1" applyFill="1" applyBorder="1" applyAlignment="1">
      <alignment horizontal="center" vertical="center"/>
    </xf>
    <xf numFmtId="3" fontId="60" fillId="0" borderId="10" xfId="0" applyNumberFormat="1" applyFont="1" applyFill="1" applyBorder="1" applyAlignment="1">
      <alignment horizontal="center" vertical="center"/>
    </xf>
    <xf numFmtId="3" fontId="53" fillId="31" borderId="10" xfId="0" applyNumberFormat="1" applyFont="1" applyFill="1" applyBorder="1" applyAlignment="1">
      <alignment horizontal="center" vertical="center"/>
    </xf>
    <xf numFmtId="10" fontId="74" fillId="0" borderId="25" xfId="64" applyNumberFormat="1" applyFont="1" applyFill="1" applyBorder="1" applyAlignment="1">
      <alignment horizontal="center" vertical="center"/>
    </xf>
    <xf numFmtId="0" fontId="74" fillId="0" borderId="25" xfId="62" applyFont="1" applyFill="1" applyBorder="1" applyAlignment="1">
      <alignment horizontal="center" vertical="center"/>
    </xf>
    <xf numFmtId="4" fontId="74" fillId="0" borderId="27" xfId="65" applyNumberFormat="1" applyFont="1" applyFill="1" applyBorder="1" applyAlignment="1">
      <alignment horizontal="right" vertical="center"/>
    </xf>
    <xf numFmtId="3" fontId="74" fillId="0" borderId="46" xfId="65" applyNumberFormat="1" applyFont="1" applyFill="1" applyBorder="1" applyAlignment="1">
      <alignment horizontal="right" vertical="center"/>
    </xf>
    <xf numFmtId="0" fontId="70" fillId="0" borderId="10" xfId="0" applyFont="1" applyFill="1" applyBorder="1" applyAlignment="1">
      <alignment horizontal="left" vertical="center" wrapText="1"/>
    </xf>
    <xf numFmtId="3" fontId="12" fillId="30" borderId="10" xfId="0" applyNumberFormat="1" applyFont="1" applyFill="1" applyBorder="1" applyAlignment="1">
      <alignment horizontal="center" vertical="center"/>
    </xf>
    <xf numFmtId="0" fontId="42" fillId="0" borderId="10" xfId="0" applyFont="1" applyBorder="1"/>
    <xf numFmtId="0" fontId="7" fillId="0" borderId="10" xfId="0" applyFont="1" applyFill="1" applyBorder="1"/>
    <xf numFmtId="0" fontId="66" fillId="26" borderId="10" xfId="0" applyFont="1" applyFill="1" applyBorder="1" applyAlignment="1">
      <alignment horizontal="center" vertical="center" wrapText="1"/>
    </xf>
    <xf numFmtId="3" fontId="66" fillId="26" borderId="10" xfId="0" applyNumberFormat="1" applyFont="1" applyFill="1" applyBorder="1" applyAlignment="1">
      <alignment horizontal="center" vertical="center"/>
    </xf>
    <xf numFmtId="0" fontId="66" fillId="0" borderId="10" xfId="0" applyFont="1" applyBorder="1" applyAlignment="1">
      <alignment horizontal="center" vertical="center"/>
    </xf>
    <xf numFmtId="0" fontId="66" fillId="0" borderId="10" xfId="0" applyFont="1" applyBorder="1" applyAlignment="1">
      <alignment horizontal="center" vertical="center" wrapText="1"/>
    </xf>
    <xf numFmtId="3" fontId="66" fillId="0" borderId="10" xfId="0" applyNumberFormat="1" applyFont="1" applyBorder="1" applyAlignment="1">
      <alignment horizontal="center" vertical="center"/>
    </xf>
    <xf numFmtId="3" fontId="66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wrapText="1"/>
    </xf>
    <xf numFmtId="3" fontId="36" fillId="31" borderId="10" xfId="0" applyNumberFormat="1" applyFont="1" applyFill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10" xfId="0" applyFont="1" applyBorder="1" applyAlignment="1">
      <alignment horizontal="left" vertical="center" wrapText="1" indent="2"/>
    </xf>
    <xf numFmtId="0" fontId="13" fillId="0" borderId="10" xfId="0" applyFont="1" applyFill="1" applyBorder="1" applyAlignment="1">
      <alignment horizontal="left" vertical="center" wrapText="1" indent="2"/>
    </xf>
    <xf numFmtId="0" fontId="81" fillId="0" borderId="0" xfId="0" applyFont="1"/>
    <xf numFmtId="3" fontId="53" fillId="31" borderId="10" xfId="0" applyNumberFormat="1" applyFont="1" applyFill="1" applyBorder="1" applyAlignment="1">
      <alignment horizontal="center"/>
    </xf>
    <xf numFmtId="3" fontId="56" fillId="0" borderId="0" xfId="0" applyNumberFormat="1" applyFont="1"/>
    <xf numFmtId="3" fontId="12" fillId="0" borderId="0" xfId="0" applyNumberFormat="1" applyFont="1"/>
    <xf numFmtId="49" fontId="13" fillId="0" borderId="10" xfId="0" applyNumberFormat="1" applyFont="1" applyFill="1" applyBorder="1" applyAlignment="1">
      <alignment horizontal="left" vertical="center" wrapText="1" indent="2"/>
    </xf>
    <xf numFmtId="0" fontId="50" fillId="31" borderId="10" xfId="0" applyFont="1" applyFill="1" applyBorder="1" applyAlignment="1">
      <alignment vertical="center" wrapText="1"/>
    </xf>
    <xf numFmtId="0" fontId="49" fillId="31" borderId="10" xfId="0" applyFont="1" applyFill="1" applyBorder="1" applyAlignment="1">
      <alignment horizontal="left" vertical="center" wrapText="1" indent="2"/>
    </xf>
    <xf numFmtId="0" fontId="49" fillId="31" borderId="10" xfId="0" applyFont="1" applyFill="1" applyBorder="1" applyAlignment="1">
      <alignment horizontal="right" vertical="center" wrapText="1"/>
    </xf>
    <xf numFmtId="0" fontId="54" fillId="31" borderId="10" xfId="0" applyFont="1" applyFill="1" applyBorder="1" applyAlignment="1">
      <alignment horizontal="left" vertical="center" wrapText="1" indent="1"/>
    </xf>
    <xf numFmtId="0" fontId="82" fillId="31" borderId="10" xfId="0" applyFont="1" applyFill="1" applyBorder="1" applyAlignment="1">
      <alignment horizontal="left" vertical="center" wrapText="1" indent="2"/>
    </xf>
    <xf numFmtId="0" fontId="70" fillId="0" borderId="10" xfId="0" applyFont="1" applyFill="1" applyBorder="1" applyAlignment="1">
      <alignment horizontal="left" vertical="center" wrapText="1" indent="1"/>
    </xf>
    <xf numFmtId="0" fontId="49" fillId="31" borderId="10" xfId="0" applyFont="1" applyFill="1" applyBorder="1" applyAlignment="1">
      <alignment horizontal="left" wrapText="1" indent="2"/>
    </xf>
    <xf numFmtId="0" fontId="60" fillId="0" borderId="10" xfId="0" applyFont="1" applyFill="1" applyBorder="1" applyAlignment="1">
      <alignment horizontal="left" vertical="center" wrapText="1" indent="2"/>
    </xf>
    <xf numFmtId="0" fontId="62" fillId="0" borderId="10" xfId="0" applyFont="1" applyFill="1" applyBorder="1" applyAlignment="1">
      <alignment horizontal="left" vertical="center" wrapText="1" indent="2"/>
    </xf>
    <xf numFmtId="0" fontId="40" fillId="0" borderId="10" xfId="0" applyFont="1" applyFill="1" applyBorder="1" applyAlignment="1">
      <alignment horizontal="left" vertical="center" wrapText="1" indent="2"/>
    </xf>
    <xf numFmtId="0" fontId="12" fillId="0" borderId="41" xfId="0" applyFont="1" applyBorder="1"/>
    <xf numFmtId="0" fontId="57" fillId="27" borderId="10" xfId="0" applyFont="1" applyFill="1" applyBorder="1" applyAlignment="1">
      <alignment horizontal="center" vertical="center" wrapText="1"/>
    </xf>
    <xf numFmtId="0" fontId="5" fillId="0" borderId="0" xfId="64" applyFont="1"/>
    <xf numFmtId="0" fontId="44" fillId="0" borderId="0" xfId="64" applyFont="1"/>
    <xf numFmtId="0" fontId="15" fillId="0" borderId="0" xfId="69" applyFont="1"/>
    <xf numFmtId="0" fontId="6" fillId="0" borderId="0" xfId="64" applyFont="1" applyAlignment="1">
      <alignment horizontal="center" vertical="center"/>
    </xf>
    <xf numFmtId="0" fontId="5" fillId="0" borderId="0" xfId="64" applyFont="1" applyAlignment="1">
      <alignment vertical="center"/>
    </xf>
    <xf numFmtId="0" fontId="12" fillId="31" borderId="10" xfId="0" applyFont="1" applyFill="1" applyBorder="1" applyAlignment="1">
      <alignment vertical="center"/>
    </xf>
    <xf numFmtId="0" fontId="12" fillId="31" borderId="10" xfId="0" applyFont="1" applyFill="1" applyBorder="1" applyAlignment="1">
      <alignment wrapText="1"/>
    </xf>
    <xf numFmtId="3" fontId="12" fillId="31" borderId="10" xfId="0" applyNumberFormat="1" applyFont="1" applyFill="1" applyBorder="1" applyAlignment="1">
      <alignment horizontal="center" vertical="center"/>
    </xf>
    <xf numFmtId="0" fontId="12" fillId="31" borderId="10" xfId="0" applyFont="1" applyFill="1" applyBorder="1" applyAlignment="1">
      <alignment horizontal="center" vertical="center"/>
    </xf>
    <xf numFmtId="0" fontId="12" fillId="31" borderId="10" xfId="0" applyFont="1" applyFill="1" applyBorder="1" applyAlignment="1">
      <alignment horizontal="left" wrapText="1"/>
    </xf>
    <xf numFmtId="0" fontId="13" fillId="31" borderId="10" xfId="0" applyFont="1" applyFill="1" applyBorder="1" applyAlignment="1">
      <alignment horizontal="right" vertical="center"/>
    </xf>
    <xf numFmtId="0" fontId="13" fillId="31" borderId="10" xfId="0" applyFont="1" applyFill="1" applyBorder="1" applyAlignment="1">
      <alignment horizontal="left" wrapText="1" indent="2"/>
    </xf>
    <xf numFmtId="0" fontId="11" fillId="0" borderId="0" xfId="0" applyFont="1" applyFill="1"/>
    <xf numFmtId="0" fontId="12" fillId="0" borderId="10" xfId="0" applyFont="1" applyFill="1" applyBorder="1" applyAlignment="1">
      <alignment horizontal="left"/>
    </xf>
    <xf numFmtId="0" fontId="12" fillId="25" borderId="10" xfId="0" applyFont="1" applyFill="1" applyBorder="1" applyAlignment="1">
      <alignment horizontal="center" vertical="center" wrapText="1"/>
    </xf>
    <xf numFmtId="0" fontId="74" fillId="0" borderId="22" xfId="64" applyFont="1" applyFill="1" applyBorder="1" applyAlignment="1">
      <alignment horizontal="center" vertical="center" wrapText="1"/>
    </xf>
    <xf numFmtId="0" fontId="74" fillId="0" borderId="25" xfId="64" applyFont="1" applyFill="1" applyBorder="1" applyAlignment="1">
      <alignment horizontal="center" vertical="center" wrapText="1"/>
    </xf>
    <xf numFmtId="0" fontId="74" fillId="0" borderId="22" xfId="64" applyFont="1" applyFill="1" applyBorder="1" applyAlignment="1">
      <alignment horizontal="center" wrapText="1"/>
    </xf>
    <xf numFmtId="0" fontId="74" fillId="0" borderId="25" xfId="64" applyFont="1" applyFill="1" applyBorder="1" applyAlignment="1">
      <alignment horizontal="center" wrapText="1"/>
    </xf>
    <xf numFmtId="0" fontId="74" fillId="0" borderId="28" xfId="64" applyFont="1" applyFill="1" applyBorder="1" applyAlignment="1">
      <alignment horizontal="center" wrapText="1"/>
    </xf>
    <xf numFmtId="0" fontId="74" fillId="0" borderId="27" xfId="64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right" vertical="center"/>
    </xf>
    <xf numFmtId="0" fontId="42" fillId="27" borderId="10" xfId="59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48" fillId="0" borderId="0" xfId="0" applyFont="1" applyAlignment="1">
      <alignment wrapText="1"/>
    </xf>
    <xf numFmtId="0" fontId="83" fillId="0" borderId="0" xfId="0" applyFont="1"/>
    <xf numFmtId="0" fontId="83" fillId="0" borderId="0" xfId="0" applyFont="1" applyAlignment="1">
      <alignment vertical="center"/>
    </xf>
    <xf numFmtId="0" fontId="50" fillId="31" borderId="10" xfId="0" applyFont="1" applyFill="1" applyBorder="1" applyAlignment="1">
      <alignment horizontal="left" vertical="center" wrapText="1"/>
    </xf>
    <xf numFmtId="0" fontId="83" fillId="0" borderId="0" xfId="0" applyFont="1" applyFill="1"/>
    <xf numFmtId="0" fontId="49" fillId="31" borderId="10" xfId="0" applyFont="1" applyFill="1" applyBorder="1" applyAlignment="1">
      <alignment horizontal="right" wrapText="1"/>
    </xf>
    <xf numFmtId="0" fontId="84" fillId="31" borderId="10" xfId="0" applyFont="1" applyFill="1" applyBorder="1" applyAlignment="1">
      <alignment horizontal="right" vertical="center" wrapText="1"/>
    </xf>
    <xf numFmtId="49" fontId="49" fillId="31" borderId="10" xfId="0" applyNumberFormat="1" applyFont="1" applyFill="1" applyBorder="1" applyAlignment="1">
      <alignment horizontal="right" vertical="center" wrapText="1"/>
    </xf>
    <xf numFmtId="0" fontId="83" fillId="0" borderId="0" xfId="0" applyFont="1" applyAlignment="1">
      <alignment horizontal="left"/>
    </xf>
    <xf numFmtId="0" fontId="81" fillId="0" borderId="0" xfId="0" applyFont="1" applyBorder="1"/>
    <xf numFmtId="0" fontId="52" fillId="0" borderId="0" xfId="0" applyFont="1" applyBorder="1"/>
    <xf numFmtId="0" fontId="81" fillId="0" borderId="0" xfId="0" applyFont="1" applyFill="1" applyBorder="1"/>
    <xf numFmtId="0" fontId="81" fillId="0" borderId="0" xfId="0" applyFont="1" applyFill="1"/>
    <xf numFmtId="0" fontId="85" fillId="0" borderId="0" xfId="0" applyFont="1"/>
    <xf numFmtId="3" fontId="48" fillId="0" borderId="0" xfId="0" applyNumberFormat="1" applyFont="1" applyAlignment="1">
      <alignment horizontal="center"/>
    </xf>
    <xf numFmtId="0" fontId="50" fillId="0" borderId="0" xfId="0" applyFont="1"/>
    <xf numFmtId="3" fontId="48" fillId="0" borderId="0" xfId="0" applyNumberFormat="1" applyFont="1"/>
    <xf numFmtId="3" fontId="81" fillId="0" borderId="0" xfId="0" applyNumberFormat="1" applyFont="1"/>
    <xf numFmtId="0" fontId="11" fillId="0" borderId="0" xfId="0" applyFont="1" applyAlignment="1">
      <alignment vertical="center" wrapText="1"/>
    </xf>
    <xf numFmtId="0" fontId="13" fillId="31" borderId="10" xfId="0" applyFont="1" applyFill="1" applyBorder="1" applyAlignment="1">
      <alignment horizontal="left" vertical="center" wrapText="1" indent="2"/>
    </xf>
    <xf numFmtId="3" fontId="50" fillId="31" borderId="10" xfId="0" applyNumberFormat="1" applyFont="1" applyFill="1" applyBorder="1" applyAlignment="1">
      <alignment horizontal="center" vertical="center"/>
    </xf>
    <xf numFmtId="0" fontId="49" fillId="31" borderId="10" xfId="0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0" xfId="64" applyFont="1" applyFill="1"/>
    <xf numFmtId="0" fontId="7" fillId="0" borderId="0" xfId="64" applyFont="1" applyAlignment="1">
      <alignment vertical="center"/>
    </xf>
    <xf numFmtId="0" fontId="7" fillId="0" borderId="0" xfId="64" applyFont="1"/>
    <xf numFmtId="0" fontId="7" fillId="0" borderId="0" xfId="64" applyFont="1" applyAlignment="1">
      <alignment horizontal="right"/>
    </xf>
    <xf numFmtId="0" fontId="5" fillId="0" borderId="0" xfId="64" applyAlignment="1">
      <alignment vertical="center"/>
    </xf>
    <xf numFmtId="0" fontId="74" fillId="0" borderId="0" xfId="64" applyFont="1"/>
    <xf numFmtId="0" fontId="75" fillId="27" borderId="13" xfId="64" applyFont="1" applyFill="1" applyBorder="1" applyAlignment="1">
      <alignment horizontal="center" vertical="center"/>
    </xf>
    <xf numFmtId="0" fontId="75" fillId="27" borderId="13" xfId="64" applyFont="1" applyFill="1" applyBorder="1" applyAlignment="1">
      <alignment vertical="center"/>
    </xf>
    <xf numFmtId="0" fontId="75" fillId="27" borderId="14" xfId="64" applyFont="1" applyFill="1" applyBorder="1" applyAlignment="1">
      <alignment vertical="center"/>
    </xf>
    <xf numFmtId="0" fontId="75" fillId="27" borderId="15" xfId="64" applyFont="1" applyFill="1" applyBorder="1" applyAlignment="1">
      <alignment horizontal="center" vertical="center"/>
    </xf>
    <xf numFmtId="0" fontId="75" fillId="27" borderId="18" xfId="64" applyFont="1" applyFill="1" applyBorder="1" applyAlignment="1">
      <alignment horizontal="center" vertical="center"/>
    </xf>
    <xf numFmtId="0" fontId="75" fillId="27" borderId="19" xfId="64" applyFont="1" applyFill="1" applyBorder="1" applyAlignment="1">
      <alignment horizontal="center" vertical="center"/>
    </xf>
    <xf numFmtId="0" fontId="75" fillId="27" borderId="20" xfId="64" applyFont="1" applyFill="1" applyBorder="1" applyAlignment="1">
      <alignment horizontal="center" vertical="center"/>
    </xf>
    <xf numFmtId="10" fontId="74" fillId="0" borderId="22" xfId="70" applyNumberFormat="1" applyFont="1" applyFill="1" applyBorder="1" applyAlignment="1">
      <alignment horizontal="center" vertical="center"/>
    </xf>
    <xf numFmtId="3" fontId="74" fillId="0" borderId="22" xfId="70" applyNumberFormat="1" applyFont="1" applyFill="1" applyBorder="1"/>
    <xf numFmtId="3" fontId="74" fillId="0" borderId="45" xfId="70" applyNumberFormat="1" applyFont="1" applyFill="1" applyBorder="1"/>
    <xf numFmtId="3" fontId="74" fillId="0" borderId="25" xfId="70" applyNumberFormat="1" applyFont="1" applyFill="1" applyBorder="1"/>
    <xf numFmtId="3" fontId="74" fillId="0" borderId="46" xfId="70" applyNumberFormat="1" applyFont="1" applyFill="1" applyBorder="1"/>
    <xf numFmtId="10" fontId="74" fillId="0" borderId="27" xfId="64" applyNumberFormat="1" applyFont="1" applyFill="1" applyBorder="1" applyAlignment="1">
      <alignment horizontal="center" vertical="center"/>
    </xf>
    <xf numFmtId="3" fontId="74" fillId="0" borderId="58" xfId="64" applyNumberFormat="1" applyFont="1" applyFill="1" applyBorder="1"/>
    <xf numFmtId="3" fontId="74" fillId="0" borderId="59" xfId="64" applyNumberFormat="1" applyFont="1" applyFill="1" applyBorder="1"/>
    <xf numFmtId="10" fontId="74" fillId="0" borderId="22" xfId="64" applyNumberFormat="1" applyFont="1" applyFill="1" applyBorder="1" applyAlignment="1">
      <alignment horizontal="center" vertical="center"/>
    </xf>
    <xf numFmtId="4" fontId="74" fillId="0" borderId="45" xfId="64" applyNumberFormat="1" applyFont="1" applyFill="1" applyBorder="1"/>
    <xf numFmtId="3" fontId="74" fillId="0" borderId="46" xfId="64" applyNumberFormat="1" applyFont="1" applyFill="1" applyBorder="1"/>
    <xf numFmtId="0" fontId="5" fillId="30" borderId="0" xfId="64" applyFill="1"/>
    <xf numFmtId="4" fontId="74" fillId="0" borderId="58" xfId="64" applyNumberFormat="1" applyFont="1" applyFill="1" applyBorder="1"/>
    <xf numFmtId="3" fontId="74" fillId="0" borderId="45" xfId="64" applyNumberFormat="1" applyFont="1" applyFill="1" applyBorder="1"/>
    <xf numFmtId="4" fontId="74" fillId="0" borderId="22" xfId="70" applyNumberFormat="1" applyFont="1" applyFill="1" applyBorder="1"/>
    <xf numFmtId="4" fontId="74" fillId="0" borderId="45" xfId="70" applyNumberFormat="1" applyFont="1" applyFill="1" applyBorder="1"/>
    <xf numFmtId="0" fontId="74" fillId="0" borderId="0" xfId="64" applyFont="1" applyFill="1" applyBorder="1" applyAlignment="1"/>
    <xf numFmtId="0" fontId="74" fillId="0" borderId="25" xfId="62" applyFont="1" applyFill="1" applyBorder="1"/>
    <xf numFmtId="3" fontId="76" fillId="0" borderId="22" xfId="70" applyNumberFormat="1" applyFont="1" applyFill="1" applyBorder="1"/>
    <xf numFmtId="3" fontId="76" fillId="0" borderId="45" xfId="70" applyNumberFormat="1" applyFont="1" applyFill="1" applyBorder="1"/>
    <xf numFmtId="3" fontId="76" fillId="0" borderId="25" xfId="70" applyNumberFormat="1" applyFont="1" applyFill="1" applyBorder="1"/>
    <xf numFmtId="3" fontId="76" fillId="0" borderId="46" xfId="70" applyNumberFormat="1" applyFont="1" applyFill="1" applyBorder="1"/>
    <xf numFmtId="0" fontId="74" fillId="32" borderId="21" xfId="64" applyFont="1" applyFill="1" applyBorder="1" applyAlignment="1"/>
    <xf numFmtId="0" fontId="42" fillId="32" borderId="22" xfId="64" applyFont="1" applyFill="1" applyBorder="1" applyAlignment="1"/>
    <xf numFmtId="0" fontId="42" fillId="32" borderId="49" xfId="64" applyFont="1" applyFill="1" applyBorder="1" applyAlignment="1"/>
    <xf numFmtId="4" fontId="42" fillId="32" borderId="49" xfId="64" applyNumberFormat="1" applyFont="1" applyFill="1" applyBorder="1" applyAlignment="1"/>
    <xf numFmtId="0" fontId="42" fillId="32" borderId="50" xfId="64" applyFont="1" applyFill="1" applyBorder="1" applyAlignment="1"/>
    <xf numFmtId="167" fontId="77" fillId="32" borderId="22" xfId="64" applyNumberFormat="1" applyFont="1" applyFill="1" applyBorder="1" applyAlignment="1">
      <alignment horizontal="center"/>
    </xf>
    <xf numFmtId="4" fontId="77" fillId="32" borderId="29" xfId="64" applyNumberFormat="1" applyFont="1" applyFill="1" applyBorder="1" applyAlignment="1">
      <alignment horizontal="center"/>
    </xf>
    <xf numFmtId="4" fontId="77" fillId="32" borderId="54" xfId="64" applyNumberFormat="1" applyFont="1" applyFill="1" applyBorder="1" applyAlignment="1">
      <alignment horizontal="center"/>
    </xf>
    <xf numFmtId="0" fontId="74" fillId="32" borderId="24" xfId="64" applyFont="1" applyFill="1" applyBorder="1" applyAlignment="1">
      <alignment horizontal="left"/>
    </xf>
    <xf numFmtId="0" fontId="42" fillId="32" borderId="25" xfId="64" applyFont="1" applyFill="1" applyBorder="1" applyAlignment="1">
      <alignment horizontal="right"/>
    </xf>
    <xf numFmtId="4" fontId="77" fillId="32" borderId="25" xfId="64" applyNumberFormat="1" applyFont="1" applyFill="1" applyBorder="1" applyAlignment="1">
      <alignment horizontal="center"/>
    </xf>
    <xf numFmtId="4" fontId="77" fillId="32" borderId="26" xfId="64" applyNumberFormat="1" applyFont="1" applyFill="1" applyBorder="1" applyAlignment="1">
      <alignment horizontal="center"/>
    </xf>
    <xf numFmtId="0" fontId="77" fillId="32" borderId="37" xfId="64" applyFont="1" applyFill="1" applyBorder="1" applyAlignment="1">
      <alignment horizontal="left"/>
    </xf>
    <xf numFmtId="0" fontId="77" fillId="32" borderId="38" xfId="64" applyFont="1" applyFill="1" applyBorder="1" applyAlignment="1">
      <alignment horizontal="center"/>
    </xf>
    <xf numFmtId="4" fontId="77" fillId="32" borderId="38" xfId="64" applyNumberFormat="1" applyFont="1" applyFill="1" applyBorder="1" applyAlignment="1">
      <alignment horizontal="center" vertical="center"/>
    </xf>
    <xf numFmtId="4" fontId="77" fillId="32" borderId="55" xfId="64" applyNumberFormat="1" applyFont="1" applyFill="1" applyBorder="1" applyAlignment="1">
      <alignment horizontal="center" vertical="center"/>
    </xf>
    <xf numFmtId="0" fontId="7" fillId="33" borderId="39" xfId="64" applyFont="1" applyFill="1" applyBorder="1" applyAlignment="1"/>
    <xf numFmtId="0" fontId="42" fillId="33" borderId="41" xfId="64" applyFont="1" applyFill="1" applyBorder="1" applyAlignment="1">
      <alignment horizontal="left"/>
    </xf>
    <xf numFmtId="0" fontId="42" fillId="33" borderId="41" xfId="64" applyFont="1" applyFill="1" applyBorder="1" applyAlignment="1"/>
    <xf numFmtId="0" fontId="42" fillId="32" borderId="43" xfId="64" applyFont="1" applyFill="1" applyBorder="1" applyAlignment="1">
      <alignment horizontal="center"/>
    </xf>
    <xf numFmtId="10" fontId="78" fillId="33" borderId="44" xfId="67" applyNumberFormat="1" applyFont="1" applyFill="1" applyBorder="1" applyAlignment="1">
      <alignment horizontal="center"/>
    </xf>
    <xf numFmtId="0" fontId="7" fillId="33" borderId="62" xfId="64" applyFont="1" applyFill="1" applyBorder="1" applyAlignment="1"/>
    <xf numFmtId="3" fontId="55" fillId="33" borderId="41" xfId="64" applyNumberFormat="1" applyFont="1" applyFill="1" applyBorder="1" applyAlignment="1"/>
    <xf numFmtId="0" fontId="42" fillId="32" borderId="63" xfId="64" applyFont="1" applyFill="1" applyBorder="1" applyAlignment="1">
      <alignment horizontal="center"/>
    </xf>
    <xf numFmtId="10" fontId="77" fillId="32" borderId="64" xfId="67" applyNumberFormat="1" applyFont="1" applyFill="1" applyBorder="1" applyAlignment="1">
      <alignment horizontal="center"/>
    </xf>
    <xf numFmtId="10" fontId="77" fillId="32" borderId="65" xfId="67" applyNumberFormat="1" applyFont="1" applyFill="1" applyBorder="1" applyAlignment="1">
      <alignment horizontal="center"/>
    </xf>
    <xf numFmtId="10" fontId="78" fillId="33" borderId="66" xfId="67" applyNumberFormat="1" applyFont="1" applyFill="1" applyBorder="1" applyAlignment="1">
      <alignment horizontal="center"/>
    </xf>
    <xf numFmtId="0" fontId="76" fillId="0" borderId="0" xfId="64" applyFont="1" applyAlignment="1">
      <alignment horizontal="center"/>
    </xf>
    <xf numFmtId="4" fontId="74" fillId="0" borderId="0" xfId="64" applyNumberFormat="1" applyFont="1" applyBorder="1"/>
    <xf numFmtId="4" fontId="80" fillId="0" borderId="0" xfId="64" applyNumberFormat="1" applyFont="1"/>
    <xf numFmtId="0" fontId="76" fillId="0" borderId="0" xfId="64" applyFont="1" applyAlignment="1">
      <alignment vertical="center"/>
    </xf>
    <xf numFmtId="0" fontId="76" fillId="0" borderId="0" xfId="64" applyFont="1" applyAlignment="1">
      <alignment vertical="top"/>
    </xf>
    <xf numFmtId="4" fontId="87" fillId="0" borderId="0" xfId="64" applyNumberFormat="1" applyFont="1"/>
    <xf numFmtId="43" fontId="74" fillId="0" borderId="0" xfId="64" applyNumberFormat="1" applyFont="1"/>
    <xf numFmtId="4" fontId="75" fillId="0" borderId="10" xfId="64" applyNumberFormat="1" applyFont="1" applyBorder="1"/>
    <xf numFmtId="4" fontId="75" fillId="0" borderId="67" xfId="64" applyNumberFormat="1" applyFont="1" applyBorder="1"/>
    <xf numFmtId="0" fontId="5" fillId="0" borderId="0" xfId="64" applyFill="1" applyBorder="1"/>
    <xf numFmtId="0" fontId="5" fillId="0" borderId="0" xfId="64" applyAlignment="1"/>
    <xf numFmtId="0" fontId="44" fillId="0" borderId="0" xfId="64" applyFont="1" applyAlignment="1"/>
    <xf numFmtId="0" fontId="80" fillId="0" borderId="0" xfId="64" applyFont="1"/>
    <xf numFmtId="167" fontId="80" fillId="0" borderId="0" xfId="64" applyNumberFormat="1" applyFont="1"/>
    <xf numFmtId="0" fontId="42" fillId="0" borderId="0" xfId="64" applyFont="1" applyAlignment="1"/>
    <xf numFmtId="166" fontId="74" fillId="0" borderId="25" xfId="64" applyNumberFormat="1" applyFont="1" applyFill="1" applyBorder="1" applyAlignment="1">
      <alignment horizontal="center"/>
    </xf>
    <xf numFmtId="4" fontId="74" fillId="0" borderId="46" xfId="64" applyNumberFormat="1" applyFont="1" applyFill="1" applyBorder="1"/>
    <xf numFmtId="0" fontId="74" fillId="32" borderId="57" xfId="64" applyFont="1" applyFill="1" applyBorder="1" applyAlignment="1"/>
    <xf numFmtId="167" fontId="77" fillId="32" borderId="27" xfId="64" applyNumberFormat="1" applyFont="1" applyFill="1" applyBorder="1" applyAlignment="1">
      <alignment horizontal="center"/>
    </xf>
    <xf numFmtId="4" fontId="77" fillId="32" borderId="27" xfId="64" applyNumberFormat="1" applyFont="1" applyFill="1" applyBorder="1" applyAlignment="1">
      <alignment horizontal="center" vertical="center"/>
    </xf>
    <xf numFmtId="4" fontId="77" fillId="32" borderId="23" xfId="64" applyNumberFormat="1" applyFont="1" applyFill="1" applyBorder="1" applyAlignment="1">
      <alignment horizontal="center" vertical="center"/>
    </xf>
    <xf numFmtId="0" fontId="74" fillId="32" borderId="34" xfId="64" applyFont="1" applyFill="1" applyBorder="1" applyAlignment="1">
      <alignment horizontal="center"/>
    </xf>
    <xf numFmtId="0" fontId="42" fillId="32" borderId="35" xfId="64" applyFont="1" applyFill="1" applyBorder="1" applyAlignment="1">
      <alignment horizontal="center"/>
    </xf>
    <xf numFmtId="4" fontId="77" fillId="32" borderId="35" xfId="64" applyNumberFormat="1" applyFont="1" applyFill="1" applyBorder="1" applyAlignment="1">
      <alignment horizontal="center" vertical="center"/>
    </xf>
    <xf numFmtId="4" fontId="77" fillId="32" borderId="36" xfId="64" applyNumberFormat="1" applyFont="1" applyFill="1" applyBorder="1" applyAlignment="1">
      <alignment horizontal="center" vertical="center"/>
    </xf>
    <xf numFmtId="0" fontId="77" fillId="32" borderId="51" xfId="64" applyFont="1" applyFill="1" applyBorder="1" applyAlignment="1">
      <alignment horizontal="center"/>
    </xf>
    <xf numFmtId="0" fontId="77" fillId="32" borderId="52" xfId="64" applyFont="1" applyFill="1" applyBorder="1" applyAlignment="1">
      <alignment horizontal="center"/>
    </xf>
    <xf numFmtId="4" fontId="77" fillId="32" borderId="52" xfId="64" applyNumberFormat="1" applyFont="1" applyFill="1" applyBorder="1" applyAlignment="1">
      <alignment horizontal="center" vertical="center"/>
    </xf>
    <xf numFmtId="4" fontId="77" fillId="32" borderId="53" xfId="64" applyNumberFormat="1" applyFont="1" applyFill="1" applyBorder="1" applyAlignment="1">
      <alignment horizontal="center" vertical="center"/>
    </xf>
    <xf numFmtId="0" fontId="77" fillId="0" borderId="0" xfId="64" applyFont="1" applyFill="1" applyBorder="1" applyAlignment="1">
      <alignment horizontal="center"/>
    </xf>
    <xf numFmtId="167" fontId="77" fillId="0" borderId="0" xfId="64" applyNumberFormat="1" applyFont="1" applyFill="1" applyBorder="1" applyAlignment="1">
      <alignment horizontal="left"/>
    </xf>
    <xf numFmtId="0" fontId="77" fillId="0" borderId="0" xfId="64" applyFont="1" applyFill="1" applyBorder="1" applyAlignment="1">
      <alignment horizontal="left"/>
    </xf>
    <xf numFmtId="4" fontId="77" fillId="0" borderId="0" xfId="64" applyNumberFormat="1" applyFont="1" applyFill="1" applyBorder="1" applyAlignment="1">
      <alignment horizontal="center" vertical="center"/>
    </xf>
    <xf numFmtId="0" fontId="78" fillId="0" borderId="0" xfId="64" applyFont="1" applyAlignment="1">
      <alignment horizontal="right"/>
    </xf>
    <xf numFmtId="4" fontId="5" fillId="0" borderId="0" xfId="64" applyNumberFormat="1"/>
    <xf numFmtId="0" fontId="44" fillId="0" borderId="0" xfId="64" applyFont="1" applyAlignment="1">
      <alignment vertical="center"/>
    </xf>
    <xf numFmtId="4" fontId="77" fillId="32" borderId="22" xfId="64" applyNumberFormat="1" applyFont="1" applyFill="1" applyBorder="1" applyAlignment="1">
      <alignment horizontal="center" vertical="center"/>
    </xf>
    <xf numFmtId="4" fontId="77" fillId="32" borderId="54" xfId="64" applyNumberFormat="1" applyFont="1" applyFill="1" applyBorder="1" applyAlignment="1">
      <alignment horizontal="center" vertical="center"/>
    </xf>
    <xf numFmtId="0" fontId="42" fillId="33" borderId="35" xfId="64" applyFont="1" applyFill="1" applyBorder="1" applyAlignment="1">
      <alignment horizontal="center"/>
    </xf>
    <xf numFmtId="0" fontId="77" fillId="32" borderId="37" xfId="64" applyFont="1" applyFill="1" applyBorder="1" applyAlignment="1">
      <alignment horizontal="center"/>
    </xf>
    <xf numFmtId="10" fontId="77" fillId="33" borderId="64" xfId="71" applyNumberFormat="1" applyFont="1" applyFill="1" applyBorder="1" applyAlignment="1">
      <alignment horizontal="center" vertical="center"/>
    </xf>
    <xf numFmtId="10" fontId="77" fillId="33" borderId="65" xfId="71" applyNumberFormat="1" applyFont="1" applyFill="1" applyBorder="1" applyAlignment="1">
      <alignment horizontal="center" vertical="center"/>
    </xf>
    <xf numFmtId="0" fontId="77" fillId="33" borderId="66" xfId="64" applyFont="1" applyFill="1" applyBorder="1" applyAlignment="1">
      <alignment horizontal="center" vertical="center"/>
    </xf>
    <xf numFmtId="0" fontId="6" fillId="0" borderId="0" xfId="64" applyFont="1" applyBorder="1" applyAlignment="1">
      <alignment wrapText="1"/>
    </xf>
    <xf numFmtId="0" fontId="8" fillId="0" borderId="0" xfId="64" applyFont="1" applyBorder="1"/>
    <xf numFmtId="0" fontId="8" fillId="0" borderId="0" xfId="64" applyFont="1" applyAlignment="1">
      <alignment horizontal="right"/>
    </xf>
    <xf numFmtId="0" fontId="11" fillId="0" borderId="0" xfId="64" applyFont="1"/>
    <xf numFmtId="0" fontId="40" fillId="0" borderId="0" xfId="64" applyFont="1"/>
    <xf numFmtId="3" fontId="11" fillId="0" borderId="0" xfId="64" applyNumberFormat="1" applyFont="1"/>
    <xf numFmtId="4" fontId="74" fillId="34" borderId="0" xfId="64" applyNumberFormat="1" applyFont="1" applyFill="1" applyBorder="1"/>
    <xf numFmtId="4" fontId="74" fillId="34" borderId="22" xfId="70" applyNumberFormat="1" applyFont="1" applyFill="1" applyBorder="1"/>
    <xf numFmtId="0" fontId="51" fillId="0" borderId="0" xfId="59" applyFont="1" applyAlignment="1">
      <alignment horizontal="right" vertical="center"/>
    </xf>
    <xf numFmtId="3" fontId="60" fillId="31" borderId="10" xfId="0" applyNumberFormat="1" applyFont="1" applyFill="1" applyBorder="1" applyAlignment="1">
      <alignment horizontal="center" vertical="center"/>
    </xf>
    <xf numFmtId="0" fontId="12" fillId="31" borderId="10" xfId="0" applyFont="1" applyFill="1" applyBorder="1"/>
    <xf numFmtId="0" fontId="13" fillId="0" borderId="41" xfId="0" applyFont="1" applyFill="1" applyBorder="1" applyAlignment="1">
      <alignment horizontal="left" wrapText="1" indent="2"/>
    </xf>
    <xf numFmtId="0" fontId="8" fillId="0" borderId="0" xfId="0" applyFont="1" applyAlignment="1">
      <alignment horizontal="left"/>
    </xf>
    <xf numFmtId="0" fontId="9" fillId="0" borderId="0" xfId="59" applyFont="1" applyFill="1" applyBorder="1" applyAlignment="1">
      <alignment horizontal="left" wrapText="1"/>
    </xf>
    <xf numFmtId="0" fontId="52" fillId="0" borderId="0" xfId="59" applyFont="1"/>
    <xf numFmtId="0" fontId="52" fillId="0" borderId="0" xfId="59" applyFont="1" applyAlignment="1">
      <alignment wrapText="1"/>
    </xf>
    <xf numFmtId="0" fontId="56" fillId="0" borderId="0" xfId="59" applyFont="1" applyAlignment="1">
      <alignment horizontal="center" vertical="center" wrapText="1"/>
    </xf>
    <xf numFmtId="0" fontId="7" fillId="0" borderId="0" xfId="59" applyFont="1" applyAlignment="1">
      <alignment vertical="center"/>
    </xf>
    <xf numFmtId="0" fontId="51" fillId="0" borderId="0" xfId="59" applyFont="1" applyAlignment="1">
      <alignment vertical="center"/>
    </xf>
    <xf numFmtId="0" fontId="6" fillId="0" borderId="0" xfId="59" applyFont="1" applyFill="1" applyBorder="1" applyAlignment="1">
      <alignment vertical="center"/>
    </xf>
    <xf numFmtId="0" fontId="52" fillId="0" borderId="0" xfId="59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59" applyFont="1" applyFill="1" applyBorder="1" applyAlignment="1">
      <alignment horizontal="left" vertical="center" wrapText="1"/>
    </xf>
    <xf numFmtId="3" fontId="9" fillId="0" borderId="0" xfId="59" applyNumberFormat="1" applyFont="1" applyFill="1" applyBorder="1" applyAlignment="1">
      <alignment vertical="center"/>
    </xf>
    <xf numFmtId="0" fontId="6" fillId="0" borderId="0" xfId="59" applyFont="1" applyAlignment="1">
      <alignment vertical="center"/>
    </xf>
    <xf numFmtId="0" fontId="6" fillId="0" borderId="0" xfId="59" applyFont="1" applyAlignment="1">
      <alignment horizontal="right" vertical="center"/>
    </xf>
    <xf numFmtId="0" fontId="12" fillId="26" borderId="10" xfId="0" applyFont="1" applyFill="1" applyBorder="1" applyAlignment="1">
      <alignment vertical="center" wrapText="1"/>
    </xf>
    <xf numFmtId="0" fontId="12" fillId="26" borderId="10" xfId="0" applyFont="1" applyFill="1" applyBorder="1" applyAlignment="1">
      <alignment wrapText="1"/>
    </xf>
    <xf numFmtId="3" fontId="12" fillId="26" borderId="10" xfId="59" applyNumberFormat="1" applyFont="1" applyFill="1" applyBorder="1" applyAlignment="1">
      <alignment vertical="center" wrapText="1"/>
    </xf>
    <xf numFmtId="3" fontId="13" fillId="0" borderId="10" xfId="59" applyNumberFormat="1" applyFont="1" applyBorder="1" applyAlignment="1">
      <alignment horizontal="center" vertical="center"/>
    </xf>
    <xf numFmtId="3" fontId="36" fillId="0" borderId="10" xfId="59" applyNumberFormat="1" applyFont="1" applyBorder="1" applyAlignment="1">
      <alignment vertical="center" wrapText="1"/>
    </xf>
    <xf numFmtId="3" fontId="12" fillId="26" borderId="10" xfId="59" applyNumberFormat="1" applyFont="1" applyFill="1" applyBorder="1" applyAlignment="1">
      <alignment horizontal="center" vertical="center"/>
    </xf>
    <xf numFmtId="0" fontId="6" fillId="27" borderId="10" xfId="59" applyFont="1" applyFill="1" applyBorder="1" applyAlignment="1">
      <alignment vertical="center"/>
    </xf>
    <xf numFmtId="0" fontId="9" fillId="27" borderId="10" xfId="59" applyFont="1" applyFill="1" applyBorder="1" applyAlignment="1">
      <alignment horizontal="right" wrapText="1"/>
    </xf>
    <xf numFmtId="3" fontId="9" fillId="27" borderId="10" xfId="59" applyNumberFormat="1" applyFont="1" applyFill="1" applyBorder="1" applyAlignment="1">
      <alignment vertical="center"/>
    </xf>
    <xf numFmtId="0" fontId="11" fillId="0" borderId="10" xfId="59" applyFont="1" applyBorder="1" applyAlignment="1">
      <alignment vertical="center"/>
    </xf>
    <xf numFmtId="3" fontId="11" fillId="0" borderId="10" xfId="59" applyNumberFormat="1" applyFont="1" applyBorder="1" applyAlignment="1">
      <alignment vertical="center"/>
    </xf>
    <xf numFmtId="0" fontId="0" fillId="0" borderId="0" xfId="0" applyAlignment="1">
      <alignment horizontal="right" vertical="top" wrapText="1"/>
    </xf>
    <xf numFmtId="0" fontId="6" fillId="29" borderId="0" xfId="64" applyFont="1" applyFill="1" applyAlignment="1">
      <alignment horizontal="right" vertical="top" wrapText="1"/>
    </xf>
    <xf numFmtId="0" fontId="11" fillId="29" borderId="0" xfId="64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1" fillId="29" borderId="0" xfId="64" applyNumberFormat="1" applyFont="1" applyFill="1" applyAlignment="1">
      <alignment horizontal="right" vertical="top" wrapText="1"/>
    </xf>
    <xf numFmtId="0" fontId="5" fillId="28" borderId="0" xfId="64" applyFont="1" applyFill="1"/>
    <xf numFmtId="0" fontId="43" fillId="28" borderId="0" xfId="64" applyFont="1" applyFill="1"/>
    <xf numFmtId="0" fontId="73" fillId="28" borderId="0" xfId="64" applyFont="1" applyFill="1"/>
    <xf numFmtId="0" fontId="36" fillId="28" borderId="0" xfId="64" applyFont="1" applyFill="1" applyAlignment="1">
      <alignment horizontal="left" vertical="top" wrapText="1"/>
    </xf>
    <xf numFmtId="0" fontId="73" fillId="28" borderId="0" xfId="0" applyFont="1" applyFill="1" applyAlignment="1">
      <alignment horizontal="left" vertical="top" wrapText="1"/>
    </xf>
    <xf numFmtId="3" fontId="36" fillId="28" borderId="0" xfId="64" applyNumberFormat="1" applyFont="1" applyFill="1" applyAlignment="1">
      <alignment horizontal="right" vertical="top" wrapText="1"/>
    </xf>
    <xf numFmtId="0" fontId="73" fillId="28" borderId="0" xfId="0" applyFont="1" applyFill="1" applyAlignment="1">
      <alignment horizontal="right" vertical="top" wrapText="1"/>
    </xf>
    <xf numFmtId="0" fontId="74" fillId="0" borderId="27" xfId="64" applyFont="1" applyFill="1" applyBorder="1" applyAlignment="1">
      <alignment horizontal="center" vertical="center" wrapText="1"/>
    </xf>
    <xf numFmtId="0" fontId="74" fillId="0" borderId="28" xfId="62" applyFont="1" applyFill="1" applyBorder="1" applyAlignment="1">
      <alignment horizontal="center" vertical="center"/>
    </xf>
    <xf numFmtId="10" fontId="74" fillId="0" borderId="28" xfId="64" applyNumberFormat="1" applyFont="1" applyFill="1" applyBorder="1" applyAlignment="1">
      <alignment horizontal="center" vertical="center"/>
    </xf>
    <xf numFmtId="3" fontId="74" fillId="0" borderId="28" xfId="70" applyNumberFormat="1" applyFont="1" applyFill="1" applyBorder="1"/>
    <xf numFmtId="3" fontId="74" fillId="0" borderId="59" xfId="70" applyNumberFormat="1" applyFont="1" applyFill="1" applyBorder="1"/>
    <xf numFmtId="4" fontId="74" fillId="28" borderId="71" xfId="64" applyNumberFormat="1" applyFont="1" applyFill="1" applyBorder="1"/>
    <xf numFmtId="10" fontId="74" fillId="0" borderId="27" xfId="70" applyNumberFormat="1" applyFont="1" applyFill="1" applyBorder="1" applyAlignment="1">
      <alignment horizontal="center" vertical="center"/>
    </xf>
    <xf numFmtId="4" fontId="74" fillId="34" borderId="27" xfId="70" applyNumberFormat="1" applyFont="1" applyFill="1" applyBorder="1"/>
    <xf numFmtId="4" fontId="74" fillId="0" borderId="27" xfId="70" applyNumberFormat="1" applyFont="1" applyFill="1" applyBorder="1"/>
    <xf numFmtId="3" fontId="74" fillId="0" borderId="27" xfId="70" applyNumberFormat="1" applyFont="1" applyFill="1" applyBorder="1"/>
    <xf numFmtId="3" fontId="74" fillId="0" borderId="58" xfId="70" applyNumberFormat="1" applyFont="1" applyFill="1" applyBorder="1"/>
    <xf numFmtId="4" fontId="74" fillId="28" borderId="72" xfId="64" applyNumberFormat="1" applyFont="1" applyFill="1" applyBorder="1"/>
    <xf numFmtId="0" fontId="74" fillId="0" borderId="74" xfId="64" applyFont="1" applyFill="1" applyBorder="1" applyAlignment="1">
      <alignment horizontal="center" vertical="center" wrapText="1"/>
    </xf>
    <xf numFmtId="10" fontId="74" fillId="0" borderId="74" xfId="70" applyNumberFormat="1" applyFont="1" applyFill="1" applyBorder="1" applyAlignment="1">
      <alignment horizontal="center" vertical="center"/>
    </xf>
    <xf numFmtId="3" fontId="74" fillId="0" borderId="74" xfId="70" applyNumberFormat="1" applyFont="1" applyFill="1" applyBorder="1"/>
    <xf numFmtId="4" fontId="74" fillId="0" borderId="74" xfId="70" applyNumberFormat="1" applyFont="1" applyFill="1" applyBorder="1"/>
    <xf numFmtId="4" fontId="74" fillId="28" borderId="75" xfId="64" applyNumberFormat="1" applyFont="1" applyFill="1" applyBorder="1"/>
    <xf numFmtId="0" fontId="74" fillId="0" borderId="32" xfId="62" applyFont="1" applyFill="1" applyBorder="1" applyAlignment="1">
      <alignment horizontal="center" vertical="center"/>
    </xf>
    <xf numFmtId="10" fontId="74" fillId="0" borderId="32" xfId="64" applyNumberFormat="1" applyFont="1" applyFill="1" applyBorder="1" applyAlignment="1">
      <alignment horizontal="center" vertical="center"/>
    </xf>
    <xf numFmtId="3" fontId="74" fillId="0" borderId="32" xfId="70" applyNumberFormat="1" applyFont="1" applyFill="1" applyBorder="1"/>
    <xf numFmtId="4" fontId="74" fillId="28" borderId="77" xfId="64" applyNumberFormat="1" applyFont="1" applyFill="1" applyBorder="1"/>
    <xf numFmtId="0" fontId="6" fillId="0" borderId="0" xfId="64" applyFont="1" applyFill="1" applyAlignment="1">
      <alignment horizontal="right"/>
    </xf>
    <xf numFmtId="0" fontId="11" fillId="0" borderId="0" xfId="64" applyFont="1" applyFill="1" applyBorder="1" applyAlignment="1">
      <alignment horizontal="right"/>
    </xf>
    <xf numFmtId="0" fontId="89" fillId="0" borderId="0" xfId="64" applyFont="1" applyAlignment="1">
      <alignment vertical="center" wrapText="1"/>
    </xf>
    <xf numFmtId="0" fontId="90" fillId="0" borderId="0" xfId="64" applyFont="1"/>
    <xf numFmtId="0" fontId="90" fillId="0" borderId="0" xfId="64" applyFont="1" applyAlignment="1">
      <alignment horizontal="right"/>
    </xf>
    <xf numFmtId="0" fontId="9" fillId="26" borderId="0" xfId="64" applyFont="1" applyFill="1" applyAlignment="1">
      <alignment horizontal="center"/>
    </xf>
    <xf numFmtId="0" fontId="91" fillId="0" borderId="0" xfId="64" applyFont="1"/>
    <xf numFmtId="0" fontId="6" fillId="0" borderId="0" xfId="64" applyFont="1"/>
    <xf numFmtId="0" fontId="6" fillId="0" borderId="0" xfId="64" applyFont="1" applyAlignment="1">
      <alignment horizontal="right"/>
    </xf>
    <xf numFmtId="3" fontId="5" fillId="0" borderId="0" xfId="64" applyNumberFormat="1"/>
    <xf numFmtId="0" fontId="88" fillId="27" borderId="10" xfId="64" applyFont="1" applyFill="1" applyBorder="1" applyAlignment="1">
      <alignment horizontal="center" vertical="center"/>
    </xf>
    <xf numFmtId="0" fontId="89" fillId="27" borderId="10" xfId="64" applyFont="1" applyFill="1" applyBorder="1" applyAlignment="1">
      <alignment horizontal="center" vertical="center"/>
    </xf>
    <xf numFmtId="0" fontId="9" fillId="27" borderId="78" xfId="64" applyFont="1" applyFill="1" applyBorder="1" applyAlignment="1">
      <alignment horizontal="center" vertical="center"/>
    </xf>
    <xf numFmtId="0" fontId="88" fillId="26" borderId="10" xfId="64" applyFont="1" applyFill="1" applyBorder="1" applyAlignment="1">
      <alignment horizontal="center" vertical="center" wrapText="1"/>
    </xf>
    <xf numFmtId="3" fontId="9" fillId="26" borderId="10" xfId="64" applyNumberFormat="1" applyFont="1" applyFill="1" applyBorder="1"/>
    <xf numFmtId="0" fontId="89" fillId="0" borderId="10" xfId="64" applyFont="1" applyBorder="1"/>
    <xf numFmtId="0" fontId="89" fillId="0" borderId="10" xfId="64" applyFont="1" applyBorder="1" applyAlignment="1">
      <alignment vertical="center" wrapText="1"/>
    </xf>
    <xf numFmtId="3" fontId="6" fillId="0" borderId="10" xfId="64" applyNumberFormat="1" applyFont="1" applyBorder="1" applyAlignment="1">
      <alignment horizontal="right" vertical="center" wrapText="1"/>
    </xf>
    <xf numFmtId="3" fontId="6" fillId="0" borderId="10" xfId="64" applyNumberFormat="1" applyFont="1" applyFill="1" applyBorder="1" applyAlignment="1">
      <alignment horizontal="right" vertical="center"/>
    </xf>
    <xf numFmtId="0" fontId="88" fillId="26" borderId="10" xfId="64" applyFont="1" applyFill="1" applyBorder="1" applyAlignment="1">
      <alignment horizontal="center"/>
    </xf>
    <xf numFmtId="3" fontId="9" fillId="26" borderId="10" xfId="64" applyNumberFormat="1" applyFont="1" applyFill="1" applyBorder="1" applyAlignment="1">
      <alignment horizontal="right" vertical="center" wrapText="1"/>
    </xf>
    <xf numFmtId="0" fontId="89" fillId="0" borderId="10" xfId="64" applyFont="1" applyBorder="1" applyAlignment="1">
      <alignment vertical="center"/>
    </xf>
    <xf numFmtId="3" fontId="6" fillId="0" borderId="10" xfId="64" applyNumberFormat="1" applyFont="1" applyFill="1" applyBorder="1" applyAlignment="1">
      <alignment horizontal="right" vertical="center" wrapText="1"/>
    </xf>
    <xf numFmtId="3" fontId="6" fillId="0" borderId="10" xfId="64" applyNumberFormat="1" applyFont="1" applyFill="1" applyBorder="1" applyAlignment="1">
      <alignment horizontal="right"/>
    </xf>
    <xf numFmtId="0" fontId="89" fillId="0" borderId="10" xfId="64" applyFont="1" applyFill="1" applyBorder="1" applyAlignment="1">
      <alignment vertical="center" wrapText="1"/>
    </xf>
    <xf numFmtId="3" fontId="6" fillId="0" borderId="10" xfId="64" applyNumberFormat="1" applyFont="1" applyBorder="1"/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11" fillId="29" borderId="0" xfId="64" applyFont="1" applyFill="1" applyAlignment="1">
      <alignment horizontal="left" vertical="top" wrapText="1"/>
    </xf>
    <xf numFmtId="3" fontId="11" fillId="29" borderId="0" xfId="64" applyNumberFormat="1" applyFont="1" applyFill="1" applyAlignment="1">
      <alignment horizontal="right" vertical="top" wrapText="1"/>
    </xf>
    <xf numFmtId="3" fontId="42" fillId="33" borderId="42" xfId="64" applyNumberFormat="1" applyFont="1" applyFill="1" applyBorder="1" applyAlignment="1"/>
    <xf numFmtId="3" fontId="42" fillId="33" borderId="42" xfId="64" applyNumberFormat="1" applyFont="1" applyFill="1" applyBorder="1" applyAlignment="1">
      <alignment horizontal="center"/>
    </xf>
    <xf numFmtId="0" fontId="76" fillId="0" borderId="22" xfId="64" applyFont="1" applyFill="1" applyBorder="1" applyAlignment="1">
      <alignment horizontal="center" vertical="center" wrapText="1"/>
    </xf>
    <xf numFmtId="0" fontId="76" fillId="0" borderId="25" xfId="64" applyFont="1" applyFill="1" applyBorder="1" applyAlignment="1">
      <alignment horizontal="center" vertical="center" wrapText="1"/>
    </xf>
    <xf numFmtId="0" fontId="76" fillId="0" borderId="22" xfId="64" applyFont="1" applyFill="1" applyBorder="1" applyAlignment="1">
      <alignment horizontal="center" wrapText="1"/>
    </xf>
    <xf numFmtId="10" fontId="76" fillId="0" borderId="22" xfId="64" applyNumberFormat="1" applyFont="1" applyFill="1" applyBorder="1" applyAlignment="1">
      <alignment horizontal="center"/>
    </xf>
    <xf numFmtId="0" fontId="76" fillId="0" borderId="25" xfId="64" applyFont="1" applyFill="1" applyBorder="1" applyAlignment="1">
      <alignment horizontal="center" wrapText="1"/>
    </xf>
    <xf numFmtId="166" fontId="76" fillId="0" borderId="25" xfId="64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12" fillId="24" borderId="10" xfId="0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25" borderId="10" xfId="0" applyFont="1" applyFill="1" applyBorder="1" applyAlignment="1">
      <alignment horizontal="center" vertical="center"/>
    </xf>
    <xf numFmtId="0" fontId="58" fillId="25" borderId="10" xfId="0" applyFont="1" applyFill="1" applyBorder="1" applyAlignment="1">
      <alignment horizontal="center" vertical="center"/>
    </xf>
    <xf numFmtId="0" fontId="12" fillId="25" borderId="10" xfId="0" applyFont="1" applyFill="1" applyBorder="1" applyAlignment="1">
      <alignment horizontal="center" vertical="center" wrapText="1"/>
    </xf>
    <xf numFmtId="0" fontId="58" fillId="25" borderId="10" xfId="0" applyFont="1" applyFill="1" applyBorder="1" applyAlignment="1">
      <alignment vertical="center"/>
    </xf>
    <xf numFmtId="0" fontId="58" fillId="25" borderId="10" xfId="0" applyFont="1" applyFill="1" applyBorder="1" applyAlignment="1">
      <alignment horizontal="center" vertical="center" wrapText="1"/>
    </xf>
    <xf numFmtId="0" fontId="6" fillId="29" borderId="0" xfId="64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9" fillId="29" borderId="0" xfId="64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9" fillId="29" borderId="10" xfId="64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29" borderId="10" xfId="64" applyFont="1" applyFill="1" applyBorder="1" applyAlignment="1">
      <alignment horizontal="center" vertical="center"/>
    </xf>
    <xf numFmtId="0" fontId="72" fillId="28" borderId="0" xfId="64" applyFont="1" applyFill="1" applyAlignment="1">
      <alignment horizontal="left" vertical="top" wrapText="1"/>
    </xf>
    <xf numFmtId="0" fontId="0" fillId="28" borderId="0" xfId="0" applyFill="1" applyAlignment="1">
      <alignment horizontal="left" vertical="top" wrapText="1"/>
    </xf>
    <xf numFmtId="0" fontId="9" fillId="29" borderId="0" xfId="64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29" borderId="0" xfId="64" applyFont="1" applyFill="1" applyAlignment="1">
      <alignment horizontal="left" vertical="top" wrapText="1"/>
    </xf>
    <xf numFmtId="3" fontId="12" fillId="29" borderId="0" xfId="64" applyNumberFormat="1" applyFont="1" applyFill="1" applyAlignment="1">
      <alignment horizontal="right" vertical="top" wrapText="1"/>
    </xf>
    <xf numFmtId="0" fontId="11" fillId="29" borderId="0" xfId="64" applyFont="1" applyFill="1" applyAlignment="1">
      <alignment horizontal="left" vertical="top" wrapText="1"/>
    </xf>
    <xf numFmtId="3" fontId="11" fillId="29" borderId="0" xfId="64" applyNumberFormat="1" applyFont="1" applyFill="1" applyAlignment="1">
      <alignment horizontal="right" vertical="top" wrapText="1"/>
    </xf>
    <xf numFmtId="0" fontId="36" fillId="28" borderId="0" xfId="64" applyFont="1" applyFill="1" applyAlignment="1">
      <alignment horizontal="left" vertical="top" wrapText="1"/>
    </xf>
    <xf numFmtId="3" fontId="36" fillId="28" borderId="0" xfId="64" applyNumberFormat="1" applyFont="1" applyFill="1" applyAlignment="1">
      <alignment horizontal="right" vertical="top" wrapText="1"/>
    </xf>
    <xf numFmtId="0" fontId="0" fillId="28" borderId="0" xfId="0" applyFill="1" applyAlignment="1">
      <alignment horizontal="right" vertical="top" wrapText="1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right" vertical="top" wrapText="1"/>
    </xf>
    <xf numFmtId="0" fontId="73" fillId="28" borderId="0" xfId="0" applyFont="1" applyFill="1" applyAlignment="1">
      <alignment horizontal="left" vertical="top" wrapText="1"/>
    </xf>
    <xf numFmtId="0" fontId="73" fillId="28" borderId="0" xfId="0" applyFont="1" applyFill="1" applyAlignment="1">
      <alignment horizontal="right" vertical="top" wrapText="1"/>
    </xf>
    <xf numFmtId="0" fontId="43" fillId="28" borderId="0" xfId="0" applyFont="1" applyFill="1" applyAlignment="1">
      <alignment horizontal="left" vertical="top" wrapText="1"/>
    </xf>
    <xf numFmtId="0" fontId="7" fillId="29" borderId="0" xfId="64" applyFont="1" applyFill="1" applyAlignment="1">
      <alignment horizontal="right" vertical="top" wrapText="1"/>
    </xf>
    <xf numFmtId="0" fontId="42" fillId="33" borderId="40" xfId="64" applyFont="1" applyFill="1" applyBorder="1" applyAlignment="1">
      <alignment horizontal="left"/>
    </xf>
    <xf numFmtId="0" fontId="42" fillId="33" borderId="41" xfId="64" applyFont="1" applyFill="1" applyBorder="1" applyAlignment="1">
      <alignment horizontal="left"/>
    </xf>
    <xf numFmtId="167" fontId="77" fillId="32" borderId="52" xfId="64" applyNumberFormat="1" applyFont="1" applyFill="1" applyBorder="1" applyAlignment="1">
      <alignment horizontal="left"/>
    </xf>
    <xf numFmtId="0" fontId="77" fillId="32" borderId="52" xfId="64" applyFont="1" applyFill="1" applyBorder="1" applyAlignment="1">
      <alignment horizontal="left"/>
    </xf>
    <xf numFmtId="0" fontId="78" fillId="0" borderId="0" xfId="64" applyFont="1" applyAlignment="1">
      <alignment horizontal="right"/>
    </xf>
    <xf numFmtId="0" fontId="42" fillId="32" borderId="22" xfId="64" applyFont="1" applyFill="1" applyBorder="1" applyAlignment="1">
      <alignment horizontal="left"/>
    </xf>
    <xf numFmtId="0" fontId="42" fillId="32" borderId="49" xfId="64" applyFont="1" applyFill="1" applyBorder="1" applyAlignment="1">
      <alignment horizontal="left"/>
    </xf>
    <xf numFmtId="0" fontId="42" fillId="32" borderId="50" xfId="64" applyFont="1" applyFill="1" applyBorder="1" applyAlignment="1">
      <alignment horizontal="left"/>
    </xf>
    <xf numFmtId="167" fontId="42" fillId="32" borderId="35" xfId="64" applyNumberFormat="1" applyFont="1" applyFill="1" applyBorder="1" applyAlignment="1">
      <alignment horizontal="left"/>
    </xf>
    <xf numFmtId="167" fontId="77" fillId="32" borderId="38" xfId="64" applyNumberFormat="1" applyFont="1" applyFill="1" applyBorder="1" applyAlignment="1">
      <alignment horizontal="left"/>
    </xf>
    <xf numFmtId="0" fontId="77" fillId="32" borderId="38" xfId="64" applyFont="1" applyFill="1" applyBorder="1" applyAlignment="1">
      <alignment horizontal="left"/>
    </xf>
    <xf numFmtId="0" fontId="74" fillId="0" borderId="47" xfId="64" applyFont="1" applyFill="1" applyBorder="1" applyAlignment="1">
      <alignment horizontal="center"/>
    </xf>
    <xf numFmtId="0" fontId="74" fillId="0" borderId="48" xfId="64" applyFont="1" applyFill="1" applyBorder="1" applyAlignment="1">
      <alignment horizontal="center"/>
    </xf>
    <xf numFmtId="3" fontId="74" fillId="0" borderId="22" xfId="64" applyNumberFormat="1" applyFont="1" applyFill="1" applyBorder="1" applyAlignment="1">
      <alignment horizontal="center" vertical="center" wrapText="1"/>
    </xf>
    <xf numFmtId="0" fontId="74" fillId="0" borderId="25" xfId="64" applyFont="1" applyFill="1" applyBorder="1" applyAlignment="1">
      <alignment horizontal="center" vertical="center" wrapText="1"/>
    </xf>
    <xf numFmtId="168" fontId="74" fillId="0" borderId="22" xfId="65" applyNumberFormat="1" applyFont="1" applyFill="1" applyBorder="1" applyAlignment="1">
      <alignment horizontal="center" vertical="center"/>
    </xf>
    <xf numFmtId="168" fontId="74" fillId="0" borderId="25" xfId="65" applyNumberFormat="1" applyFont="1" applyFill="1" applyBorder="1" applyAlignment="1">
      <alignment horizontal="center" vertical="center"/>
    </xf>
    <xf numFmtId="0" fontId="74" fillId="0" borderId="22" xfId="64" applyFont="1" applyFill="1" applyBorder="1" applyAlignment="1">
      <alignment horizontal="center" wrapText="1"/>
    </xf>
    <xf numFmtId="0" fontId="74" fillId="0" borderId="25" xfId="64" applyFont="1" applyFill="1" applyBorder="1" applyAlignment="1">
      <alignment horizontal="center" wrapText="1"/>
    </xf>
    <xf numFmtId="0" fontId="42" fillId="32" borderId="27" xfId="64" applyFont="1" applyFill="1" applyBorder="1" applyAlignment="1">
      <alignment horizontal="center"/>
    </xf>
    <xf numFmtId="0" fontId="42" fillId="32" borderId="68" xfId="64" applyFont="1" applyFill="1" applyBorder="1" applyAlignment="1">
      <alignment horizontal="center"/>
    </xf>
    <xf numFmtId="0" fontId="42" fillId="32" borderId="69" xfId="64" applyFont="1" applyFill="1" applyBorder="1" applyAlignment="1">
      <alignment horizontal="center"/>
    </xf>
    <xf numFmtId="0" fontId="74" fillId="0" borderId="21" xfId="64" applyFont="1" applyFill="1" applyBorder="1" applyAlignment="1">
      <alignment horizontal="center" vertical="center"/>
    </xf>
    <xf numFmtId="0" fontId="74" fillId="0" borderId="24" xfId="64" applyFont="1" applyFill="1" applyBorder="1" applyAlignment="1">
      <alignment horizontal="center" vertical="center"/>
    </xf>
    <xf numFmtId="0" fontId="74" fillId="0" borderId="22" xfId="64" applyFont="1" applyFill="1" applyBorder="1" applyAlignment="1">
      <alignment horizontal="center" vertical="center" wrapText="1"/>
    </xf>
    <xf numFmtId="0" fontId="76" fillId="0" borderId="47" xfId="64" applyFont="1" applyFill="1" applyBorder="1" applyAlignment="1">
      <alignment horizontal="center" vertical="center"/>
    </xf>
    <xf numFmtId="0" fontId="76" fillId="0" borderId="48" xfId="64" applyFont="1" applyFill="1" applyBorder="1" applyAlignment="1">
      <alignment horizontal="center" vertical="center"/>
    </xf>
    <xf numFmtId="0" fontId="76" fillId="0" borderId="22" xfId="64" applyFont="1" applyFill="1" applyBorder="1" applyAlignment="1">
      <alignment horizontal="center" vertical="center" wrapText="1"/>
    </xf>
    <xf numFmtId="0" fontId="76" fillId="0" borderId="25" xfId="64" applyFont="1" applyFill="1" applyBorder="1" applyAlignment="1">
      <alignment horizontal="center" vertical="center" wrapText="1"/>
    </xf>
    <xf numFmtId="168" fontId="76" fillId="0" borderId="22" xfId="65" applyNumberFormat="1" applyFont="1" applyFill="1" applyBorder="1" applyAlignment="1">
      <alignment horizontal="center" vertical="center"/>
    </xf>
    <xf numFmtId="168" fontId="76" fillId="0" borderId="25" xfId="65" applyNumberFormat="1" applyFont="1" applyFill="1" applyBorder="1" applyAlignment="1">
      <alignment horizontal="center" vertical="center"/>
    </xf>
    <xf numFmtId="0" fontId="86" fillId="0" borderId="0" xfId="64" applyFont="1" applyAlignment="1">
      <alignment horizontal="center"/>
    </xf>
    <xf numFmtId="0" fontId="75" fillId="0" borderId="0" xfId="64" applyFont="1" applyAlignment="1">
      <alignment horizontal="center"/>
    </xf>
    <xf numFmtId="167" fontId="42" fillId="32" borderId="46" xfId="64" applyNumberFormat="1" applyFont="1" applyFill="1" applyBorder="1" applyAlignment="1">
      <alignment horizontal="left"/>
    </xf>
    <xf numFmtId="167" fontId="42" fillId="32" borderId="60" xfId="64" applyNumberFormat="1" applyFont="1" applyFill="1" applyBorder="1" applyAlignment="1">
      <alignment horizontal="left"/>
    </xf>
    <xf numFmtId="167" fontId="42" fillId="32" borderId="61" xfId="64" applyNumberFormat="1" applyFont="1" applyFill="1" applyBorder="1" applyAlignment="1">
      <alignment horizontal="left"/>
    </xf>
    <xf numFmtId="167" fontId="77" fillId="33" borderId="38" xfId="64" applyNumberFormat="1" applyFont="1" applyFill="1" applyBorder="1" applyAlignment="1">
      <alignment horizontal="left"/>
    </xf>
    <xf numFmtId="0" fontId="77" fillId="33" borderId="38" xfId="64" applyFont="1" applyFill="1" applyBorder="1" applyAlignment="1">
      <alignment horizontal="left"/>
    </xf>
    <xf numFmtId="0" fontId="74" fillId="0" borderId="21" xfId="64" applyFont="1" applyFill="1" applyBorder="1" applyAlignment="1">
      <alignment horizontal="center"/>
    </xf>
    <xf numFmtId="0" fontId="74" fillId="0" borderId="24" xfId="64" applyFont="1" applyFill="1" applyBorder="1" applyAlignment="1">
      <alignment horizontal="center"/>
    </xf>
    <xf numFmtId="0" fontId="76" fillId="0" borderId="22" xfId="62" applyFont="1" applyFill="1" applyBorder="1" applyAlignment="1">
      <alignment horizontal="center" vertical="center" wrapText="1"/>
    </xf>
    <xf numFmtId="0" fontId="76" fillId="0" borderId="25" xfId="62" applyFont="1" applyFill="1" applyBorder="1" applyAlignment="1">
      <alignment horizontal="center" vertical="center" wrapText="1"/>
    </xf>
    <xf numFmtId="4" fontId="76" fillId="0" borderId="22" xfId="65" applyNumberFormat="1" applyFont="1" applyFill="1" applyBorder="1" applyAlignment="1">
      <alignment horizontal="center" vertical="center"/>
    </xf>
    <xf numFmtId="4" fontId="76" fillId="0" borderId="25" xfId="65" applyNumberFormat="1" applyFont="1" applyFill="1" applyBorder="1" applyAlignment="1">
      <alignment horizontal="center" vertical="center"/>
    </xf>
    <xf numFmtId="0" fontId="74" fillId="0" borderId="22" xfId="62" applyFont="1" applyFill="1" applyBorder="1" applyAlignment="1">
      <alignment horizontal="center" vertical="center" wrapText="1"/>
    </xf>
    <xf numFmtId="0" fontId="74" fillId="0" borderId="25" xfId="62" applyFont="1" applyFill="1" applyBorder="1" applyAlignment="1">
      <alignment horizontal="center" vertical="center" wrapText="1"/>
    </xf>
    <xf numFmtId="4" fontId="74" fillId="0" borderId="22" xfId="65" applyNumberFormat="1" applyFont="1" applyFill="1" applyBorder="1" applyAlignment="1">
      <alignment horizontal="center" vertical="center"/>
    </xf>
    <xf numFmtId="4" fontId="74" fillId="0" borderId="25" xfId="65" applyNumberFormat="1" applyFont="1" applyFill="1" applyBorder="1" applyAlignment="1">
      <alignment horizontal="center" vertical="center"/>
    </xf>
    <xf numFmtId="0" fontId="74" fillId="0" borderId="57" xfId="64" applyFont="1" applyFill="1" applyBorder="1" applyAlignment="1">
      <alignment horizontal="center"/>
    </xf>
    <xf numFmtId="0" fontId="74" fillId="0" borderId="31" xfId="64" applyFont="1" applyFill="1" applyBorder="1" applyAlignment="1">
      <alignment horizontal="center"/>
    </xf>
    <xf numFmtId="4" fontId="74" fillId="0" borderId="22" xfId="65" applyNumberFormat="1" applyFont="1" applyFill="1" applyBorder="1" applyAlignment="1">
      <alignment horizontal="center" vertical="center" wrapText="1"/>
    </xf>
    <xf numFmtId="4" fontId="74" fillId="0" borderId="25" xfId="65" applyNumberFormat="1" applyFont="1" applyFill="1" applyBorder="1" applyAlignment="1">
      <alignment horizontal="center" vertical="center" wrapText="1"/>
    </xf>
    <xf numFmtId="0" fontId="74" fillId="0" borderId="27" xfId="62" applyFont="1" applyFill="1" applyBorder="1" applyAlignment="1">
      <alignment horizontal="center" vertical="center" wrapText="1"/>
    </xf>
    <xf numFmtId="4" fontId="74" fillId="0" borderId="27" xfId="65" applyNumberFormat="1" applyFont="1" applyFill="1" applyBorder="1" applyAlignment="1">
      <alignment horizontal="center" vertical="center"/>
    </xf>
    <xf numFmtId="0" fontId="74" fillId="0" borderId="27" xfId="64" applyFont="1" applyFill="1" applyBorder="1" applyAlignment="1">
      <alignment horizontal="center" vertical="center" wrapText="1"/>
    </xf>
    <xf numFmtId="0" fontId="74" fillId="0" borderId="28" xfId="62" applyFont="1" applyFill="1" applyBorder="1" applyAlignment="1">
      <alignment horizontal="center" vertical="center" wrapText="1"/>
    </xf>
    <xf numFmtId="4" fontId="74" fillId="0" borderId="28" xfId="65" applyNumberFormat="1" applyFont="1" applyFill="1" applyBorder="1" applyAlignment="1">
      <alignment horizontal="center" vertical="center"/>
    </xf>
    <xf numFmtId="0" fontId="74" fillId="0" borderId="28" xfId="64" applyFont="1" applyFill="1" applyBorder="1" applyAlignment="1">
      <alignment horizontal="center" vertical="center" wrapText="1"/>
    </xf>
    <xf numFmtId="0" fontId="74" fillId="0" borderId="73" xfId="64" applyFont="1" applyFill="1" applyBorder="1" applyAlignment="1">
      <alignment horizontal="center"/>
    </xf>
    <xf numFmtId="0" fontId="74" fillId="0" borderId="76" xfId="64" applyFont="1" applyFill="1" applyBorder="1" applyAlignment="1">
      <alignment horizontal="center"/>
    </xf>
    <xf numFmtId="0" fontId="74" fillId="0" borderId="74" xfId="62" applyFont="1" applyFill="1" applyBorder="1" applyAlignment="1">
      <alignment horizontal="center" vertical="center" wrapText="1"/>
    </xf>
    <xf numFmtId="0" fontId="74" fillId="0" borderId="32" xfId="62" applyFont="1" applyFill="1" applyBorder="1" applyAlignment="1">
      <alignment horizontal="center" vertical="center" wrapText="1"/>
    </xf>
    <xf numFmtId="4" fontId="74" fillId="0" borderId="74" xfId="65" applyNumberFormat="1" applyFont="1" applyFill="1" applyBorder="1" applyAlignment="1">
      <alignment horizontal="center" vertical="center"/>
    </xf>
    <xf numFmtId="4" fontId="74" fillId="0" borderId="32" xfId="65" applyNumberFormat="1" applyFont="1" applyFill="1" applyBorder="1" applyAlignment="1">
      <alignment horizontal="center" vertical="center"/>
    </xf>
    <xf numFmtId="0" fontId="74" fillId="0" borderId="74" xfId="64" applyFont="1" applyFill="1" applyBorder="1" applyAlignment="1">
      <alignment horizontal="center" vertical="center" wrapText="1"/>
    </xf>
    <xf numFmtId="0" fontId="74" fillId="0" borderId="32" xfId="64" applyFont="1" applyFill="1" applyBorder="1" applyAlignment="1">
      <alignment horizontal="center" vertical="center" wrapText="1"/>
    </xf>
    <xf numFmtId="0" fontId="74" fillId="0" borderId="29" xfId="62" applyFont="1" applyFill="1" applyBorder="1" applyAlignment="1">
      <alignment horizontal="center" vertical="center" wrapText="1"/>
    </xf>
    <xf numFmtId="0" fontId="74" fillId="0" borderId="30" xfId="62" applyFont="1" applyFill="1" applyBorder="1" applyAlignment="1">
      <alignment horizontal="center" vertical="center" wrapText="1"/>
    </xf>
    <xf numFmtId="4" fontId="74" fillId="0" borderId="29" xfId="65" applyNumberFormat="1" applyFont="1" applyFill="1" applyBorder="1" applyAlignment="1">
      <alignment horizontal="center" vertical="center" wrapText="1"/>
    </xf>
    <xf numFmtId="4" fontId="74" fillId="0" borderId="30" xfId="65" applyNumberFormat="1" applyFont="1" applyFill="1" applyBorder="1" applyAlignment="1">
      <alignment horizontal="center" vertical="center" wrapText="1"/>
    </xf>
    <xf numFmtId="0" fontId="74" fillId="0" borderId="29" xfId="64" applyFont="1" applyFill="1" applyBorder="1" applyAlignment="1">
      <alignment horizontal="center" vertical="center" wrapText="1"/>
    </xf>
    <xf numFmtId="0" fontId="74" fillId="0" borderId="30" xfId="64" applyFont="1" applyFill="1" applyBorder="1" applyAlignment="1">
      <alignment horizontal="center" vertical="center" wrapText="1"/>
    </xf>
    <xf numFmtId="4" fontId="74" fillId="0" borderId="29" xfId="65" applyNumberFormat="1" applyFont="1" applyFill="1" applyBorder="1" applyAlignment="1">
      <alignment horizontal="center" vertical="center"/>
    </xf>
    <xf numFmtId="4" fontId="74" fillId="0" borderId="30" xfId="65" applyNumberFormat="1" applyFont="1" applyFill="1" applyBorder="1" applyAlignment="1">
      <alignment horizontal="center" vertical="center"/>
    </xf>
    <xf numFmtId="4" fontId="74" fillId="0" borderId="33" xfId="65" applyNumberFormat="1" applyFont="1" applyFill="1" applyBorder="1" applyAlignment="1">
      <alignment horizontal="center" vertical="center"/>
    </xf>
    <xf numFmtId="3" fontId="74" fillId="0" borderId="22" xfId="62" applyNumberFormat="1" applyFont="1" applyFill="1" applyBorder="1" applyAlignment="1">
      <alignment horizontal="center" vertical="center" wrapText="1"/>
    </xf>
    <xf numFmtId="14" fontId="74" fillId="0" borderId="27" xfId="64" applyNumberFormat="1" applyFont="1" applyFill="1" applyBorder="1" applyAlignment="1">
      <alignment horizontal="center" vertical="center" wrapText="1"/>
    </xf>
    <xf numFmtId="0" fontId="9" fillId="0" borderId="0" xfId="62" applyFont="1" applyBorder="1" applyAlignment="1">
      <alignment horizontal="center"/>
    </xf>
    <xf numFmtId="0" fontId="75" fillId="27" borderId="11" xfId="64" applyFont="1" applyFill="1" applyBorder="1" applyAlignment="1">
      <alignment horizontal="center" vertical="center" wrapText="1"/>
    </xf>
    <xf numFmtId="0" fontId="75" fillId="27" borderId="16" xfId="64" applyFont="1" applyFill="1" applyBorder="1" applyAlignment="1">
      <alignment horizontal="center" vertical="center" wrapText="1"/>
    </xf>
    <xf numFmtId="0" fontId="75" fillId="27" borderId="12" xfId="64" applyFont="1" applyFill="1" applyBorder="1" applyAlignment="1">
      <alignment horizontal="center" vertical="center" wrapText="1"/>
    </xf>
    <xf numFmtId="0" fontId="75" fillId="27" borderId="17" xfId="64" applyFont="1" applyFill="1" applyBorder="1" applyAlignment="1">
      <alignment horizontal="center" vertical="center" wrapText="1"/>
    </xf>
    <xf numFmtId="0" fontId="75" fillId="27" borderId="13" xfId="64" applyFont="1" applyFill="1" applyBorder="1" applyAlignment="1">
      <alignment horizontal="center" vertical="center"/>
    </xf>
    <xf numFmtId="0" fontId="75" fillId="27" borderId="18" xfId="64" applyFont="1" applyFill="1" applyBorder="1" applyAlignment="1">
      <alignment horizontal="center" vertical="center"/>
    </xf>
    <xf numFmtId="0" fontId="6" fillId="0" borderId="0" xfId="59" applyFont="1" applyAlignment="1">
      <alignment horizontal="left" wrapText="1"/>
    </xf>
    <xf numFmtId="0" fontId="56" fillId="0" borderId="0" xfId="59" applyFont="1" applyAlignment="1">
      <alignment horizontal="center" vertical="center" wrapText="1"/>
    </xf>
    <xf numFmtId="0" fontId="42" fillId="27" borderId="10" xfId="59" applyFont="1" applyFill="1" applyBorder="1" applyAlignment="1">
      <alignment horizontal="center" vertical="center" wrapText="1"/>
    </xf>
    <xf numFmtId="0" fontId="11" fillId="0" borderId="10" xfId="59" applyFont="1" applyBorder="1" applyAlignment="1">
      <alignment horizontal="left" wrapText="1"/>
    </xf>
    <xf numFmtId="0" fontId="9" fillId="27" borderId="10" xfId="59" applyFont="1" applyFill="1" applyBorder="1" applyAlignment="1">
      <alignment horizontal="left" wrapText="1"/>
    </xf>
    <xf numFmtId="0" fontId="9" fillId="0" borderId="70" xfId="59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88" fillId="0" borderId="0" xfId="64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omma 2 2" xfId="29"/>
    <cellStyle name="Comma_Pašvaldības saistības 2" xfId="65"/>
    <cellStyle name="Currency 2" xfId="30"/>
    <cellStyle name="Currency 2 2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/>
    <cellStyle name="Normal 2 2" xfId="42"/>
    <cellStyle name="Normal 2 2 2" xfId="64"/>
    <cellStyle name="Normal 3" xfId="43"/>
    <cellStyle name="Normal 3 2" xfId="63"/>
    <cellStyle name="Normal 4" xfId="44"/>
    <cellStyle name="Normal 5" xfId="45"/>
    <cellStyle name="Normal 5 2" xfId="46"/>
    <cellStyle name="Normal 5 2 2" xfId="62"/>
    <cellStyle name="Normal 6" xfId="58"/>
    <cellStyle name="Normal 6 2" xfId="66"/>
    <cellStyle name="Normal 6 2 2" xfId="70"/>
    <cellStyle name="Normal 7" xfId="59"/>
    <cellStyle name="Normal 8" xfId="60"/>
    <cellStyle name="Normal 9" xfId="61"/>
    <cellStyle name="Normal 9 2" xfId="69"/>
    <cellStyle name="Normal_Pamatformas 2" xfId="68"/>
    <cellStyle name="Note" xfId="47" builtinId="10" customBuiltin="1"/>
    <cellStyle name="Output" xfId="48" builtinId="21" customBuiltin="1"/>
    <cellStyle name="Percent 2" xfId="49"/>
    <cellStyle name="Percent 2 2" xfId="50"/>
    <cellStyle name="Percent 2 3" xfId="71"/>
    <cellStyle name="Percent 3" xfId="51"/>
    <cellStyle name="Percent 3 2" xfId="52"/>
    <cellStyle name="Percent 4" xfId="53"/>
    <cellStyle name="Percent 4 2" xfId="67"/>
    <cellStyle name="Percent 5" xfId="54"/>
    <cellStyle name="Title" xfId="55" builtinId="15" customBuiltin="1"/>
    <cellStyle name="Total" xfId="56" builtinId="25" customBuiltin="1"/>
    <cellStyle name="Warning Text" xfId="57" builtinId="11" customBuiltin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0"/>
  <sheetViews>
    <sheetView zoomScale="90" zoomScaleNormal="90" workbookViewId="0">
      <selection activeCell="B86" sqref="B86"/>
    </sheetView>
  </sheetViews>
  <sheetFormatPr defaultRowHeight="15" x14ac:dyDescent="0.25"/>
  <cols>
    <col min="1" max="1" width="12.140625" style="9" customWidth="1"/>
    <col min="2" max="2" width="62.42578125" style="9" customWidth="1"/>
    <col min="3" max="3" width="13.7109375" style="22" customWidth="1"/>
    <col min="4" max="16384" width="9.140625" style="9"/>
  </cols>
  <sheetData>
    <row r="1" spans="1:3" x14ac:dyDescent="0.25">
      <c r="A1" s="21"/>
      <c r="B1" s="21"/>
      <c r="C1" s="24" t="s">
        <v>82</v>
      </c>
    </row>
    <row r="2" spans="1:3" x14ac:dyDescent="0.25">
      <c r="A2" s="25"/>
      <c r="B2" s="466" t="s">
        <v>846</v>
      </c>
      <c r="C2" s="466"/>
    </row>
    <row r="3" spans="1:3" x14ac:dyDescent="0.25">
      <c r="A3" s="25"/>
      <c r="B3" s="466" t="s">
        <v>847</v>
      </c>
      <c r="C3" s="466"/>
    </row>
    <row r="4" spans="1:3" x14ac:dyDescent="0.25">
      <c r="A4" s="25"/>
      <c r="B4" s="25"/>
      <c r="C4" s="26"/>
    </row>
    <row r="5" spans="1:3" x14ac:dyDescent="0.25">
      <c r="A5" s="467" t="s">
        <v>729</v>
      </c>
      <c r="B5" s="467"/>
      <c r="C5" s="467"/>
    </row>
    <row r="6" spans="1:3" x14ac:dyDescent="0.25">
      <c r="A6" s="25"/>
      <c r="B6" s="38" t="s">
        <v>19</v>
      </c>
      <c r="C6" s="26"/>
    </row>
    <row r="7" spans="1:3" x14ac:dyDescent="0.25">
      <c r="A7" s="25"/>
      <c r="B7" s="27"/>
      <c r="C7" s="100" t="s">
        <v>279</v>
      </c>
    </row>
    <row r="8" spans="1:3" ht="29.25" x14ac:dyDescent="0.25">
      <c r="A8" s="39" t="s">
        <v>204</v>
      </c>
      <c r="B8" s="99" t="s">
        <v>124</v>
      </c>
      <c r="C8" s="40" t="s">
        <v>813</v>
      </c>
    </row>
    <row r="9" spans="1:3" x14ac:dyDescent="0.25">
      <c r="A9" s="41"/>
      <c r="B9" s="42" t="s">
        <v>160</v>
      </c>
      <c r="C9" s="43">
        <f>C10+C20+C44+C54</f>
        <v>75364231</v>
      </c>
    </row>
    <row r="10" spans="1:3" x14ac:dyDescent="0.25">
      <c r="A10" s="41"/>
      <c r="B10" s="42" t="s">
        <v>156</v>
      </c>
      <c r="C10" s="43">
        <f>C11+C14+C18+C19</f>
        <v>43909571</v>
      </c>
    </row>
    <row r="11" spans="1:3" x14ac:dyDescent="0.25">
      <c r="A11" s="144" t="s">
        <v>39</v>
      </c>
      <c r="B11" s="60" t="s">
        <v>20</v>
      </c>
      <c r="C11" s="61">
        <f>C12+C13</f>
        <v>40040183</v>
      </c>
    </row>
    <row r="12" spans="1:3" ht="30" customHeight="1" x14ac:dyDescent="0.25">
      <c r="A12" s="145" t="s">
        <v>185</v>
      </c>
      <c r="B12" s="62" t="s">
        <v>145</v>
      </c>
      <c r="C12" s="66">
        <v>656993</v>
      </c>
    </row>
    <row r="13" spans="1:3" ht="30" x14ac:dyDescent="0.25">
      <c r="A13" s="145" t="s">
        <v>188</v>
      </c>
      <c r="B13" s="62" t="s">
        <v>146</v>
      </c>
      <c r="C13" s="66">
        <v>39383190</v>
      </c>
    </row>
    <row r="14" spans="1:3" x14ac:dyDescent="0.25">
      <c r="A14" s="146" t="s">
        <v>205</v>
      </c>
      <c r="B14" s="60" t="s">
        <v>21</v>
      </c>
      <c r="C14" s="61">
        <f>C15+C16+C17</f>
        <v>3720000</v>
      </c>
    </row>
    <row r="15" spans="1:3" x14ac:dyDescent="0.25">
      <c r="A15" s="145" t="s">
        <v>206</v>
      </c>
      <c r="B15" s="62" t="s">
        <v>22</v>
      </c>
      <c r="C15" s="66">
        <v>1433561</v>
      </c>
    </row>
    <row r="16" spans="1:3" x14ac:dyDescent="0.25">
      <c r="A16" s="147" t="s">
        <v>207</v>
      </c>
      <c r="B16" s="64" t="s">
        <v>125</v>
      </c>
      <c r="C16" s="157">
        <v>1435393</v>
      </c>
    </row>
    <row r="17" spans="1:3" x14ac:dyDescent="0.25">
      <c r="A17" s="147" t="s">
        <v>208</v>
      </c>
      <c r="B17" s="64" t="s">
        <v>184</v>
      </c>
      <c r="C17" s="157">
        <v>851046</v>
      </c>
    </row>
    <row r="18" spans="1:3" x14ac:dyDescent="0.25">
      <c r="A18" s="144" t="s">
        <v>209</v>
      </c>
      <c r="B18" s="60" t="s">
        <v>0</v>
      </c>
      <c r="C18" s="61">
        <v>109388</v>
      </c>
    </row>
    <row r="19" spans="1:3" x14ac:dyDescent="0.25">
      <c r="A19" s="144" t="s">
        <v>282</v>
      </c>
      <c r="B19" s="60" t="s">
        <v>722</v>
      </c>
      <c r="C19" s="61">
        <v>40000</v>
      </c>
    </row>
    <row r="20" spans="1:3" x14ac:dyDescent="0.25">
      <c r="A20" s="41"/>
      <c r="B20" s="42" t="s">
        <v>157</v>
      </c>
      <c r="C20" s="43">
        <f>C21+C34+C38+C41</f>
        <v>324935</v>
      </c>
    </row>
    <row r="21" spans="1:3" x14ac:dyDescent="0.25">
      <c r="A21" s="146" t="s">
        <v>35</v>
      </c>
      <c r="B21" s="60" t="s">
        <v>23</v>
      </c>
      <c r="C21" s="61">
        <f>C22+C26</f>
        <v>67500</v>
      </c>
    </row>
    <row r="22" spans="1:3" x14ac:dyDescent="0.25">
      <c r="A22" s="148" t="s">
        <v>210</v>
      </c>
      <c r="B22" s="52" t="s">
        <v>1</v>
      </c>
      <c r="C22" s="61">
        <f>SUM(C24+C25+C23)</f>
        <v>17500</v>
      </c>
    </row>
    <row r="23" spans="1:3" ht="30" x14ac:dyDescent="0.25">
      <c r="A23" s="145" t="s">
        <v>211</v>
      </c>
      <c r="B23" s="62" t="s">
        <v>251</v>
      </c>
      <c r="C23" s="63">
        <v>3000</v>
      </c>
    </row>
    <row r="24" spans="1:3" ht="45" x14ac:dyDescent="0.25">
      <c r="A24" s="145" t="s">
        <v>212</v>
      </c>
      <c r="B24" s="62" t="s">
        <v>286</v>
      </c>
      <c r="C24" s="66">
        <v>9500</v>
      </c>
    </row>
    <row r="25" spans="1:3" ht="15" customHeight="1" x14ac:dyDescent="0.25">
      <c r="A25" s="145" t="s">
        <v>213</v>
      </c>
      <c r="B25" s="62" t="s">
        <v>147</v>
      </c>
      <c r="C25" s="66">
        <v>5000</v>
      </c>
    </row>
    <row r="26" spans="1:3" x14ac:dyDescent="0.25">
      <c r="A26" s="148" t="s">
        <v>214</v>
      </c>
      <c r="B26" s="52" t="s">
        <v>2</v>
      </c>
      <c r="C26" s="61">
        <f>SUM(C27:C33)</f>
        <v>50000</v>
      </c>
    </row>
    <row r="27" spans="1:3" ht="30" x14ac:dyDescent="0.25">
      <c r="A27" s="145" t="s">
        <v>88</v>
      </c>
      <c r="B27" s="62" t="s">
        <v>287</v>
      </c>
      <c r="C27" s="66">
        <v>8500</v>
      </c>
    </row>
    <row r="28" spans="1:3" ht="30" x14ac:dyDescent="0.25">
      <c r="A28" s="145" t="s">
        <v>89</v>
      </c>
      <c r="B28" s="62" t="s">
        <v>126</v>
      </c>
      <c r="C28" s="66">
        <v>500</v>
      </c>
    </row>
    <row r="29" spans="1:3" x14ac:dyDescent="0.25">
      <c r="A29" s="145" t="s">
        <v>106</v>
      </c>
      <c r="B29" s="62" t="s">
        <v>127</v>
      </c>
      <c r="C29" s="66">
        <v>2000</v>
      </c>
    </row>
    <row r="30" spans="1:3" x14ac:dyDescent="0.25">
      <c r="A30" s="145" t="s">
        <v>215</v>
      </c>
      <c r="B30" s="62" t="s">
        <v>128</v>
      </c>
      <c r="C30" s="66">
        <v>5000</v>
      </c>
    </row>
    <row r="31" spans="1:3" ht="30" x14ac:dyDescent="0.25">
      <c r="A31" s="145" t="s">
        <v>216</v>
      </c>
      <c r="B31" s="62" t="s">
        <v>129</v>
      </c>
      <c r="C31" s="66">
        <v>9000</v>
      </c>
    </row>
    <row r="32" spans="1:3" ht="30" x14ac:dyDescent="0.25">
      <c r="A32" s="145" t="s">
        <v>202</v>
      </c>
      <c r="B32" s="62" t="s">
        <v>412</v>
      </c>
      <c r="C32" s="66">
        <v>19000</v>
      </c>
    </row>
    <row r="33" spans="1:3" x14ac:dyDescent="0.25">
      <c r="A33" s="145" t="s">
        <v>252</v>
      </c>
      <c r="B33" s="62" t="s">
        <v>273</v>
      </c>
      <c r="C33" s="66">
        <v>6000</v>
      </c>
    </row>
    <row r="34" spans="1:3" x14ac:dyDescent="0.25">
      <c r="A34" s="146" t="s">
        <v>36</v>
      </c>
      <c r="B34" s="60" t="s">
        <v>3</v>
      </c>
      <c r="C34" s="61">
        <f>C35</f>
        <v>150000</v>
      </c>
    </row>
    <row r="35" spans="1:3" x14ac:dyDescent="0.25">
      <c r="A35" s="148" t="s">
        <v>589</v>
      </c>
      <c r="B35" s="60" t="s">
        <v>590</v>
      </c>
      <c r="C35" s="61">
        <f>C36+C37</f>
        <v>150000</v>
      </c>
    </row>
    <row r="36" spans="1:3" x14ac:dyDescent="0.25">
      <c r="A36" s="145" t="s">
        <v>217</v>
      </c>
      <c r="B36" s="62" t="s">
        <v>130</v>
      </c>
      <c r="C36" s="63">
        <v>77000</v>
      </c>
    </row>
    <row r="37" spans="1:3" ht="30" x14ac:dyDescent="0.25">
      <c r="A37" s="145" t="s">
        <v>293</v>
      </c>
      <c r="B37" s="62" t="s">
        <v>311</v>
      </c>
      <c r="C37" s="66">
        <v>73000</v>
      </c>
    </row>
    <row r="38" spans="1:3" hidden="1" x14ac:dyDescent="0.25">
      <c r="A38" s="207" t="s">
        <v>218</v>
      </c>
      <c r="B38" s="208" t="s">
        <v>4</v>
      </c>
      <c r="C38" s="209">
        <f>C39</f>
        <v>0</v>
      </c>
    </row>
    <row r="39" spans="1:3" ht="29.25" hidden="1" x14ac:dyDescent="0.25">
      <c r="A39" s="210" t="s">
        <v>593</v>
      </c>
      <c r="B39" s="211" t="s">
        <v>594</v>
      </c>
      <c r="C39" s="209">
        <f>C40</f>
        <v>0</v>
      </c>
    </row>
    <row r="40" spans="1:3" ht="30" hidden="1" x14ac:dyDescent="0.25">
      <c r="A40" s="212" t="s">
        <v>595</v>
      </c>
      <c r="B40" s="213" t="s">
        <v>596</v>
      </c>
      <c r="C40" s="67"/>
    </row>
    <row r="41" spans="1:3" ht="29.25" x14ac:dyDescent="0.25">
      <c r="A41" s="146" t="s">
        <v>219</v>
      </c>
      <c r="B41" s="60" t="s">
        <v>413</v>
      </c>
      <c r="C41" s="61">
        <f>C42+C43</f>
        <v>107435</v>
      </c>
    </row>
    <row r="42" spans="1:3" x14ac:dyDescent="0.25">
      <c r="A42" s="145" t="s">
        <v>220</v>
      </c>
      <c r="B42" s="62" t="s">
        <v>5</v>
      </c>
      <c r="C42" s="66">
        <v>82253</v>
      </c>
    </row>
    <row r="43" spans="1:3" x14ac:dyDescent="0.25">
      <c r="A43" s="145" t="s">
        <v>591</v>
      </c>
      <c r="B43" s="62" t="s">
        <v>592</v>
      </c>
      <c r="C43" s="66">
        <v>25182</v>
      </c>
    </row>
    <row r="44" spans="1:3" x14ac:dyDescent="0.25">
      <c r="A44" s="41"/>
      <c r="B44" s="42" t="s">
        <v>158</v>
      </c>
      <c r="C44" s="43">
        <f>C47+C52+C45</f>
        <v>29491052</v>
      </c>
    </row>
    <row r="45" spans="1:3" s="214" customFormat="1" ht="29.25" x14ac:dyDescent="0.25">
      <c r="A45" s="215" t="s">
        <v>723</v>
      </c>
      <c r="B45" s="179" t="s">
        <v>724</v>
      </c>
      <c r="C45" s="156">
        <f>C46</f>
        <v>118711</v>
      </c>
    </row>
    <row r="46" spans="1:3" s="214" customFormat="1" ht="45" x14ac:dyDescent="0.25">
      <c r="A46" s="149" t="s">
        <v>725</v>
      </c>
      <c r="B46" s="62" t="s">
        <v>726</v>
      </c>
      <c r="C46" s="66">
        <v>118711</v>
      </c>
    </row>
    <row r="47" spans="1:3" x14ac:dyDescent="0.25">
      <c r="A47" s="146" t="s">
        <v>221</v>
      </c>
      <c r="B47" s="60" t="s">
        <v>24</v>
      </c>
      <c r="C47" s="61">
        <f>C48</f>
        <v>28681442</v>
      </c>
    </row>
    <row r="48" spans="1:3" x14ac:dyDescent="0.25">
      <c r="A48" s="148" t="s">
        <v>222</v>
      </c>
      <c r="B48" s="52" t="s">
        <v>243</v>
      </c>
      <c r="C48" s="61">
        <f>C49+C50+C51</f>
        <v>28681442</v>
      </c>
    </row>
    <row r="49" spans="1:5" x14ac:dyDescent="0.25">
      <c r="A49" s="149" t="s">
        <v>223</v>
      </c>
      <c r="B49" s="62" t="s">
        <v>522</v>
      </c>
      <c r="C49" s="66">
        <f>12021537-46311</f>
        <v>11975226</v>
      </c>
    </row>
    <row r="50" spans="1:5" ht="45" x14ac:dyDescent="0.25">
      <c r="A50" s="149" t="s">
        <v>224</v>
      </c>
      <c r="B50" s="62" t="s">
        <v>244</v>
      </c>
      <c r="C50" s="157">
        <f>8484420-15856</f>
        <v>8468564</v>
      </c>
    </row>
    <row r="51" spans="1:5" ht="30" x14ac:dyDescent="0.25">
      <c r="A51" s="149" t="s">
        <v>288</v>
      </c>
      <c r="B51" s="62" t="s">
        <v>361</v>
      </c>
      <c r="C51" s="66">
        <v>8237652</v>
      </c>
    </row>
    <row r="52" spans="1:5" x14ac:dyDescent="0.25">
      <c r="A52" s="150" t="s">
        <v>225</v>
      </c>
      <c r="B52" s="60" t="s">
        <v>131</v>
      </c>
      <c r="C52" s="61">
        <f>SUM(C53)</f>
        <v>690899</v>
      </c>
    </row>
    <row r="53" spans="1:5" x14ac:dyDescent="0.25">
      <c r="A53" s="149" t="s">
        <v>226</v>
      </c>
      <c r="B53" s="62" t="s">
        <v>245</v>
      </c>
      <c r="C53" s="66">
        <v>690899</v>
      </c>
    </row>
    <row r="54" spans="1:5" s="6" customFormat="1" ht="14.25" x14ac:dyDescent="0.2">
      <c r="A54" s="42"/>
      <c r="B54" s="42" t="s">
        <v>162</v>
      </c>
      <c r="C54" s="43">
        <f>SUM(C55)</f>
        <v>1638673</v>
      </c>
      <c r="D54" s="19"/>
      <c r="E54" s="19"/>
    </row>
    <row r="55" spans="1:5" x14ac:dyDescent="0.25">
      <c r="A55" s="146" t="s">
        <v>227</v>
      </c>
      <c r="B55" s="60" t="s">
        <v>289</v>
      </c>
      <c r="C55" s="61">
        <f>C56+C59+C76</f>
        <v>1638673</v>
      </c>
      <c r="D55" s="21"/>
      <c r="E55" s="21"/>
    </row>
    <row r="56" spans="1:5" x14ac:dyDescent="0.25">
      <c r="A56" s="178" t="s">
        <v>283</v>
      </c>
      <c r="B56" s="179" t="s">
        <v>290</v>
      </c>
      <c r="C56" s="156">
        <f>C58+C57</f>
        <v>53352</v>
      </c>
      <c r="D56" s="21"/>
      <c r="E56" s="21"/>
    </row>
    <row r="57" spans="1:5" ht="45" x14ac:dyDescent="0.25">
      <c r="A57" s="149" t="s">
        <v>727</v>
      </c>
      <c r="B57" s="62" t="s">
        <v>728</v>
      </c>
      <c r="C57" s="157">
        <v>40472</v>
      </c>
      <c r="D57" s="21"/>
      <c r="E57" s="21"/>
    </row>
    <row r="58" spans="1:5" ht="30" x14ac:dyDescent="0.25">
      <c r="A58" s="149" t="s">
        <v>597</v>
      </c>
      <c r="B58" s="62" t="s">
        <v>598</v>
      </c>
      <c r="C58" s="157">
        <v>12880</v>
      </c>
      <c r="D58" s="21"/>
      <c r="E58" s="21"/>
    </row>
    <row r="59" spans="1:5" ht="29.25" x14ac:dyDescent="0.25">
      <c r="A59" s="148" t="s">
        <v>228</v>
      </c>
      <c r="B59" s="52" t="s">
        <v>291</v>
      </c>
      <c r="C59" s="61">
        <f>C60+C63+C65+C70</f>
        <v>1529191</v>
      </c>
      <c r="D59" s="21"/>
      <c r="E59" s="21"/>
    </row>
    <row r="60" spans="1:5" x14ac:dyDescent="0.25">
      <c r="A60" s="148" t="s">
        <v>229</v>
      </c>
      <c r="B60" s="60" t="s">
        <v>6</v>
      </c>
      <c r="C60" s="61">
        <f>C61+C62</f>
        <v>338093</v>
      </c>
      <c r="D60" s="21"/>
      <c r="E60" s="21"/>
    </row>
    <row r="61" spans="1:5" x14ac:dyDescent="0.25">
      <c r="A61" s="145" t="s">
        <v>599</v>
      </c>
      <c r="B61" s="62" t="s">
        <v>600</v>
      </c>
      <c r="C61" s="66">
        <v>133500</v>
      </c>
      <c r="D61" s="21"/>
      <c r="E61" s="21"/>
    </row>
    <row r="62" spans="1:5" x14ac:dyDescent="0.25">
      <c r="A62" s="145" t="s">
        <v>601</v>
      </c>
      <c r="B62" s="62" t="s">
        <v>602</v>
      </c>
      <c r="C62" s="157">
        <v>204593</v>
      </c>
      <c r="D62" s="21"/>
      <c r="E62" s="21"/>
    </row>
    <row r="63" spans="1:5" ht="17.25" customHeight="1" x14ac:dyDescent="0.25">
      <c r="A63" s="148" t="s">
        <v>230</v>
      </c>
      <c r="B63" s="60" t="s">
        <v>7</v>
      </c>
      <c r="C63" s="61">
        <f>C64</f>
        <v>550</v>
      </c>
      <c r="D63" s="21"/>
      <c r="E63" s="21"/>
    </row>
    <row r="64" spans="1:5" ht="30" x14ac:dyDescent="0.25">
      <c r="A64" s="145" t="s">
        <v>603</v>
      </c>
      <c r="B64" s="62" t="s">
        <v>604</v>
      </c>
      <c r="C64" s="63">
        <v>550</v>
      </c>
      <c r="D64" s="21"/>
      <c r="E64" s="21"/>
    </row>
    <row r="65" spans="1:5" x14ac:dyDescent="0.25">
      <c r="A65" s="148" t="s">
        <v>231</v>
      </c>
      <c r="B65" s="60" t="s">
        <v>8</v>
      </c>
      <c r="C65" s="61">
        <f>SUM(C66:C69)</f>
        <v>504658</v>
      </c>
      <c r="D65" s="21"/>
      <c r="E65" s="21"/>
    </row>
    <row r="66" spans="1:5" x14ac:dyDescent="0.25">
      <c r="A66" s="145" t="s">
        <v>605</v>
      </c>
      <c r="B66" s="62" t="s">
        <v>606</v>
      </c>
      <c r="C66" s="66">
        <v>366584</v>
      </c>
      <c r="D66" s="21"/>
      <c r="E66" s="21"/>
    </row>
    <row r="67" spans="1:5" x14ac:dyDescent="0.25">
      <c r="A67" s="145" t="s">
        <v>607</v>
      </c>
      <c r="B67" s="62" t="s">
        <v>608</v>
      </c>
      <c r="C67" s="157">
        <v>45132</v>
      </c>
      <c r="D67" s="21"/>
      <c r="E67" s="21"/>
    </row>
    <row r="68" spans="1:5" x14ac:dyDescent="0.25">
      <c r="A68" s="145" t="s">
        <v>609</v>
      </c>
      <c r="B68" s="62" t="s">
        <v>611</v>
      </c>
      <c r="C68" s="157">
        <v>60355</v>
      </c>
      <c r="D68" s="21"/>
      <c r="E68" s="21"/>
    </row>
    <row r="69" spans="1:5" x14ac:dyDescent="0.25">
      <c r="A69" s="145" t="s">
        <v>610</v>
      </c>
      <c r="B69" s="62" t="s">
        <v>612</v>
      </c>
      <c r="C69" s="157">
        <v>32587</v>
      </c>
      <c r="D69" s="21"/>
      <c r="E69" s="21"/>
    </row>
    <row r="70" spans="1:5" ht="16.5" customHeight="1" x14ac:dyDescent="0.25">
      <c r="A70" s="148" t="s">
        <v>232</v>
      </c>
      <c r="B70" s="52" t="s">
        <v>292</v>
      </c>
      <c r="C70" s="61">
        <f>SUM(C71:C75)</f>
        <v>685890</v>
      </c>
      <c r="D70" s="21"/>
      <c r="E70" s="21"/>
    </row>
    <row r="71" spans="1:5" ht="16.5" customHeight="1" x14ac:dyDescent="0.25">
      <c r="A71" s="145" t="s">
        <v>613</v>
      </c>
      <c r="B71" s="62" t="s">
        <v>616</v>
      </c>
      <c r="C71" s="66">
        <v>16015</v>
      </c>
      <c r="D71" s="21"/>
      <c r="E71" s="21"/>
    </row>
    <row r="72" spans="1:5" ht="16.5" customHeight="1" x14ac:dyDescent="0.25">
      <c r="A72" s="145" t="s">
        <v>614</v>
      </c>
      <c r="B72" s="62" t="s">
        <v>617</v>
      </c>
      <c r="C72" s="157">
        <v>401922</v>
      </c>
      <c r="D72" s="21"/>
      <c r="E72" s="21"/>
    </row>
    <row r="73" spans="1:5" ht="16.5" hidden="1" customHeight="1" x14ac:dyDescent="0.25">
      <c r="A73" s="212" t="s">
        <v>615</v>
      </c>
      <c r="B73" s="213" t="s">
        <v>618</v>
      </c>
      <c r="C73" s="67"/>
      <c r="D73" s="21"/>
      <c r="E73" s="21"/>
    </row>
    <row r="74" spans="1:5" ht="16.5" customHeight="1" x14ac:dyDescent="0.25">
      <c r="A74" s="145" t="s">
        <v>619</v>
      </c>
      <c r="B74" s="62" t="s">
        <v>620</v>
      </c>
      <c r="C74" s="157">
        <v>53180</v>
      </c>
      <c r="D74" s="21"/>
      <c r="E74" s="21"/>
    </row>
    <row r="75" spans="1:5" ht="16.5" customHeight="1" x14ac:dyDescent="0.25">
      <c r="A75" s="145" t="s">
        <v>621</v>
      </c>
      <c r="B75" s="62" t="s">
        <v>622</v>
      </c>
      <c r="C75" s="157">
        <v>214773</v>
      </c>
      <c r="D75" s="21"/>
      <c r="E75" s="21"/>
    </row>
    <row r="76" spans="1:5" ht="30.75" customHeight="1" x14ac:dyDescent="0.25">
      <c r="A76" s="148" t="s">
        <v>372</v>
      </c>
      <c r="B76" s="52" t="s">
        <v>414</v>
      </c>
      <c r="C76" s="61">
        <f>C77</f>
        <v>56130</v>
      </c>
      <c r="D76" s="21"/>
      <c r="E76" s="21"/>
    </row>
    <row r="77" spans="1:5" x14ac:dyDescent="0.25">
      <c r="A77" s="145" t="s">
        <v>623</v>
      </c>
      <c r="B77" s="62" t="s">
        <v>624</v>
      </c>
      <c r="C77" s="157">
        <v>56130</v>
      </c>
      <c r="D77" s="21"/>
      <c r="E77" s="21"/>
    </row>
    <row r="78" spans="1:5" x14ac:dyDescent="0.25">
      <c r="A78" s="68"/>
      <c r="B78" s="42" t="s">
        <v>159</v>
      </c>
      <c r="C78" s="43">
        <f>SUM(C79:C80)</f>
        <v>29512461</v>
      </c>
    </row>
    <row r="79" spans="1:5" x14ac:dyDescent="0.25">
      <c r="A79" s="69" t="s">
        <v>800</v>
      </c>
      <c r="B79" s="70" t="s">
        <v>303</v>
      </c>
      <c r="C79" s="65">
        <v>13295055</v>
      </c>
    </row>
    <row r="80" spans="1:5" x14ac:dyDescent="0.25">
      <c r="A80" s="71" t="s">
        <v>17</v>
      </c>
      <c r="B80" s="72" t="s">
        <v>18</v>
      </c>
      <c r="C80" s="65">
        <f>16772627-209647-345574</f>
        <v>16217406</v>
      </c>
    </row>
    <row r="81" spans="1:3" x14ac:dyDescent="0.25">
      <c r="A81" s="68"/>
      <c r="B81" s="42" t="s">
        <v>161</v>
      </c>
      <c r="C81" s="43">
        <f>C9+C78</f>
        <v>104876692</v>
      </c>
    </row>
    <row r="82" spans="1:3" x14ac:dyDescent="0.25">
      <c r="A82" s="25"/>
      <c r="B82" s="28"/>
      <c r="C82" s="26"/>
    </row>
    <row r="83" spans="1:3" ht="15.75" x14ac:dyDescent="0.25">
      <c r="A83" s="8" t="s">
        <v>25</v>
      </c>
      <c r="B83" s="8"/>
      <c r="C83" s="44" t="s">
        <v>26</v>
      </c>
    </row>
    <row r="86" spans="1:3" x14ac:dyDescent="0.25">
      <c r="B86" s="596"/>
    </row>
    <row r="90" spans="1:3" x14ac:dyDescent="0.25">
      <c r="B90" s="14"/>
      <c r="C90" s="23"/>
    </row>
  </sheetData>
  <mergeCells count="3">
    <mergeCell ref="B2:C2"/>
    <mergeCell ref="B3:C3"/>
    <mergeCell ref="A5:C5"/>
  </mergeCells>
  <printOptions horizontalCentered="1"/>
  <pageMargins left="0.98425196850393704" right="0.39370078740157483" top="0.39370078740157483" bottom="0.39370078740157483" header="0.19685039370078741" footer="0.19685039370078741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2"/>
  <sheetViews>
    <sheetView topLeftCell="A19" zoomScale="90" zoomScaleNormal="90" workbookViewId="0">
      <selection activeCell="B32" sqref="B32"/>
    </sheetView>
  </sheetViews>
  <sheetFormatPr defaultRowHeight="12.75" x14ac:dyDescent="0.2"/>
  <cols>
    <col min="1" max="1" width="10.7109375" customWidth="1"/>
    <col min="2" max="2" width="60.7109375" customWidth="1"/>
    <col min="3" max="3" width="15.28515625" customWidth="1"/>
    <col min="4" max="4" width="14.7109375" customWidth="1"/>
    <col min="5" max="5" width="12" customWidth="1"/>
    <col min="6" max="6" width="14.140625" customWidth="1"/>
    <col min="7" max="7" width="12" customWidth="1"/>
    <col min="8" max="8" width="13" customWidth="1"/>
    <col min="9" max="9" width="14.42578125" customWidth="1"/>
  </cols>
  <sheetData>
    <row r="1" spans="1:10" ht="15.75" x14ac:dyDescent="0.25">
      <c r="A1" s="73"/>
      <c r="B1" s="73"/>
      <c r="C1" s="73"/>
      <c r="D1" s="73"/>
      <c r="E1" s="73"/>
      <c r="F1" s="73"/>
      <c r="G1" s="73"/>
      <c r="H1" s="74" t="s">
        <v>152</v>
      </c>
    </row>
    <row r="2" spans="1:10" ht="15" x14ac:dyDescent="0.25">
      <c r="A2" s="73"/>
      <c r="B2" s="73"/>
      <c r="C2" s="73"/>
      <c r="D2" s="73"/>
      <c r="E2" s="73"/>
      <c r="F2" s="73"/>
      <c r="G2" s="73"/>
      <c r="H2" s="75" t="s">
        <v>846</v>
      </c>
    </row>
    <row r="3" spans="1:10" ht="15" x14ac:dyDescent="0.25">
      <c r="A3" s="73"/>
      <c r="B3" s="73"/>
      <c r="C3" s="73"/>
      <c r="D3" s="73"/>
      <c r="E3" s="73"/>
      <c r="F3" s="73"/>
      <c r="G3" s="73"/>
      <c r="H3" s="20" t="s">
        <v>847</v>
      </c>
    </row>
    <row r="4" spans="1:10" ht="20.25" x14ac:dyDescent="0.3">
      <c r="A4" s="468" t="s">
        <v>730</v>
      </c>
      <c r="B4" s="468"/>
      <c r="C4" s="468"/>
      <c r="D4" s="468"/>
      <c r="E4" s="468"/>
      <c r="F4" s="468"/>
      <c r="G4" s="468"/>
      <c r="H4" s="468"/>
    </row>
    <row r="5" spans="1:10" ht="20.25" x14ac:dyDescent="0.3">
      <c r="A5" s="471" t="s">
        <v>281</v>
      </c>
      <c r="B5" s="471"/>
      <c r="C5" s="471"/>
      <c r="D5" s="471"/>
      <c r="E5" s="471"/>
      <c r="F5" s="471"/>
      <c r="G5" s="471"/>
      <c r="H5" s="471"/>
    </row>
    <row r="6" spans="1:10" ht="20.25" x14ac:dyDescent="0.3">
      <c r="A6" s="76"/>
      <c r="B6" s="76"/>
      <c r="C6" s="76"/>
      <c r="D6" s="76"/>
      <c r="E6" s="76"/>
      <c r="F6" s="76"/>
      <c r="G6" s="76"/>
      <c r="H6" s="77" t="s">
        <v>279</v>
      </c>
    </row>
    <row r="7" spans="1:10" s="10" customFormat="1" ht="14.25" x14ac:dyDescent="0.2">
      <c r="A7" s="470" t="s">
        <v>204</v>
      </c>
      <c r="B7" s="470" t="s">
        <v>28</v>
      </c>
      <c r="C7" s="470" t="s">
        <v>752</v>
      </c>
      <c r="D7" s="469" t="s">
        <v>52</v>
      </c>
      <c r="E7" s="469"/>
      <c r="F7" s="469"/>
      <c r="G7" s="469"/>
      <c r="H7" s="469"/>
    </row>
    <row r="8" spans="1:10" s="10" customFormat="1" ht="71.25" x14ac:dyDescent="0.2">
      <c r="A8" s="470"/>
      <c r="B8" s="470"/>
      <c r="C8" s="470"/>
      <c r="D8" s="101" t="s">
        <v>234</v>
      </c>
      <c r="E8" s="101" t="s">
        <v>235</v>
      </c>
      <c r="F8" s="101" t="s">
        <v>24</v>
      </c>
      <c r="G8" s="101" t="s">
        <v>237</v>
      </c>
      <c r="H8" s="101" t="s">
        <v>732</v>
      </c>
    </row>
    <row r="9" spans="1:10" s="11" customFormat="1" ht="16.5" x14ac:dyDescent="0.25">
      <c r="A9" s="174"/>
      <c r="B9" s="175" t="s">
        <v>27</v>
      </c>
      <c r="C9" s="176">
        <f t="shared" ref="C9:H9" si="0">C10+C11+C12+C13+C14+C16+C17+C18+C15</f>
        <v>95711200</v>
      </c>
      <c r="D9" s="176">
        <f t="shared" si="0"/>
        <v>66293521</v>
      </c>
      <c r="E9" s="177">
        <f t="shared" si="0"/>
        <v>1714373</v>
      </c>
      <c r="F9" s="177">
        <f t="shared" si="0"/>
        <v>20562501</v>
      </c>
      <c r="G9" s="177">
        <f t="shared" si="0"/>
        <v>690899</v>
      </c>
      <c r="H9" s="177">
        <f t="shared" si="0"/>
        <v>6449906</v>
      </c>
    </row>
    <row r="10" spans="1:10" ht="15" x14ac:dyDescent="0.25">
      <c r="A10" s="78" t="s">
        <v>29</v>
      </c>
      <c r="B10" s="70" t="s">
        <v>9</v>
      </c>
      <c r="C10" s="54">
        <f>D10+E10+F10+G10+H10</f>
        <v>8032981</v>
      </c>
      <c r="D10" s="57">
        <f>'3.pielikums'!D10</f>
        <v>7036613</v>
      </c>
      <c r="E10" s="57">
        <f>'3.pielikums'!E10</f>
        <v>136917</v>
      </c>
      <c r="F10" s="57">
        <f>'3.pielikums'!F10</f>
        <v>44286</v>
      </c>
      <c r="G10" s="57">
        <f>'3.pielikums'!G10</f>
        <v>637767</v>
      </c>
      <c r="H10" s="57">
        <f>'3.pielikums'!H10</f>
        <v>177398</v>
      </c>
      <c r="J10" s="7"/>
    </row>
    <row r="11" spans="1:10" ht="15" x14ac:dyDescent="0.25">
      <c r="A11" s="78" t="s">
        <v>30</v>
      </c>
      <c r="B11" s="70" t="s">
        <v>11</v>
      </c>
      <c r="C11" s="54">
        <f t="shared" ref="C11:C24" si="1">D11+E11+F11+G11+H11</f>
        <v>3522804</v>
      </c>
      <c r="D11" s="57">
        <f>'3.pielikums'!D33</f>
        <v>3285795</v>
      </c>
      <c r="E11" s="57">
        <f>'3.pielikums'!E33</f>
        <v>143300</v>
      </c>
      <c r="F11" s="57">
        <f>'3.pielikums'!F33</f>
        <v>0</v>
      </c>
      <c r="G11" s="56">
        <f>'3.pielikums'!G33</f>
        <v>0</v>
      </c>
      <c r="H11" s="57">
        <f>'3.pielikums'!H33</f>
        <v>93709</v>
      </c>
    </row>
    <row r="12" spans="1:10" ht="15" x14ac:dyDescent="0.25">
      <c r="A12" s="78" t="s">
        <v>31</v>
      </c>
      <c r="B12" s="70" t="s">
        <v>12</v>
      </c>
      <c r="C12" s="54">
        <f t="shared" si="1"/>
        <v>26205954</v>
      </c>
      <c r="D12" s="57">
        <f>'3.pielikums'!D39</f>
        <v>15143394</v>
      </c>
      <c r="E12" s="57">
        <f>'3.pielikums'!E39</f>
        <v>45600</v>
      </c>
      <c r="F12" s="57">
        <f>'3.pielikums'!F39</f>
        <v>6372590</v>
      </c>
      <c r="G12" s="56">
        <f>'3.pielikums'!G39</f>
        <v>24154</v>
      </c>
      <c r="H12" s="57">
        <f>'3.pielikums'!H39</f>
        <v>4620216</v>
      </c>
    </row>
    <row r="13" spans="1:10" ht="15" x14ac:dyDescent="0.25">
      <c r="A13" s="78" t="s">
        <v>32</v>
      </c>
      <c r="B13" s="70" t="s">
        <v>13</v>
      </c>
      <c r="C13" s="54">
        <f t="shared" si="1"/>
        <v>5047550</v>
      </c>
      <c r="D13" s="57">
        <f>'3.pielikums'!D66</f>
        <v>3333494</v>
      </c>
      <c r="E13" s="57">
        <f>'3.pielikums'!E66</f>
        <v>0</v>
      </c>
      <c r="F13" s="57">
        <f>'3.pielikums'!F66</f>
        <v>1682234</v>
      </c>
      <c r="G13" s="56">
        <f>'3.pielikums'!G66</f>
        <v>0</v>
      </c>
      <c r="H13" s="57">
        <f>'3.pielikums'!H66</f>
        <v>31822</v>
      </c>
    </row>
    <row r="14" spans="1:10" ht="15" x14ac:dyDescent="0.25">
      <c r="A14" s="78" t="s">
        <v>33</v>
      </c>
      <c r="B14" s="70" t="s">
        <v>163</v>
      </c>
      <c r="C14" s="54">
        <f t="shared" si="1"/>
        <v>5150781</v>
      </c>
      <c r="D14" s="57">
        <f>'3.pielikums'!D79</f>
        <v>4721684</v>
      </c>
      <c r="E14" s="57">
        <f>'3.pielikums'!E79</f>
        <v>80690</v>
      </c>
      <c r="F14" s="57">
        <f>'3.pielikums'!F79</f>
        <v>320357</v>
      </c>
      <c r="G14" s="56">
        <f>'3.pielikums'!G79</f>
        <v>0</v>
      </c>
      <c r="H14" s="57">
        <f>'3.pielikums'!H79</f>
        <v>28050</v>
      </c>
    </row>
    <row r="15" spans="1:10" ht="15" x14ac:dyDescent="0.25">
      <c r="A15" s="78" t="s">
        <v>149</v>
      </c>
      <c r="B15" s="70" t="s">
        <v>150</v>
      </c>
      <c r="C15" s="54">
        <f t="shared" si="1"/>
        <v>226240</v>
      </c>
      <c r="D15" s="57">
        <f>'3.pielikums'!D93</f>
        <v>132250</v>
      </c>
      <c r="E15" s="57">
        <f>'3.pielikums'!E93</f>
        <v>0</v>
      </c>
      <c r="F15" s="57">
        <f>'3.pielikums'!F93</f>
        <v>63802</v>
      </c>
      <c r="G15" s="56">
        <f>'3.pielikums'!G93</f>
        <v>0</v>
      </c>
      <c r="H15" s="57">
        <f>'3.pielikums'!H93</f>
        <v>30188</v>
      </c>
    </row>
    <row r="16" spans="1:10" ht="15" x14ac:dyDescent="0.25">
      <c r="A16" s="78" t="s">
        <v>34</v>
      </c>
      <c r="B16" s="70" t="s">
        <v>14</v>
      </c>
      <c r="C16" s="54">
        <f t="shared" si="1"/>
        <v>6904940</v>
      </c>
      <c r="D16" s="57">
        <f>'3.pielikums'!D100</f>
        <v>6124763</v>
      </c>
      <c r="E16" s="57">
        <f>'3.pielikums'!E100</f>
        <v>590658</v>
      </c>
      <c r="F16" s="57">
        <f>'3.pielikums'!F100</f>
        <v>112533</v>
      </c>
      <c r="G16" s="56">
        <f>'3.pielikums'!G100</f>
        <v>19764</v>
      </c>
      <c r="H16" s="57">
        <f>'3.pielikums'!H100</f>
        <v>57222</v>
      </c>
    </row>
    <row r="17" spans="1:9" ht="15" x14ac:dyDescent="0.25">
      <c r="A17" s="78" t="s">
        <v>35</v>
      </c>
      <c r="B17" s="70" t="s">
        <v>15</v>
      </c>
      <c r="C17" s="54">
        <f t="shared" si="1"/>
        <v>32941859</v>
      </c>
      <c r="D17" s="57">
        <f>'3.pielikums'!D133</f>
        <v>20335030</v>
      </c>
      <c r="E17" s="57">
        <f>'3.pielikums'!E133</f>
        <v>639090</v>
      </c>
      <c r="F17" s="57">
        <f>'3.pielikums'!F133</f>
        <v>10655259</v>
      </c>
      <c r="G17" s="57">
        <f>'3.pielikums'!G133</f>
        <v>0</v>
      </c>
      <c r="H17" s="57">
        <f>'3.pielikums'!H133</f>
        <v>1312480</v>
      </c>
    </row>
    <row r="18" spans="1:9" ht="15" x14ac:dyDescent="0.25">
      <c r="A18" s="79" t="s">
        <v>36</v>
      </c>
      <c r="B18" s="72" t="s">
        <v>16</v>
      </c>
      <c r="C18" s="54">
        <f t="shared" si="1"/>
        <v>7678091</v>
      </c>
      <c r="D18" s="56">
        <f>'3.pielikums'!D176</f>
        <v>6180498</v>
      </c>
      <c r="E18" s="56">
        <f>'3.pielikums'!E176</f>
        <v>78118</v>
      </c>
      <c r="F18" s="56">
        <f>'3.pielikums'!F176</f>
        <v>1311440</v>
      </c>
      <c r="G18" s="56">
        <f>'3.pielikums'!G176</f>
        <v>9214</v>
      </c>
      <c r="H18" s="56">
        <f>'3.pielikums'!H176</f>
        <v>98821</v>
      </c>
    </row>
    <row r="19" spans="1:9" s="11" customFormat="1" ht="16.5" x14ac:dyDescent="0.25">
      <c r="A19" s="174"/>
      <c r="B19" s="174" t="s">
        <v>51</v>
      </c>
      <c r="C19" s="176">
        <f t="shared" ref="C19:H19" si="2">C20+C21+C27</f>
        <v>9165492</v>
      </c>
      <c r="D19" s="176">
        <f t="shared" si="2"/>
        <v>2320343</v>
      </c>
      <c r="E19" s="176">
        <f t="shared" si="2"/>
        <v>0</v>
      </c>
      <c r="F19" s="176">
        <f t="shared" si="2"/>
        <v>0</v>
      </c>
      <c r="G19" s="176">
        <f t="shared" si="2"/>
        <v>0</v>
      </c>
      <c r="H19" s="176">
        <f t="shared" si="2"/>
        <v>6845149</v>
      </c>
    </row>
    <row r="20" spans="1:9" ht="16.5" customHeight="1" x14ac:dyDescent="0.25">
      <c r="A20" s="80" t="s">
        <v>164</v>
      </c>
      <c r="B20" s="69" t="s">
        <v>165</v>
      </c>
      <c r="C20" s="54">
        <f t="shared" si="1"/>
        <v>6845149</v>
      </c>
      <c r="D20" s="57">
        <f>'3.pielikums'!D213</f>
        <v>0</v>
      </c>
      <c r="E20" s="57">
        <f>'3.pielikums'!E213</f>
        <v>0</v>
      </c>
      <c r="F20" s="57">
        <f>'3.pielikums'!F213</f>
        <v>0</v>
      </c>
      <c r="G20" s="57">
        <f>'3.pielikums'!G213</f>
        <v>0</v>
      </c>
      <c r="H20" s="57">
        <f>'3.pielikums'!H213</f>
        <v>6845149</v>
      </c>
    </row>
    <row r="21" spans="1:9" ht="17.25" customHeight="1" x14ac:dyDescent="0.25">
      <c r="A21" s="80" t="s">
        <v>95</v>
      </c>
      <c r="B21" s="70" t="s">
        <v>151</v>
      </c>
      <c r="C21" s="54">
        <f>D21+E21+F21+G21+H21</f>
        <v>698055</v>
      </c>
      <c r="D21" s="57">
        <f>'3.pielikums'!D214</f>
        <v>698055</v>
      </c>
      <c r="E21" s="57">
        <f>'3.pielikums'!E214</f>
        <v>0</v>
      </c>
      <c r="F21" s="57">
        <f>'3.pielikums'!F214</f>
        <v>0</v>
      </c>
      <c r="G21" s="57">
        <f>'3.pielikums'!G214</f>
        <v>0</v>
      </c>
      <c r="H21" s="57">
        <f>'3.pielikums'!H214</f>
        <v>0</v>
      </c>
    </row>
    <row r="22" spans="1:9" ht="15.75" hidden="1" customHeight="1" x14ac:dyDescent="0.2">
      <c r="A22" s="80"/>
      <c r="B22" s="199" t="s">
        <v>669</v>
      </c>
      <c r="C22" s="98">
        <f t="shared" si="1"/>
        <v>0</v>
      </c>
      <c r="D22" s="98">
        <f>'3.pielikums'!D215</f>
        <v>0</v>
      </c>
      <c r="E22" s="98">
        <f>'3.pielikums'!E215</f>
        <v>0</v>
      </c>
      <c r="F22" s="98">
        <f>'3.pielikums'!F215</f>
        <v>0</v>
      </c>
      <c r="G22" s="98">
        <f>'3.pielikums'!G215</f>
        <v>0</v>
      </c>
      <c r="H22" s="98">
        <f>'3.pielikums'!H215</f>
        <v>0</v>
      </c>
    </row>
    <row r="23" spans="1:9" x14ac:dyDescent="0.2">
      <c r="A23" s="80"/>
      <c r="B23" s="199" t="s">
        <v>670</v>
      </c>
      <c r="C23" s="98">
        <f t="shared" si="1"/>
        <v>25000</v>
      </c>
      <c r="D23" s="98">
        <f>'3.pielikums'!D216</f>
        <v>25000</v>
      </c>
      <c r="E23" s="98">
        <f>'3.pielikums'!E216</f>
        <v>0</v>
      </c>
      <c r="F23" s="98">
        <f>'3.pielikums'!F216</f>
        <v>0</v>
      </c>
      <c r="G23" s="98">
        <f>'3.pielikums'!G216</f>
        <v>0</v>
      </c>
      <c r="H23" s="98">
        <f>'3.pielikums'!H216</f>
        <v>0</v>
      </c>
    </row>
    <row r="24" spans="1:9" ht="15" x14ac:dyDescent="0.2">
      <c r="A24" s="170"/>
      <c r="B24" s="199" t="s">
        <v>671</v>
      </c>
      <c r="C24" s="98">
        <f t="shared" si="1"/>
        <v>573055</v>
      </c>
      <c r="D24" s="98">
        <f>'3.pielikums'!D217</f>
        <v>573055</v>
      </c>
      <c r="E24" s="98">
        <f>'3.pielikums'!E217</f>
        <v>0</v>
      </c>
      <c r="F24" s="98">
        <f>'3.pielikums'!F217</f>
        <v>0</v>
      </c>
      <c r="G24" s="98">
        <f>'3.pielikums'!G217</f>
        <v>0</v>
      </c>
      <c r="H24" s="98">
        <f>'3.pielikums'!H217</f>
        <v>0</v>
      </c>
      <c r="I24" s="5"/>
    </row>
    <row r="25" spans="1:9" ht="15" x14ac:dyDescent="0.2">
      <c r="A25" s="170"/>
      <c r="B25" s="199" t="s">
        <v>672</v>
      </c>
      <c r="C25" s="98">
        <f>D25+E25+F25+G25+H25</f>
        <v>100000</v>
      </c>
      <c r="D25" s="98">
        <f>'3.pielikums'!D218</f>
        <v>100000</v>
      </c>
      <c r="E25" s="98">
        <f>'3.pielikums'!E218</f>
        <v>0</v>
      </c>
      <c r="F25" s="98">
        <f>'3.pielikums'!F218</f>
        <v>0</v>
      </c>
      <c r="G25" s="98">
        <f>'3.pielikums'!G218</f>
        <v>0</v>
      </c>
      <c r="H25" s="98">
        <f>'3.pielikums'!H218</f>
        <v>0</v>
      </c>
      <c r="I25" s="5"/>
    </row>
    <row r="26" spans="1:9" ht="15" hidden="1" x14ac:dyDescent="0.2">
      <c r="A26" s="170"/>
      <c r="B26" s="199" t="s">
        <v>673</v>
      </c>
      <c r="C26" s="98">
        <f>D26+E26+F26+G26+H26</f>
        <v>0</v>
      </c>
      <c r="D26" s="98">
        <f>'3.pielikums'!D219</f>
        <v>0</v>
      </c>
      <c r="E26" s="98">
        <f>'3.pielikums'!E219</f>
        <v>0</v>
      </c>
      <c r="F26" s="98">
        <f>'3.pielikums'!F219</f>
        <v>0</v>
      </c>
      <c r="G26" s="98">
        <f>'3.pielikums'!G219</f>
        <v>0</v>
      </c>
      <c r="H26" s="98">
        <f>'3.pielikums'!H219</f>
        <v>0</v>
      </c>
      <c r="I26" s="5"/>
    </row>
    <row r="27" spans="1:9" ht="15.75" x14ac:dyDescent="0.25">
      <c r="A27" s="171" t="s">
        <v>800</v>
      </c>
      <c r="B27" s="81" t="s">
        <v>302</v>
      </c>
      <c r="C27" s="54">
        <f>'3.pielikums'!C220</f>
        <v>1622288</v>
      </c>
      <c r="D27" s="57">
        <f>'3.pielikums'!D220</f>
        <v>1622288</v>
      </c>
      <c r="E27" s="57">
        <f>'3.pielikums'!E220</f>
        <v>0</v>
      </c>
      <c r="F27" s="57">
        <f>'3.pielikums'!F220</f>
        <v>0</v>
      </c>
      <c r="G27" s="57">
        <f>'3.pielikums'!G220</f>
        <v>0</v>
      </c>
      <c r="H27" s="57">
        <f>'3.pielikums'!H220</f>
        <v>0</v>
      </c>
      <c r="I27" s="5"/>
    </row>
    <row r="28" spans="1:9" s="12" customFormat="1" ht="21.75" customHeight="1" x14ac:dyDescent="0.25">
      <c r="A28" s="82"/>
      <c r="B28" s="172" t="s">
        <v>80</v>
      </c>
      <c r="C28" s="173">
        <f t="shared" ref="C28:H28" si="3">C9+C19</f>
        <v>104876692</v>
      </c>
      <c r="D28" s="173">
        <f t="shared" si="3"/>
        <v>68613864</v>
      </c>
      <c r="E28" s="173">
        <f t="shared" si="3"/>
        <v>1714373</v>
      </c>
      <c r="F28" s="173">
        <f t="shared" si="3"/>
        <v>20562501</v>
      </c>
      <c r="G28" s="173">
        <f t="shared" si="3"/>
        <v>690899</v>
      </c>
      <c r="H28" s="173">
        <f t="shared" si="3"/>
        <v>13295055</v>
      </c>
    </row>
    <row r="29" spans="1:9" s="4" customFormat="1" ht="18.75" x14ac:dyDescent="0.3">
      <c r="A29" s="2"/>
      <c r="B29" s="83"/>
      <c r="C29" s="84"/>
      <c r="D29" s="85"/>
    </row>
    <row r="30" spans="1:9" ht="18.75" x14ac:dyDescent="0.3">
      <c r="A30" s="86" t="s">
        <v>25</v>
      </c>
      <c r="B30" s="86"/>
      <c r="C30" s="87"/>
      <c r="D30" s="88"/>
      <c r="E30" s="87"/>
      <c r="F30" s="4"/>
      <c r="G30" s="4"/>
      <c r="H30" s="89" t="s">
        <v>26</v>
      </c>
    </row>
    <row r="31" spans="1:9" x14ac:dyDescent="0.2">
      <c r="C31" s="7"/>
    </row>
    <row r="32" spans="1:9" s="3" customFormat="1" ht="20.25" x14ac:dyDescent="0.3">
      <c r="B32" s="596"/>
      <c r="C32" s="16"/>
    </row>
  </sheetData>
  <mergeCells count="6">
    <mergeCell ref="A4:H4"/>
    <mergeCell ref="D7:H7"/>
    <mergeCell ref="C7:C8"/>
    <mergeCell ref="A7:A8"/>
    <mergeCell ref="B7:B8"/>
    <mergeCell ref="A5:H5"/>
  </mergeCells>
  <phoneticPr fontId="0" type="noConversion"/>
  <printOptions horizontalCentered="1"/>
  <pageMargins left="0.78740157480314965" right="0.78740157480314965" top="0.78740157480314965" bottom="0.78740157480314965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228"/>
  <sheetViews>
    <sheetView zoomScaleNormal="100" workbookViewId="0">
      <pane ySplit="8" topLeftCell="A217" activePane="bottomLeft" state="frozen"/>
      <selection pane="bottomLeft" activeCell="B227" sqref="B227"/>
    </sheetView>
  </sheetViews>
  <sheetFormatPr defaultRowHeight="15.75" x14ac:dyDescent="0.25"/>
  <cols>
    <col min="1" max="1" width="12.7109375" style="29" customWidth="1"/>
    <col min="2" max="2" width="57" style="30" customWidth="1"/>
    <col min="3" max="3" width="14.5703125" style="185" customWidth="1"/>
    <col min="4" max="4" width="13.7109375" style="32" customWidth="1"/>
    <col min="5" max="5" width="12.140625" style="31" customWidth="1"/>
    <col min="6" max="6" width="13.28515625" style="31" customWidth="1"/>
    <col min="7" max="7" width="11.7109375" style="31" customWidth="1"/>
    <col min="8" max="8" width="13.5703125" style="31" customWidth="1"/>
    <col min="9" max="16384" width="9.140625" style="31"/>
  </cols>
  <sheetData>
    <row r="1" spans="1:8" x14ac:dyDescent="0.25">
      <c r="A1" s="9"/>
      <c r="B1" s="247"/>
      <c r="C1" s="15"/>
      <c r="D1" s="13"/>
      <c r="E1" s="1"/>
      <c r="F1" s="1"/>
      <c r="G1" s="1"/>
      <c r="H1" s="143" t="s">
        <v>78</v>
      </c>
    </row>
    <row r="2" spans="1:8" x14ac:dyDescent="0.25">
      <c r="A2" s="9"/>
      <c r="B2" s="247"/>
      <c r="C2" s="15"/>
      <c r="D2" s="13"/>
      <c r="E2" s="1"/>
      <c r="F2" s="1"/>
      <c r="G2" s="1"/>
      <c r="H2" s="20" t="s">
        <v>846</v>
      </c>
    </row>
    <row r="3" spans="1:8" x14ac:dyDescent="0.25">
      <c r="H3" s="20" t="s">
        <v>847</v>
      </c>
    </row>
    <row r="4" spans="1:8" x14ac:dyDescent="0.25">
      <c r="A4" s="472" t="s">
        <v>730</v>
      </c>
      <c r="B4" s="473"/>
      <c r="C4" s="473"/>
      <c r="D4" s="473"/>
      <c r="E4" s="473"/>
      <c r="F4" s="473"/>
      <c r="G4" s="473"/>
      <c r="H4" s="473"/>
    </row>
    <row r="5" spans="1:8" x14ac:dyDescent="0.25">
      <c r="A5" s="472" t="s">
        <v>79</v>
      </c>
      <c r="B5" s="473"/>
      <c r="C5" s="473"/>
      <c r="D5" s="473"/>
      <c r="E5" s="473"/>
      <c r="F5" s="473"/>
      <c r="G5" s="473"/>
      <c r="H5" s="473"/>
    </row>
    <row r="6" spans="1:8" x14ac:dyDescent="0.25">
      <c r="A6" s="225"/>
      <c r="C6" s="226"/>
      <c r="D6" s="227"/>
      <c r="E6" s="228"/>
      <c r="F6" s="228"/>
      <c r="G6" s="228"/>
      <c r="H6" s="45" t="s">
        <v>279</v>
      </c>
    </row>
    <row r="7" spans="1:8" x14ac:dyDescent="0.25">
      <c r="A7" s="476" t="s">
        <v>186</v>
      </c>
      <c r="B7" s="476" t="s">
        <v>28</v>
      </c>
      <c r="C7" s="476" t="s">
        <v>731</v>
      </c>
      <c r="D7" s="474" t="s">
        <v>52</v>
      </c>
      <c r="E7" s="475"/>
      <c r="F7" s="475"/>
      <c r="G7" s="475"/>
      <c r="H7" s="475"/>
    </row>
    <row r="8" spans="1:8" s="229" customFormat="1" ht="71.25" x14ac:dyDescent="0.25">
      <c r="A8" s="477"/>
      <c r="B8" s="478"/>
      <c r="C8" s="477"/>
      <c r="D8" s="216" t="s">
        <v>234</v>
      </c>
      <c r="E8" s="216" t="s">
        <v>235</v>
      </c>
      <c r="F8" s="216" t="s">
        <v>236</v>
      </c>
      <c r="G8" s="216" t="s">
        <v>237</v>
      </c>
      <c r="H8" s="216" t="s">
        <v>732</v>
      </c>
    </row>
    <row r="9" spans="1:8" s="185" customFormat="1" x14ac:dyDescent="0.25">
      <c r="A9" s="46"/>
      <c r="B9" s="47" t="s">
        <v>27</v>
      </c>
      <c r="C9" s="48">
        <f>SUM(D9+E9+F9+G9+H9)</f>
        <v>95711200</v>
      </c>
      <c r="D9" s="48">
        <f>SUM(D10+D33+D39+D66+D79+D100+D133+D176+D93)</f>
        <v>66293521</v>
      </c>
      <c r="E9" s="48">
        <f>SUM(E10+E33+E39+E66+E79+E100+E133+E176+E93)</f>
        <v>1714373</v>
      </c>
      <c r="F9" s="48">
        <f>SUM(F10+F33+F39+F66+F79+F100+F133+F176+F93)</f>
        <v>20562501</v>
      </c>
      <c r="G9" s="48">
        <f>SUM(G10+G33+G39+G66+G79+G100+G133+G176+G93)</f>
        <v>690899</v>
      </c>
      <c r="H9" s="48">
        <f>SUM(H10+H33+H39+H66+H79+H100+H133+H176+H93)</f>
        <v>6449906</v>
      </c>
    </row>
    <row r="10" spans="1:8" s="185" customFormat="1" x14ac:dyDescent="0.25">
      <c r="A10" s="49" t="s">
        <v>29</v>
      </c>
      <c r="B10" s="50" t="s">
        <v>9</v>
      </c>
      <c r="C10" s="51">
        <f>SUM(D10+E10+F10+G10+H10)</f>
        <v>8032981</v>
      </c>
      <c r="D10" s="51">
        <f>SUM(D11+D16+D20+D23+D25+D27+D31)</f>
        <v>7036613</v>
      </c>
      <c r="E10" s="51">
        <f>SUM(E11+E16+E20+E23+E25+E27+E31)</f>
        <v>136917</v>
      </c>
      <c r="F10" s="51">
        <f>SUM(F11+F16+F20+F23+F25+F27+F31)</f>
        <v>44286</v>
      </c>
      <c r="G10" s="51">
        <f>SUM(G11+G16+G20+G23+G25+G27+G31)</f>
        <v>637767</v>
      </c>
      <c r="H10" s="51">
        <f>SUM(H11+H16+H20+H23+H25+H27+H31)</f>
        <v>177398</v>
      </c>
    </row>
    <row r="11" spans="1:8" x14ac:dyDescent="0.25">
      <c r="A11" s="52" t="s">
        <v>39</v>
      </c>
      <c r="B11" s="53" t="s">
        <v>238</v>
      </c>
      <c r="C11" s="61">
        <f>SUM(D11+E11+F11+G11+H11)</f>
        <v>4668060</v>
      </c>
      <c r="D11" s="161">
        <f>D12+D13+D14+D15</f>
        <v>4458669</v>
      </c>
      <c r="E11" s="161">
        <f>E12+E13+E14+E15</f>
        <v>136917</v>
      </c>
      <c r="F11" s="161">
        <f>F12+F13+F14+F15</f>
        <v>26424</v>
      </c>
      <c r="G11" s="161">
        <f>G12+G13+G14+G15</f>
        <v>0</v>
      </c>
      <c r="H11" s="161">
        <f>H12+H13+H14+H15</f>
        <v>46050</v>
      </c>
    </row>
    <row r="12" spans="1:8" s="230" customFormat="1" x14ac:dyDescent="0.25">
      <c r="A12" s="149" t="s">
        <v>185</v>
      </c>
      <c r="B12" s="183" t="s">
        <v>187</v>
      </c>
      <c r="C12" s="158">
        <f>SUM(D12:H12)</f>
        <v>4574431</v>
      </c>
      <c r="D12" s="162">
        <v>4451669</v>
      </c>
      <c r="E12" s="157">
        <v>99500</v>
      </c>
      <c r="F12" s="66">
        <v>0</v>
      </c>
      <c r="G12" s="66">
        <v>0</v>
      </c>
      <c r="H12" s="66">
        <v>23262</v>
      </c>
    </row>
    <row r="13" spans="1:8" s="230" customFormat="1" ht="30" x14ac:dyDescent="0.25">
      <c r="A13" s="151" t="s">
        <v>294</v>
      </c>
      <c r="B13" s="184" t="s">
        <v>295</v>
      </c>
      <c r="C13" s="158">
        <f>SUM(D13:H13)</f>
        <v>50876</v>
      </c>
      <c r="D13" s="162">
        <v>7000</v>
      </c>
      <c r="E13" s="157">
        <v>37417</v>
      </c>
      <c r="F13" s="66">
        <v>0</v>
      </c>
      <c r="G13" s="66">
        <v>0</v>
      </c>
      <c r="H13" s="66">
        <v>6459</v>
      </c>
    </row>
    <row r="14" spans="1:8" s="230" customFormat="1" ht="45" x14ac:dyDescent="0.25">
      <c r="A14" s="151" t="s">
        <v>649</v>
      </c>
      <c r="B14" s="184" t="s">
        <v>654</v>
      </c>
      <c r="C14" s="158">
        <f>SUM(D14:H14)</f>
        <v>42753</v>
      </c>
      <c r="D14" s="162">
        <v>0</v>
      </c>
      <c r="E14" s="157">
        <v>0</v>
      </c>
      <c r="F14" s="157">
        <v>26424</v>
      </c>
      <c r="G14" s="157">
        <v>0</v>
      </c>
      <c r="H14" s="157">
        <v>16329</v>
      </c>
    </row>
    <row r="15" spans="1:8" s="230" customFormat="1" hidden="1" x14ac:dyDescent="0.25">
      <c r="A15" s="155"/>
      <c r="B15" s="248"/>
      <c r="C15" s="180">
        <f>SUM(D15:H15)</f>
        <v>0</v>
      </c>
      <c r="D15" s="367"/>
      <c r="E15" s="67"/>
      <c r="F15" s="67"/>
      <c r="G15" s="67"/>
      <c r="H15" s="67"/>
    </row>
    <row r="16" spans="1:8" x14ac:dyDescent="0.25">
      <c r="A16" s="52" t="s">
        <v>37</v>
      </c>
      <c r="B16" s="53" t="s">
        <v>63</v>
      </c>
      <c r="C16" s="156">
        <f>SUM(C17:C19)</f>
        <v>434876</v>
      </c>
      <c r="D16" s="61">
        <f>D17+D19+D18</f>
        <v>434876</v>
      </c>
      <c r="E16" s="61">
        <f>E17+E19+E18</f>
        <v>0</v>
      </c>
      <c r="F16" s="61">
        <f>F17+F19+F18</f>
        <v>0</v>
      </c>
      <c r="G16" s="61">
        <f>G17+G19+G18</f>
        <v>0</v>
      </c>
      <c r="H16" s="61">
        <f>H17+H19+H18</f>
        <v>0</v>
      </c>
    </row>
    <row r="17" spans="1:8" s="230" customFormat="1" ht="30" x14ac:dyDescent="0.25">
      <c r="A17" s="151" t="s">
        <v>138</v>
      </c>
      <c r="B17" s="184" t="s">
        <v>750</v>
      </c>
      <c r="C17" s="158">
        <f t="shared" ref="C17:C120" si="0">SUM(D17+E17+F17+G17+H17)</f>
        <v>45250</v>
      </c>
      <c r="D17" s="66">
        <v>45250</v>
      </c>
      <c r="E17" s="66">
        <v>0</v>
      </c>
      <c r="F17" s="66">
        <v>0</v>
      </c>
      <c r="G17" s="66">
        <v>0</v>
      </c>
      <c r="H17" s="157">
        <v>0</v>
      </c>
    </row>
    <row r="18" spans="1:8" s="230" customFormat="1" ht="30" x14ac:dyDescent="0.25">
      <c r="A18" s="151" t="s">
        <v>139</v>
      </c>
      <c r="B18" s="184" t="s">
        <v>389</v>
      </c>
      <c r="C18" s="158">
        <f t="shared" si="0"/>
        <v>293041</v>
      </c>
      <c r="D18" s="157">
        <v>293041</v>
      </c>
      <c r="E18" s="157">
        <v>0</v>
      </c>
      <c r="F18" s="157">
        <v>0</v>
      </c>
      <c r="G18" s="157">
        <v>0</v>
      </c>
      <c r="H18" s="157">
        <v>0</v>
      </c>
    </row>
    <row r="19" spans="1:8" s="230" customFormat="1" ht="31.5" customHeight="1" x14ac:dyDescent="0.25">
      <c r="A19" s="149" t="s">
        <v>233</v>
      </c>
      <c r="B19" s="184" t="s">
        <v>721</v>
      </c>
      <c r="C19" s="158">
        <f>SUM(D19+E19+F19+G19+H19)</f>
        <v>96585</v>
      </c>
      <c r="D19" s="157">
        <v>96585</v>
      </c>
      <c r="E19" s="66">
        <v>0</v>
      </c>
      <c r="F19" s="66">
        <v>0</v>
      </c>
      <c r="G19" s="66">
        <v>0</v>
      </c>
      <c r="H19" s="66">
        <v>0</v>
      </c>
    </row>
    <row r="20" spans="1:8" s="231" customFormat="1" ht="28.5" x14ac:dyDescent="0.2">
      <c r="A20" s="146" t="s">
        <v>46</v>
      </c>
      <c r="B20" s="182" t="s">
        <v>379</v>
      </c>
      <c r="C20" s="156">
        <f>SUM(D20:H20)</f>
        <v>650979</v>
      </c>
      <c r="D20" s="156">
        <f>D21+D22</f>
        <v>503392</v>
      </c>
      <c r="E20" s="156">
        <f>E21+E22</f>
        <v>0</v>
      </c>
      <c r="F20" s="156">
        <f>F21+F22</f>
        <v>17862</v>
      </c>
      <c r="G20" s="156">
        <f>G21+G22</f>
        <v>0</v>
      </c>
      <c r="H20" s="156">
        <f>H21+H22</f>
        <v>129725</v>
      </c>
    </row>
    <row r="21" spans="1:8" x14ac:dyDescent="0.25">
      <c r="A21" s="151" t="s">
        <v>380</v>
      </c>
      <c r="B21" s="184" t="s">
        <v>307</v>
      </c>
      <c r="C21" s="158">
        <f t="shared" si="0"/>
        <v>493980</v>
      </c>
      <c r="D21" s="157">
        <v>493980</v>
      </c>
      <c r="E21" s="66">
        <v>0</v>
      </c>
      <c r="F21" s="66">
        <v>0</v>
      </c>
      <c r="G21" s="66">
        <v>0</v>
      </c>
      <c r="H21" s="66">
        <v>0</v>
      </c>
    </row>
    <row r="22" spans="1:8" ht="45" x14ac:dyDescent="0.25">
      <c r="A22" s="151" t="s">
        <v>374</v>
      </c>
      <c r="B22" s="184" t="s">
        <v>568</v>
      </c>
      <c r="C22" s="158">
        <f t="shared" si="0"/>
        <v>156999</v>
      </c>
      <c r="D22" s="157">
        <v>9412</v>
      </c>
      <c r="E22" s="66">
        <v>0</v>
      </c>
      <c r="F22" s="66">
        <v>17862</v>
      </c>
      <c r="G22" s="66">
        <v>0</v>
      </c>
      <c r="H22" s="157">
        <v>129725</v>
      </c>
    </row>
    <row r="23" spans="1:8" ht="15.75" hidden="1" customHeight="1" x14ac:dyDescent="0.25">
      <c r="A23" s="232" t="s">
        <v>255</v>
      </c>
      <c r="B23" s="190" t="s">
        <v>748</v>
      </c>
      <c r="C23" s="249">
        <f t="shared" si="0"/>
        <v>0</v>
      </c>
      <c r="D23" s="249">
        <f>D24</f>
        <v>0</v>
      </c>
      <c r="E23" s="249">
        <f t="shared" ref="E23:H23" si="1">E24</f>
        <v>0</v>
      </c>
      <c r="F23" s="249">
        <f t="shared" si="1"/>
        <v>0</v>
      </c>
      <c r="G23" s="249">
        <f t="shared" si="1"/>
        <v>0</v>
      </c>
      <c r="H23" s="249">
        <f t="shared" si="1"/>
        <v>0</v>
      </c>
    </row>
    <row r="24" spans="1:8" hidden="1" x14ac:dyDescent="0.25">
      <c r="A24" s="192" t="s">
        <v>749</v>
      </c>
      <c r="B24" s="191" t="s">
        <v>364</v>
      </c>
      <c r="C24" s="163">
        <f t="shared" si="0"/>
        <v>0</v>
      </c>
      <c r="D24" s="160"/>
      <c r="E24" s="160"/>
      <c r="F24" s="160"/>
      <c r="G24" s="160"/>
      <c r="H24" s="160"/>
    </row>
    <row r="25" spans="1:8" x14ac:dyDescent="0.25">
      <c r="A25" s="150" t="s">
        <v>38</v>
      </c>
      <c r="B25" s="53" t="s">
        <v>626</v>
      </c>
      <c r="C25" s="156">
        <f>SUM(D25+E25+F25+G25+H25)</f>
        <v>270000</v>
      </c>
      <c r="D25" s="156">
        <f>D26</f>
        <v>270000</v>
      </c>
      <c r="E25" s="156">
        <f>E26</f>
        <v>0</v>
      </c>
      <c r="F25" s="156">
        <f>F26</f>
        <v>0</v>
      </c>
      <c r="G25" s="156">
        <f>G26</f>
        <v>0</v>
      </c>
      <c r="H25" s="156">
        <f>H26</f>
        <v>0</v>
      </c>
    </row>
    <row r="26" spans="1:8" x14ac:dyDescent="0.25">
      <c r="A26" s="149" t="s">
        <v>625</v>
      </c>
      <c r="B26" s="183" t="s">
        <v>308</v>
      </c>
      <c r="C26" s="158">
        <f t="shared" si="0"/>
        <v>270000</v>
      </c>
      <c r="D26" s="157">
        <v>270000</v>
      </c>
      <c r="E26" s="66">
        <v>0</v>
      </c>
      <c r="F26" s="66">
        <v>0</v>
      </c>
      <c r="G26" s="157">
        <v>0</v>
      </c>
      <c r="H26" s="157">
        <v>0</v>
      </c>
    </row>
    <row r="27" spans="1:8" ht="28.5" x14ac:dyDescent="0.25">
      <c r="A27" s="94" t="s">
        <v>40</v>
      </c>
      <c r="B27" s="59" t="s">
        <v>10</v>
      </c>
      <c r="C27" s="156">
        <f t="shared" si="0"/>
        <v>1509066</v>
      </c>
      <c r="D27" s="156">
        <f>D28+D29+D30</f>
        <v>869676</v>
      </c>
      <c r="E27" s="156">
        <f>E28+E29+E30</f>
        <v>0</v>
      </c>
      <c r="F27" s="156">
        <f>F28+F29+F30</f>
        <v>0</v>
      </c>
      <c r="G27" s="156">
        <f>G28+G29+G30</f>
        <v>637767</v>
      </c>
      <c r="H27" s="156">
        <f>H28+H29+H30</f>
        <v>1623</v>
      </c>
    </row>
    <row r="28" spans="1:8" s="233" customFormat="1" ht="30" x14ac:dyDescent="0.25">
      <c r="A28" s="151" t="s">
        <v>64</v>
      </c>
      <c r="B28" s="184" t="s">
        <v>67</v>
      </c>
      <c r="C28" s="158">
        <f>SUM(D28+E28+F28+G28+H28)</f>
        <v>858909</v>
      </c>
      <c r="D28" s="157">
        <v>219519</v>
      </c>
      <c r="E28" s="157">
        <v>0</v>
      </c>
      <c r="F28" s="157">
        <v>0</v>
      </c>
      <c r="G28" s="157">
        <v>637767</v>
      </c>
      <c r="H28" s="157">
        <v>1623</v>
      </c>
    </row>
    <row r="29" spans="1:8" s="230" customFormat="1" ht="30" x14ac:dyDescent="0.25">
      <c r="A29" s="151" t="s">
        <v>65</v>
      </c>
      <c r="B29" s="184" t="s">
        <v>68</v>
      </c>
      <c r="C29" s="158">
        <f>SUM(D29+E29+F29+G29+H29)</f>
        <v>650157</v>
      </c>
      <c r="D29" s="157">
        <v>650157</v>
      </c>
      <c r="E29" s="157">
        <v>0</v>
      </c>
      <c r="F29" s="157">
        <v>0</v>
      </c>
      <c r="G29" s="157">
        <v>0</v>
      </c>
      <c r="H29" s="157">
        <v>0</v>
      </c>
    </row>
    <row r="30" spans="1:8" s="230" customFormat="1" ht="16.5" hidden="1" customHeight="1" x14ac:dyDescent="0.25">
      <c r="A30" s="234" t="s">
        <v>66</v>
      </c>
      <c r="B30" s="191" t="s">
        <v>132</v>
      </c>
      <c r="C30" s="163">
        <f t="shared" si="0"/>
        <v>0</v>
      </c>
      <c r="D30" s="160"/>
      <c r="E30" s="160"/>
      <c r="F30" s="160"/>
      <c r="G30" s="160"/>
      <c r="H30" s="160"/>
    </row>
    <row r="31" spans="1:8" ht="28.5" x14ac:dyDescent="0.25">
      <c r="A31" s="179" t="s">
        <v>41</v>
      </c>
      <c r="B31" s="59" t="s">
        <v>627</v>
      </c>
      <c r="C31" s="156">
        <f t="shared" si="0"/>
        <v>500000</v>
      </c>
      <c r="D31" s="156">
        <f>D32</f>
        <v>500000</v>
      </c>
      <c r="E31" s="156">
        <f>E32</f>
        <v>0</v>
      </c>
      <c r="F31" s="156">
        <f>F32</f>
        <v>0</v>
      </c>
      <c r="G31" s="156">
        <f>G32</f>
        <v>0</v>
      </c>
      <c r="H31" s="156">
        <f>H32</f>
        <v>0</v>
      </c>
    </row>
    <row r="32" spans="1:8" x14ac:dyDescent="0.25">
      <c r="A32" s="55" t="s">
        <v>628</v>
      </c>
      <c r="B32" s="184" t="s">
        <v>309</v>
      </c>
      <c r="C32" s="158">
        <f>SUM(D32+E32+F32+G32+H32)</f>
        <v>500000</v>
      </c>
      <c r="D32" s="157">
        <v>500000</v>
      </c>
      <c r="E32" s="157">
        <v>0</v>
      </c>
      <c r="F32" s="157">
        <v>0</v>
      </c>
      <c r="G32" s="157">
        <v>0</v>
      </c>
      <c r="H32" s="157">
        <v>0</v>
      </c>
    </row>
    <row r="33" spans="1:8" s="185" customFormat="1" x14ac:dyDescent="0.25">
      <c r="A33" s="49" t="s">
        <v>30</v>
      </c>
      <c r="B33" s="50" t="s">
        <v>11</v>
      </c>
      <c r="C33" s="51">
        <f t="shared" si="0"/>
        <v>3522804</v>
      </c>
      <c r="D33" s="51">
        <f>D34+D36</f>
        <v>3285795</v>
      </c>
      <c r="E33" s="51">
        <f>E34+E36</f>
        <v>143300</v>
      </c>
      <c r="F33" s="51">
        <f>F34+F36</f>
        <v>0</v>
      </c>
      <c r="G33" s="51">
        <f>G34+G36</f>
        <v>0</v>
      </c>
      <c r="H33" s="51">
        <f>H34+H36</f>
        <v>93709</v>
      </c>
    </row>
    <row r="34" spans="1:8" s="185" customFormat="1" x14ac:dyDescent="0.25">
      <c r="A34" s="94" t="s">
        <v>629</v>
      </c>
      <c r="B34" s="59" t="s">
        <v>630</v>
      </c>
      <c r="C34" s="156">
        <f>SUM(D34+E34+F34+G34+H34)</f>
        <v>3093463</v>
      </c>
      <c r="D34" s="156">
        <f>D35</f>
        <v>2859035</v>
      </c>
      <c r="E34" s="156">
        <f>E35</f>
        <v>143300</v>
      </c>
      <c r="F34" s="156">
        <f>F35</f>
        <v>0</v>
      </c>
      <c r="G34" s="156">
        <f>G35</f>
        <v>0</v>
      </c>
      <c r="H34" s="156">
        <f>H35</f>
        <v>91128</v>
      </c>
    </row>
    <row r="35" spans="1:8" ht="30" x14ac:dyDescent="0.25">
      <c r="A35" s="151" t="s">
        <v>42</v>
      </c>
      <c r="B35" s="184" t="s">
        <v>390</v>
      </c>
      <c r="C35" s="158">
        <f t="shared" si="0"/>
        <v>3093463</v>
      </c>
      <c r="D35" s="157">
        <v>2859035</v>
      </c>
      <c r="E35" s="157">
        <v>143300</v>
      </c>
      <c r="F35" s="157">
        <v>0</v>
      </c>
      <c r="G35" s="157">
        <v>0</v>
      </c>
      <c r="H35" s="157">
        <v>91128</v>
      </c>
    </row>
    <row r="36" spans="1:8" ht="28.5" x14ac:dyDescent="0.25">
      <c r="A36" s="94" t="s">
        <v>43</v>
      </c>
      <c r="B36" s="59" t="s">
        <v>69</v>
      </c>
      <c r="C36" s="156">
        <f t="shared" si="0"/>
        <v>429341</v>
      </c>
      <c r="D36" s="156">
        <f>D37+D38</f>
        <v>426760</v>
      </c>
      <c r="E36" s="156">
        <f>E37+E38</f>
        <v>0</v>
      </c>
      <c r="F36" s="61">
        <f>F37+F38</f>
        <v>0</v>
      </c>
      <c r="G36" s="61">
        <f>G37+G38</f>
        <v>0</v>
      </c>
      <c r="H36" s="61">
        <f>H37+H38</f>
        <v>2581</v>
      </c>
    </row>
    <row r="37" spans="1:8" s="230" customFormat="1" ht="30" x14ac:dyDescent="0.25">
      <c r="A37" s="151" t="s">
        <v>87</v>
      </c>
      <c r="B37" s="189" t="s">
        <v>631</v>
      </c>
      <c r="C37" s="158">
        <f>SUM(D37+E37+F37+G37+H37)</f>
        <v>426760</v>
      </c>
      <c r="D37" s="157">
        <v>426760</v>
      </c>
      <c r="E37" s="157">
        <v>0</v>
      </c>
      <c r="F37" s="157">
        <v>0</v>
      </c>
      <c r="G37" s="157">
        <v>0</v>
      </c>
      <c r="H37" s="157">
        <v>0</v>
      </c>
    </row>
    <row r="38" spans="1:8" s="230" customFormat="1" ht="45" x14ac:dyDescent="0.25">
      <c r="A38" s="151" t="s">
        <v>383</v>
      </c>
      <c r="B38" s="189" t="s">
        <v>569</v>
      </c>
      <c r="C38" s="158">
        <f t="shared" si="0"/>
        <v>2581</v>
      </c>
      <c r="D38" s="157">
        <v>0</v>
      </c>
      <c r="E38" s="157">
        <v>0</v>
      </c>
      <c r="F38" s="157">
        <v>0</v>
      </c>
      <c r="G38" s="157">
        <v>0</v>
      </c>
      <c r="H38" s="157">
        <v>2581</v>
      </c>
    </row>
    <row r="39" spans="1:8" s="185" customFormat="1" x14ac:dyDescent="0.25">
      <c r="A39" s="49" t="s">
        <v>31</v>
      </c>
      <c r="B39" s="50" t="s">
        <v>12</v>
      </c>
      <c r="C39" s="51">
        <f>SUM(D39:H39)</f>
        <v>26205954</v>
      </c>
      <c r="D39" s="51">
        <f>SUM(D40+D48+D56+D53)</f>
        <v>15143394</v>
      </c>
      <c r="E39" s="51">
        <f>SUM(E40+E48+E56+E53)</f>
        <v>45600</v>
      </c>
      <c r="F39" s="51">
        <f>SUM(F40+F48+F56+F53)</f>
        <v>6372590</v>
      </c>
      <c r="G39" s="51">
        <f>SUM(G40+G48+G56+G53)</f>
        <v>24154</v>
      </c>
      <c r="H39" s="51">
        <f>SUM(H40+H48+H56+H53)</f>
        <v>4620216</v>
      </c>
    </row>
    <row r="40" spans="1:8" x14ac:dyDescent="0.25">
      <c r="A40" s="53" t="s">
        <v>44</v>
      </c>
      <c r="B40" s="53" t="s">
        <v>45</v>
      </c>
      <c r="C40" s="156">
        <f>SUM(D40:H40)</f>
        <v>22485571</v>
      </c>
      <c r="D40" s="61">
        <f>SUM(D41:D47)</f>
        <v>13859579</v>
      </c>
      <c r="E40" s="61">
        <f>SUM(E41:E47)</f>
        <v>0</v>
      </c>
      <c r="F40" s="61">
        <f>SUM(F41:F47)</f>
        <v>5312463</v>
      </c>
      <c r="G40" s="61">
        <f>SUM(G41:G47)</f>
        <v>0</v>
      </c>
      <c r="H40" s="61">
        <f>SUM(H41:H47)</f>
        <v>3313529</v>
      </c>
    </row>
    <row r="41" spans="1:8" s="230" customFormat="1" ht="30" x14ac:dyDescent="0.25">
      <c r="A41" s="151" t="s">
        <v>70</v>
      </c>
      <c r="B41" s="184" t="s">
        <v>133</v>
      </c>
      <c r="C41" s="158">
        <f t="shared" ref="C41:C47" si="2">SUM(D41:H41)</f>
        <v>3336522</v>
      </c>
      <c r="D41" s="157">
        <f>1880954+15000</f>
        <v>1895954</v>
      </c>
      <c r="E41" s="157">
        <v>0</v>
      </c>
      <c r="F41" s="157">
        <v>1369537</v>
      </c>
      <c r="G41" s="157">
        <v>0</v>
      </c>
      <c r="H41" s="157">
        <v>71031</v>
      </c>
    </row>
    <row r="42" spans="1:8" s="230" customFormat="1" ht="30" x14ac:dyDescent="0.25">
      <c r="A42" s="151" t="s">
        <v>97</v>
      </c>
      <c r="B42" s="197" t="s">
        <v>285</v>
      </c>
      <c r="C42" s="158">
        <f t="shared" si="2"/>
        <v>2515164</v>
      </c>
      <c r="D42" s="157">
        <v>1566794</v>
      </c>
      <c r="E42" s="157">
        <v>0</v>
      </c>
      <c r="F42" s="157">
        <v>854446</v>
      </c>
      <c r="G42" s="157">
        <v>0</v>
      </c>
      <c r="H42" s="157">
        <f>47613+46311</f>
        <v>93924</v>
      </c>
    </row>
    <row r="43" spans="1:8" s="230" customFormat="1" ht="45.75" customHeight="1" x14ac:dyDescent="0.25">
      <c r="A43" s="151" t="s">
        <v>523</v>
      </c>
      <c r="B43" s="197" t="s">
        <v>524</v>
      </c>
      <c r="C43" s="158">
        <f t="shared" si="2"/>
        <v>9755809</v>
      </c>
      <c r="D43" s="157">
        <v>6436233</v>
      </c>
      <c r="E43" s="157">
        <v>0</v>
      </c>
      <c r="F43" s="157">
        <v>895406</v>
      </c>
      <c r="G43" s="157">
        <v>0</v>
      </c>
      <c r="H43" s="157">
        <v>2424170</v>
      </c>
    </row>
    <row r="44" spans="1:8" s="230" customFormat="1" ht="37.5" customHeight="1" x14ac:dyDescent="0.25">
      <c r="A44" s="147" t="s">
        <v>559</v>
      </c>
      <c r="B44" s="184" t="s">
        <v>560</v>
      </c>
      <c r="C44" s="158">
        <f t="shared" si="2"/>
        <v>4502896</v>
      </c>
      <c r="D44" s="157">
        <v>2777905</v>
      </c>
      <c r="E44" s="157">
        <v>0</v>
      </c>
      <c r="F44" s="157">
        <v>1000587</v>
      </c>
      <c r="G44" s="157">
        <v>0</v>
      </c>
      <c r="H44" s="157">
        <v>724404</v>
      </c>
    </row>
    <row r="45" spans="1:8" s="230" customFormat="1" ht="34.5" hidden="1" customHeight="1" x14ac:dyDescent="0.25">
      <c r="A45" s="250" t="s">
        <v>561</v>
      </c>
      <c r="B45" s="191" t="s">
        <v>562</v>
      </c>
      <c r="C45" s="163">
        <f t="shared" si="2"/>
        <v>0</v>
      </c>
      <c r="D45" s="160"/>
      <c r="E45" s="160"/>
      <c r="F45" s="160"/>
      <c r="G45" s="160"/>
      <c r="H45" s="160"/>
    </row>
    <row r="46" spans="1:8" s="230" customFormat="1" ht="36.75" customHeight="1" x14ac:dyDescent="0.25">
      <c r="A46" s="147" t="s">
        <v>733</v>
      </c>
      <c r="B46" s="184" t="s">
        <v>734</v>
      </c>
      <c r="C46" s="158">
        <f t="shared" si="2"/>
        <v>2375180</v>
      </c>
      <c r="D46" s="157">
        <f>52000+1130693</f>
        <v>1182693</v>
      </c>
      <c r="E46" s="157">
        <v>0</v>
      </c>
      <c r="F46" s="157">
        <v>1192487</v>
      </c>
      <c r="G46" s="157">
        <v>0</v>
      </c>
      <c r="H46" s="157">
        <v>0</v>
      </c>
    </row>
    <row r="47" spans="1:8" s="230" customFormat="1" hidden="1" x14ac:dyDescent="0.25">
      <c r="A47" s="192"/>
      <c r="B47" s="193"/>
      <c r="C47" s="163">
        <f t="shared" si="2"/>
        <v>0</v>
      </c>
      <c r="D47" s="160"/>
      <c r="E47" s="160"/>
      <c r="F47" s="160"/>
      <c r="G47" s="160"/>
      <c r="H47" s="160"/>
    </row>
    <row r="48" spans="1:8" x14ac:dyDescent="0.25">
      <c r="A48" s="152" t="s">
        <v>98</v>
      </c>
      <c r="B48" s="92" t="s">
        <v>140</v>
      </c>
      <c r="C48" s="156">
        <f>SUM(D48:H48)</f>
        <v>2283238</v>
      </c>
      <c r="D48" s="156">
        <f>SUM(D49:D52)</f>
        <v>1176696</v>
      </c>
      <c r="E48" s="156">
        <f>SUM(E49:E52)</f>
        <v>45600</v>
      </c>
      <c r="F48" s="156">
        <f>SUM(F49:F52)</f>
        <v>946023</v>
      </c>
      <c r="G48" s="156">
        <f>SUM(G49:G52)</f>
        <v>24154</v>
      </c>
      <c r="H48" s="156">
        <f>SUM(H49:H52)</f>
        <v>90765</v>
      </c>
    </row>
    <row r="49" spans="1:8" s="230" customFormat="1" ht="30" x14ac:dyDescent="0.25">
      <c r="A49" s="153" t="s">
        <v>148</v>
      </c>
      <c r="B49" s="198" t="s">
        <v>391</v>
      </c>
      <c r="C49" s="158">
        <f t="shared" si="0"/>
        <v>444409</v>
      </c>
      <c r="D49" s="157">
        <v>374064</v>
      </c>
      <c r="E49" s="157">
        <v>45600</v>
      </c>
      <c r="F49" s="157">
        <v>0</v>
      </c>
      <c r="G49" s="157">
        <v>24154</v>
      </c>
      <c r="H49" s="157">
        <v>591</v>
      </c>
    </row>
    <row r="50" spans="1:8" s="230" customFormat="1" ht="37.5" customHeight="1" x14ac:dyDescent="0.25">
      <c r="A50" s="153" t="s">
        <v>375</v>
      </c>
      <c r="B50" s="198" t="s">
        <v>570</v>
      </c>
      <c r="C50" s="158">
        <f t="shared" si="0"/>
        <v>10000</v>
      </c>
      <c r="D50" s="157">
        <v>0</v>
      </c>
      <c r="E50" s="157">
        <v>0</v>
      </c>
      <c r="F50" s="157">
        <v>0</v>
      </c>
      <c r="G50" s="157">
        <v>0</v>
      </c>
      <c r="H50" s="157">
        <v>10000</v>
      </c>
    </row>
    <row r="51" spans="1:8" s="230" customFormat="1" ht="45" x14ac:dyDescent="0.25">
      <c r="A51" s="153" t="s">
        <v>563</v>
      </c>
      <c r="B51" s="198" t="s">
        <v>541</v>
      </c>
      <c r="C51" s="158">
        <f>SUM(D51+E51+F51+G51+H51)</f>
        <v>1828829</v>
      </c>
      <c r="D51" s="157">
        <f>5800+796832</f>
        <v>802632</v>
      </c>
      <c r="E51" s="157">
        <v>0</v>
      </c>
      <c r="F51" s="157">
        <v>946023</v>
      </c>
      <c r="G51" s="157">
        <v>0</v>
      </c>
      <c r="H51" s="157">
        <v>80174</v>
      </c>
    </row>
    <row r="52" spans="1:8" s="230" customFormat="1" hidden="1" x14ac:dyDescent="0.25">
      <c r="A52" s="235"/>
      <c r="B52" s="194"/>
      <c r="C52" s="163">
        <f>SUM(D52+E52+F52+G52+H52)</f>
        <v>0</v>
      </c>
      <c r="D52" s="160"/>
      <c r="E52" s="160"/>
      <c r="F52" s="160"/>
      <c r="G52" s="160"/>
      <c r="H52" s="160"/>
    </row>
    <row r="53" spans="1:8" s="230" customFormat="1" x14ac:dyDescent="0.25">
      <c r="A53" s="152" t="s">
        <v>564</v>
      </c>
      <c r="B53" s="168" t="s">
        <v>565</v>
      </c>
      <c r="C53" s="156">
        <f t="shared" si="0"/>
        <v>1363745</v>
      </c>
      <c r="D53" s="156">
        <f>D54+D55</f>
        <v>33719</v>
      </c>
      <c r="E53" s="156">
        <f>E54+E55</f>
        <v>0</v>
      </c>
      <c r="F53" s="156">
        <f>F54+F55</f>
        <v>114104</v>
      </c>
      <c r="G53" s="156">
        <f>G54+G55</f>
        <v>0</v>
      </c>
      <c r="H53" s="156">
        <f>H54+H55</f>
        <v>1215922</v>
      </c>
    </row>
    <row r="54" spans="1:8" s="230" customFormat="1" ht="48.75" customHeight="1" x14ac:dyDescent="0.25">
      <c r="A54" s="153" t="s">
        <v>632</v>
      </c>
      <c r="B54" s="198" t="s">
        <v>655</v>
      </c>
      <c r="C54" s="158">
        <f>SUM(D54+E54+F54+G54+H54)</f>
        <v>1040402</v>
      </c>
      <c r="D54" s="157">
        <v>0</v>
      </c>
      <c r="E54" s="157">
        <v>0</v>
      </c>
      <c r="F54" s="157">
        <v>114104</v>
      </c>
      <c r="G54" s="157">
        <v>0</v>
      </c>
      <c r="H54" s="157">
        <v>926298</v>
      </c>
    </row>
    <row r="55" spans="1:8" s="230" customFormat="1" ht="30" x14ac:dyDescent="0.25">
      <c r="A55" s="153" t="s">
        <v>566</v>
      </c>
      <c r="B55" s="198" t="s">
        <v>567</v>
      </c>
      <c r="C55" s="158">
        <f>SUM(D55+E55+F55+G55+H55)</f>
        <v>323343</v>
      </c>
      <c r="D55" s="157">
        <v>33719</v>
      </c>
      <c r="E55" s="157">
        <v>0</v>
      </c>
      <c r="F55" s="157">
        <v>0</v>
      </c>
      <c r="G55" s="157">
        <v>0</v>
      </c>
      <c r="H55" s="157">
        <v>289624</v>
      </c>
    </row>
    <row r="56" spans="1:8" s="230" customFormat="1" x14ac:dyDescent="0.25">
      <c r="A56" s="152" t="s">
        <v>141</v>
      </c>
      <c r="B56" s="195" t="s">
        <v>751</v>
      </c>
      <c r="C56" s="156">
        <f>SUM(D56:H56)</f>
        <v>73400</v>
      </c>
      <c r="D56" s="156">
        <f>SUM(D57:D65)</f>
        <v>73400</v>
      </c>
      <c r="E56" s="156">
        <f>SUM(E57:E65)</f>
        <v>0</v>
      </c>
      <c r="F56" s="61">
        <f>SUM(F57:F65)</f>
        <v>0</v>
      </c>
      <c r="G56" s="61">
        <f>SUM(G57:G65)</f>
        <v>0</v>
      </c>
      <c r="H56" s="61">
        <f>SUM(H57:H65)</f>
        <v>0</v>
      </c>
    </row>
    <row r="57" spans="1:8" s="230" customFormat="1" ht="30" x14ac:dyDescent="0.25">
      <c r="A57" s="151" t="s">
        <v>167</v>
      </c>
      <c r="B57" s="184" t="s">
        <v>168</v>
      </c>
      <c r="C57" s="158">
        <f>SUM(D57+E57+F57+G57+H57)</f>
        <v>69900</v>
      </c>
      <c r="D57" s="157">
        <v>69900</v>
      </c>
      <c r="E57" s="157">
        <v>0</v>
      </c>
      <c r="F57" s="157">
        <v>0</v>
      </c>
      <c r="G57" s="157">
        <v>0</v>
      </c>
      <c r="H57" s="157">
        <v>0</v>
      </c>
    </row>
    <row r="58" spans="1:8" s="230" customFormat="1" x14ac:dyDescent="0.25">
      <c r="A58" s="154" t="s">
        <v>239</v>
      </c>
      <c r="B58" s="184" t="s">
        <v>240</v>
      </c>
      <c r="C58" s="158">
        <f>SUM(D58+E58+F58+G58+H58)</f>
        <v>3500</v>
      </c>
      <c r="D58" s="157">
        <v>3500</v>
      </c>
      <c r="E58" s="157">
        <v>0</v>
      </c>
      <c r="F58" s="157">
        <v>0</v>
      </c>
      <c r="G58" s="157">
        <v>0</v>
      </c>
      <c r="H58" s="157">
        <v>0</v>
      </c>
    </row>
    <row r="59" spans="1:8" s="230" customFormat="1" hidden="1" x14ac:dyDescent="0.25">
      <c r="A59" s="236"/>
      <c r="B59" s="191"/>
      <c r="C59" s="163">
        <f>SUM(D59+E59+F59+G59+H59)</f>
        <v>0</v>
      </c>
      <c r="D59" s="160"/>
      <c r="E59" s="160"/>
      <c r="F59" s="160"/>
      <c r="G59" s="160"/>
      <c r="H59" s="160"/>
    </row>
    <row r="60" spans="1:8" s="230" customFormat="1" hidden="1" x14ac:dyDescent="0.25">
      <c r="A60" s="93"/>
      <c r="B60" s="90"/>
      <c r="C60" s="186">
        <f t="shared" ref="C60:C65" si="3">SUM(D60+E60+F60+G60+H60)</f>
        <v>0</v>
      </c>
      <c r="D60" s="91"/>
      <c r="E60" s="91"/>
      <c r="F60" s="91"/>
      <c r="G60" s="91"/>
      <c r="H60" s="91"/>
    </row>
    <row r="61" spans="1:8" s="230" customFormat="1" hidden="1" x14ac:dyDescent="0.25">
      <c r="A61" s="93"/>
      <c r="B61" s="90"/>
      <c r="C61" s="186">
        <f t="shared" si="3"/>
        <v>0</v>
      </c>
      <c r="D61" s="91"/>
      <c r="E61" s="91"/>
      <c r="F61" s="91"/>
      <c r="G61" s="91"/>
      <c r="H61" s="91"/>
    </row>
    <row r="62" spans="1:8" s="230" customFormat="1" hidden="1" x14ac:dyDescent="0.25">
      <c r="A62" s="93"/>
      <c r="B62" s="90"/>
      <c r="C62" s="186">
        <f t="shared" si="3"/>
        <v>0</v>
      </c>
      <c r="D62" s="91"/>
      <c r="E62" s="91"/>
      <c r="F62" s="91"/>
      <c r="G62" s="91"/>
      <c r="H62" s="91"/>
    </row>
    <row r="63" spans="1:8" s="230" customFormat="1" hidden="1" x14ac:dyDescent="0.25">
      <c r="A63" s="93"/>
      <c r="B63" s="90"/>
      <c r="C63" s="186">
        <f t="shared" si="3"/>
        <v>0</v>
      </c>
      <c r="D63" s="91"/>
      <c r="E63" s="91"/>
      <c r="F63" s="91"/>
      <c r="G63" s="91"/>
      <c r="H63" s="91"/>
    </row>
    <row r="64" spans="1:8" s="230" customFormat="1" hidden="1" x14ac:dyDescent="0.25">
      <c r="A64" s="93"/>
      <c r="B64" s="90"/>
      <c r="C64" s="186">
        <f t="shared" si="3"/>
        <v>0</v>
      </c>
      <c r="D64" s="91"/>
      <c r="E64" s="91"/>
      <c r="F64" s="91"/>
      <c r="G64" s="91"/>
      <c r="H64" s="91"/>
    </row>
    <row r="65" spans="1:8" s="230" customFormat="1" hidden="1" x14ac:dyDescent="0.25">
      <c r="A65" s="93"/>
      <c r="B65" s="90"/>
      <c r="C65" s="186">
        <f t="shared" si="3"/>
        <v>0</v>
      </c>
      <c r="D65" s="91"/>
      <c r="E65" s="91"/>
      <c r="F65" s="91"/>
      <c r="G65" s="91"/>
      <c r="H65" s="91"/>
    </row>
    <row r="66" spans="1:8" s="185" customFormat="1" x14ac:dyDescent="0.25">
      <c r="A66" s="49" t="s">
        <v>32</v>
      </c>
      <c r="B66" s="50" t="s">
        <v>13</v>
      </c>
      <c r="C66" s="51">
        <f>SUM(D66+E66+F66+G66+H66)</f>
        <v>5047550</v>
      </c>
      <c r="D66" s="51">
        <f>D67+D70+D72+D75</f>
        <v>3333494</v>
      </c>
      <c r="E66" s="51">
        <f>E67+E70+E72+E75</f>
        <v>0</v>
      </c>
      <c r="F66" s="51">
        <f>F67+F70+F72+F75</f>
        <v>1682234</v>
      </c>
      <c r="G66" s="51">
        <f>G67+G70+G72+G75</f>
        <v>0</v>
      </c>
      <c r="H66" s="51">
        <f>H67+H70+H72+H75</f>
        <v>31822</v>
      </c>
    </row>
    <row r="67" spans="1:8" x14ac:dyDescent="0.25">
      <c r="A67" s="94" t="s">
        <v>47</v>
      </c>
      <c r="B67" s="59" t="s">
        <v>48</v>
      </c>
      <c r="C67" s="156">
        <f t="shared" si="0"/>
        <v>1694094</v>
      </c>
      <c r="D67" s="156">
        <f>SUM(D68+D69)</f>
        <v>1694094</v>
      </c>
      <c r="E67" s="61">
        <f>SUM(E68+E69)</f>
        <v>0</v>
      </c>
      <c r="F67" s="61">
        <f>SUM(F68+F69)</f>
        <v>0</v>
      </c>
      <c r="G67" s="61">
        <f>SUM(G68+G69)</f>
        <v>0</v>
      </c>
      <c r="H67" s="61">
        <f>SUM(H68+H69)</f>
        <v>0</v>
      </c>
    </row>
    <row r="68" spans="1:8" s="230" customFormat="1" ht="30" x14ac:dyDescent="0.25">
      <c r="A68" s="151" t="s">
        <v>71</v>
      </c>
      <c r="B68" s="184" t="s">
        <v>259</v>
      </c>
      <c r="C68" s="158">
        <f t="shared" si="0"/>
        <v>1158310</v>
      </c>
      <c r="D68" s="157">
        <v>1158310</v>
      </c>
      <c r="E68" s="157">
        <v>0</v>
      </c>
      <c r="F68" s="157">
        <v>0</v>
      </c>
      <c r="G68" s="157">
        <v>0</v>
      </c>
      <c r="H68" s="157">
        <v>0</v>
      </c>
    </row>
    <row r="69" spans="1:8" s="230" customFormat="1" ht="18.75" customHeight="1" x14ac:dyDescent="0.25">
      <c r="A69" s="151" t="s">
        <v>143</v>
      </c>
      <c r="B69" s="184" t="s">
        <v>142</v>
      </c>
      <c r="C69" s="158">
        <f t="shared" si="0"/>
        <v>535784</v>
      </c>
      <c r="D69" s="157">
        <v>535784</v>
      </c>
      <c r="E69" s="157">
        <v>0</v>
      </c>
      <c r="F69" s="157">
        <v>0</v>
      </c>
      <c r="G69" s="157">
        <v>0</v>
      </c>
      <c r="H69" s="157">
        <v>0</v>
      </c>
    </row>
    <row r="70" spans="1:8" x14ac:dyDescent="0.25">
      <c r="A70" s="94" t="s">
        <v>633</v>
      </c>
      <c r="B70" s="59" t="s">
        <v>94</v>
      </c>
      <c r="C70" s="156">
        <f t="shared" si="0"/>
        <v>636420</v>
      </c>
      <c r="D70" s="156">
        <f>D71</f>
        <v>636420</v>
      </c>
      <c r="E70" s="156">
        <f>E71</f>
        <v>0</v>
      </c>
      <c r="F70" s="156">
        <f>F71</f>
        <v>0</v>
      </c>
      <c r="G70" s="156">
        <f>G71</f>
        <v>0</v>
      </c>
      <c r="H70" s="156">
        <f>H71</f>
        <v>0</v>
      </c>
    </row>
    <row r="71" spans="1:8" x14ac:dyDescent="0.25">
      <c r="A71" s="151" t="s">
        <v>296</v>
      </c>
      <c r="B71" s="184" t="s">
        <v>94</v>
      </c>
      <c r="C71" s="158">
        <f t="shared" ref="C71:C76" si="4">SUM(D71+E71+F71+G71+H71)</f>
        <v>636420</v>
      </c>
      <c r="D71" s="157">
        <v>636420</v>
      </c>
      <c r="E71" s="157">
        <v>0</v>
      </c>
      <c r="F71" s="157">
        <v>0</v>
      </c>
      <c r="G71" s="157">
        <v>0</v>
      </c>
      <c r="H71" s="157">
        <v>0</v>
      </c>
    </row>
    <row r="72" spans="1:8" x14ac:dyDescent="0.25">
      <c r="A72" s="94" t="s">
        <v>650</v>
      </c>
      <c r="B72" s="200" t="s">
        <v>652</v>
      </c>
      <c r="C72" s="156">
        <f t="shared" si="4"/>
        <v>2392677</v>
      </c>
      <c r="D72" s="156">
        <f>SUM(D73:D74)</f>
        <v>1002980</v>
      </c>
      <c r="E72" s="156">
        <f t="shared" ref="E72:H72" si="5">SUM(E73:E74)</f>
        <v>0</v>
      </c>
      <c r="F72" s="156">
        <f t="shared" si="5"/>
        <v>1357875</v>
      </c>
      <c r="G72" s="156">
        <f t="shared" si="5"/>
        <v>0</v>
      </c>
      <c r="H72" s="156">
        <f t="shared" si="5"/>
        <v>31822</v>
      </c>
    </row>
    <row r="73" spans="1:8" ht="30" x14ac:dyDescent="0.25">
      <c r="A73" s="151" t="s">
        <v>747</v>
      </c>
      <c r="B73" s="369" t="s">
        <v>799</v>
      </c>
      <c r="C73" s="158">
        <f t="shared" si="4"/>
        <v>56829</v>
      </c>
      <c r="D73" s="157">
        <f>56829-31822</f>
        <v>25007</v>
      </c>
      <c r="E73" s="157">
        <v>0</v>
      </c>
      <c r="F73" s="157">
        <v>0</v>
      </c>
      <c r="G73" s="157">
        <v>0</v>
      </c>
      <c r="H73" s="157">
        <v>31822</v>
      </c>
    </row>
    <row r="74" spans="1:8" ht="36" customHeight="1" x14ac:dyDescent="0.25">
      <c r="A74" s="151" t="s">
        <v>651</v>
      </c>
      <c r="B74" s="184" t="s">
        <v>656</v>
      </c>
      <c r="C74" s="158">
        <f t="shared" si="4"/>
        <v>2335848</v>
      </c>
      <c r="D74" s="157">
        <v>977973</v>
      </c>
      <c r="E74" s="157">
        <v>0</v>
      </c>
      <c r="F74" s="157">
        <v>1357875</v>
      </c>
      <c r="G74" s="157">
        <v>0</v>
      </c>
      <c r="H74" s="157">
        <v>0</v>
      </c>
    </row>
    <row r="75" spans="1:8" x14ac:dyDescent="0.25">
      <c r="A75" s="146" t="s">
        <v>376</v>
      </c>
      <c r="B75" s="53" t="s">
        <v>381</v>
      </c>
      <c r="C75" s="156">
        <f t="shared" si="4"/>
        <v>324359</v>
      </c>
      <c r="D75" s="156">
        <f>D76+D77+D78</f>
        <v>0</v>
      </c>
      <c r="E75" s="156">
        <f>E76+E77+E78</f>
        <v>0</v>
      </c>
      <c r="F75" s="156">
        <f>F76+F77+F78</f>
        <v>324359</v>
      </c>
      <c r="G75" s="156">
        <f>G76+G77+G78</f>
        <v>0</v>
      </c>
      <c r="H75" s="156">
        <f>H76+H77+H78</f>
        <v>0</v>
      </c>
    </row>
    <row r="76" spans="1:8" ht="60" x14ac:dyDescent="0.25">
      <c r="A76" s="151" t="s">
        <v>377</v>
      </c>
      <c r="B76" s="184" t="s">
        <v>571</v>
      </c>
      <c r="C76" s="158">
        <f t="shared" si="4"/>
        <v>324359</v>
      </c>
      <c r="D76" s="157">
        <v>0</v>
      </c>
      <c r="E76" s="157">
        <v>0</v>
      </c>
      <c r="F76" s="157">
        <v>324359</v>
      </c>
      <c r="G76" s="157">
        <v>0</v>
      </c>
      <c r="H76" s="157">
        <v>0</v>
      </c>
    </row>
    <row r="77" spans="1:8" hidden="1" x14ac:dyDescent="0.25">
      <c r="A77" s="192"/>
      <c r="B77" s="191"/>
      <c r="C77" s="163">
        <f t="shared" si="0"/>
        <v>0</v>
      </c>
      <c r="D77" s="160"/>
      <c r="E77" s="160"/>
      <c r="F77" s="160"/>
      <c r="G77" s="160"/>
      <c r="H77" s="160"/>
    </row>
    <row r="78" spans="1:8" hidden="1" x14ac:dyDescent="0.25">
      <c r="A78" s="234"/>
      <c r="B78" s="90"/>
      <c r="C78" s="163">
        <f t="shared" si="0"/>
        <v>0</v>
      </c>
      <c r="D78" s="91"/>
      <c r="E78" s="91"/>
      <c r="F78" s="91"/>
      <c r="G78" s="91"/>
      <c r="H78" s="91"/>
    </row>
    <row r="79" spans="1:8" s="185" customFormat="1" x14ac:dyDescent="0.25">
      <c r="A79" s="49" t="s">
        <v>33</v>
      </c>
      <c r="B79" s="50" t="s">
        <v>163</v>
      </c>
      <c r="C79" s="51">
        <f t="shared" si="0"/>
        <v>5150781</v>
      </c>
      <c r="D79" s="51">
        <f>SUM(D80+D82+D85)</f>
        <v>4721684</v>
      </c>
      <c r="E79" s="51">
        <f>SUM(E80+E82+E85)</f>
        <v>80690</v>
      </c>
      <c r="F79" s="51">
        <f>SUM(F80+F82+F85)</f>
        <v>320357</v>
      </c>
      <c r="G79" s="51">
        <f>SUM(G80+G82+G85)</f>
        <v>0</v>
      </c>
      <c r="H79" s="51">
        <f>SUM(H80+H82+H85)</f>
        <v>28050</v>
      </c>
    </row>
    <row r="80" spans="1:8" s="185" customFormat="1" ht="15.75" customHeight="1" x14ac:dyDescent="0.25">
      <c r="A80" s="94" t="s">
        <v>634</v>
      </c>
      <c r="B80" s="59" t="s">
        <v>635</v>
      </c>
      <c r="C80" s="156">
        <f t="shared" si="0"/>
        <v>703281</v>
      </c>
      <c r="D80" s="169">
        <f>D81</f>
        <v>703281</v>
      </c>
      <c r="E80" s="169">
        <f>E81</f>
        <v>0</v>
      </c>
      <c r="F80" s="169">
        <f>F81</f>
        <v>0</v>
      </c>
      <c r="G80" s="169">
        <f>G81</f>
        <v>0</v>
      </c>
      <c r="H80" s="169">
        <f>H81</f>
        <v>0</v>
      </c>
    </row>
    <row r="81" spans="1:8" s="185" customFormat="1" ht="15.75" customHeight="1" x14ac:dyDescent="0.25">
      <c r="A81" s="151" t="s">
        <v>260</v>
      </c>
      <c r="B81" s="184" t="s">
        <v>274</v>
      </c>
      <c r="C81" s="158">
        <f>SUM(D81+E81+F81+G81+H81)</f>
        <v>703281</v>
      </c>
      <c r="D81" s="159">
        <v>703281</v>
      </c>
      <c r="E81" s="157">
        <v>0</v>
      </c>
      <c r="F81" s="157">
        <v>0</v>
      </c>
      <c r="G81" s="157">
        <v>0</v>
      </c>
      <c r="H81" s="157">
        <v>0</v>
      </c>
    </row>
    <row r="82" spans="1:8" x14ac:dyDescent="0.25">
      <c r="A82" s="94" t="s">
        <v>636</v>
      </c>
      <c r="B82" s="59" t="s">
        <v>49</v>
      </c>
      <c r="C82" s="156">
        <f t="shared" si="0"/>
        <v>1630764</v>
      </c>
      <c r="D82" s="156">
        <f>D83+D84</f>
        <v>1310407</v>
      </c>
      <c r="E82" s="156">
        <f>E83+E84</f>
        <v>0</v>
      </c>
      <c r="F82" s="156">
        <f>F83+F84</f>
        <v>320357</v>
      </c>
      <c r="G82" s="156">
        <f>G83+G84</f>
        <v>0</v>
      </c>
      <c r="H82" s="156">
        <f>H83+H84</f>
        <v>0</v>
      </c>
    </row>
    <row r="83" spans="1:8" x14ac:dyDescent="0.25">
      <c r="A83" s="151" t="s">
        <v>297</v>
      </c>
      <c r="B83" s="184" t="s">
        <v>49</v>
      </c>
      <c r="C83" s="158">
        <f>SUM(D83+E83+F83+G83+H83)</f>
        <v>693609</v>
      </c>
      <c r="D83" s="157">
        <v>693609</v>
      </c>
      <c r="E83" s="157">
        <v>0</v>
      </c>
      <c r="F83" s="157">
        <v>0</v>
      </c>
      <c r="G83" s="157">
        <v>0</v>
      </c>
      <c r="H83" s="157">
        <v>0</v>
      </c>
    </row>
    <row r="84" spans="1:8" ht="45" x14ac:dyDescent="0.25">
      <c r="A84" s="151" t="s">
        <v>653</v>
      </c>
      <c r="B84" s="184" t="s">
        <v>657</v>
      </c>
      <c r="C84" s="158">
        <f>SUM(D84+E84+F84+G84+H84)</f>
        <v>937155</v>
      </c>
      <c r="D84" s="157">
        <v>616798</v>
      </c>
      <c r="E84" s="157">
        <v>0</v>
      </c>
      <c r="F84" s="157">
        <v>320357</v>
      </c>
      <c r="G84" s="157">
        <v>0</v>
      </c>
      <c r="H84" s="157">
        <v>0</v>
      </c>
    </row>
    <row r="85" spans="1:8" ht="28.5" x14ac:dyDescent="0.25">
      <c r="A85" s="94" t="s">
        <v>50</v>
      </c>
      <c r="B85" s="59" t="s">
        <v>637</v>
      </c>
      <c r="C85" s="156">
        <f t="shared" si="0"/>
        <v>2816736</v>
      </c>
      <c r="D85" s="156">
        <f>SUM(D86:D92)</f>
        <v>2707996</v>
      </c>
      <c r="E85" s="156">
        <f>SUM(E86:E92)</f>
        <v>80690</v>
      </c>
      <c r="F85" s="156">
        <f>SUM(F86:F92)</f>
        <v>0</v>
      </c>
      <c r="G85" s="156">
        <f>SUM(G86:G92)</f>
        <v>0</v>
      </c>
      <c r="H85" s="156">
        <f>SUM(H86:H92)</f>
        <v>28050</v>
      </c>
    </row>
    <row r="86" spans="1:8" s="230" customFormat="1" x14ac:dyDescent="0.25">
      <c r="A86" s="151" t="s">
        <v>72</v>
      </c>
      <c r="B86" s="184" t="s">
        <v>392</v>
      </c>
      <c r="C86" s="158">
        <f t="shared" si="0"/>
        <v>970043</v>
      </c>
      <c r="D86" s="157">
        <f>875901+15000</f>
        <v>890901</v>
      </c>
      <c r="E86" s="157">
        <v>77635</v>
      </c>
      <c r="F86" s="157">
        <v>0</v>
      </c>
      <c r="G86" s="157">
        <v>0</v>
      </c>
      <c r="H86" s="66">
        <v>1507</v>
      </c>
    </row>
    <row r="87" spans="1:8" s="230" customFormat="1" ht="20.25" customHeight="1" x14ac:dyDescent="0.25">
      <c r="A87" s="151" t="s">
        <v>73</v>
      </c>
      <c r="B87" s="184" t="s">
        <v>822</v>
      </c>
      <c r="C87" s="158">
        <f t="shared" si="0"/>
        <v>1271561</v>
      </c>
      <c r="D87" s="157">
        <v>1271561</v>
      </c>
      <c r="E87" s="157">
        <v>0</v>
      </c>
      <c r="F87" s="157">
        <v>0</v>
      </c>
      <c r="G87" s="157">
        <v>0</v>
      </c>
      <c r="H87" s="157">
        <v>0</v>
      </c>
    </row>
    <row r="88" spans="1:8" s="230" customFormat="1" x14ac:dyDescent="0.25">
      <c r="A88" s="151" t="s">
        <v>77</v>
      </c>
      <c r="B88" s="184" t="s">
        <v>658</v>
      </c>
      <c r="C88" s="158">
        <f t="shared" si="0"/>
        <v>222958</v>
      </c>
      <c r="D88" s="157">
        <v>222958</v>
      </c>
      <c r="E88" s="157">
        <v>0</v>
      </c>
      <c r="F88" s="157">
        <v>0</v>
      </c>
      <c r="G88" s="157">
        <v>0</v>
      </c>
      <c r="H88" s="157">
        <v>0</v>
      </c>
    </row>
    <row r="89" spans="1:8" s="230" customFormat="1" ht="30" x14ac:dyDescent="0.25">
      <c r="A89" s="151" t="s">
        <v>83</v>
      </c>
      <c r="B89" s="184" t="s">
        <v>134</v>
      </c>
      <c r="C89" s="158">
        <f t="shared" si="0"/>
        <v>318200</v>
      </c>
      <c r="D89" s="157">
        <v>297853</v>
      </c>
      <c r="E89" s="157">
        <v>0</v>
      </c>
      <c r="F89" s="157">
        <v>0</v>
      </c>
      <c r="G89" s="157">
        <v>0</v>
      </c>
      <c r="H89" s="66">
        <v>20347</v>
      </c>
    </row>
    <row r="90" spans="1:8" s="230" customFormat="1" ht="30" x14ac:dyDescent="0.25">
      <c r="A90" s="151" t="s">
        <v>253</v>
      </c>
      <c r="B90" s="184" t="s">
        <v>261</v>
      </c>
      <c r="C90" s="158">
        <f t="shared" si="0"/>
        <v>9500</v>
      </c>
      <c r="D90" s="157">
        <v>9500</v>
      </c>
      <c r="E90" s="157">
        <v>0</v>
      </c>
      <c r="F90" s="157">
        <v>0</v>
      </c>
      <c r="G90" s="157">
        <v>0</v>
      </c>
      <c r="H90" s="157">
        <v>0</v>
      </c>
    </row>
    <row r="91" spans="1:8" s="230" customFormat="1" ht="45" x14ac:dyDescent="0.25">
      <c r="A91" s="151" t="s">
        <v>373</v>
      </c>
      <c r="B91" s="184" t="s">
        <v>382</v>
      </c>
      <c r="C91" s="158">
        <f t="shared" si="0"/>
        <v>15000</v>
      </c>
      <c r="D91" s="157">
        <v>15000</v>
      </c>
      <c r="E91" s="157">
        <v>0</v>
      </c>
      <c r="F91" s="157">
        <v>0</v>
      </c>
      <c r="G91" s="157">
        <v>0</v>
      </c>
      <c r="H91" s="157">
        <v>0</v>
      </c>
    </row>
    <row r="92" spans="1:8" s="230" customFormat="1" ht="45" x14ac:dyDescent="0.25">
      <c r="A92" s="151" t="s">
        <v>385</v>
      </c>
      <c r="B92" s="184" t="s">
        <v>572</v>
      </c>
      <c r="C92" s="158">
        <f t="shared" si="0"/>
        <v>9474</v>
      </c>
      <c r="D92" s="157">
        <v>223</v>
      </c>
      <c r="E92" s="157">
        <v>3055</v>
      </c>
      <c r="F92" s="157">
        <v>0</v>
      </c>
      <c r="G92" s="157">
        <v>0</v>
      </c>
      <c r="H92" s="66">
        <v>6196</v>
      </c>
    </row>
    <row r="93" spans="1:8" s="230" customFormat="1" x14ac:dyDescent="0.25">
      <c r="A93" s="49" t="s">
        <v>149</v>
      </c>
      <c r="B93" s="50" t="s">
        <v>150</v>
      </c>
      <c r="C93" s="51">
        <f t="shared" ref="C93:H93" si="6">C94+C95+C96+C97+C98+C99</f>
        <v>226240</v>
      </c>
      <c r="D93" s="51">
        <f t="shared" si="6"/>
        <v>132250</v>
      </c>
      <c r="E93" s="51">
        <f t="shared" si="6"/>
        <v>0</v>
      </c>
      <c r="F93" s="51">
        <f t="shared" si="6"/>
        <v>63802</v>
      </c>
      <c r="G93" s="51">
        <f t="shared" si="6"/>
        <v>0</v>
      </c>
      <c r="H93" s="51">
        <f t="shared" si="6"/>
        <v>30188</v>
      </c>
    </row>
    <row r="94" spans="1:8" s="230" customFormat="1" x14ac:dyDescent="0.25">
      <c r="A94" s="149" t="s">
        <v>169</v>
      </c>
      <c r="B94" s="183" t="s">
        <v>170</v>
      </c>
      <c r="C94" s="158">
        <f t="shared" si="0"/>
        <v>67600</v>
      </c>
      <c r="D94" s="66">
        <v>67600</v>
      </c>
      <c r="E94" s="157">
        <v>0</v>
      </c>
      <c r="F94" s="157">
        <v>0</v>
      </c>
      <c r="G94" s="157">
        <v>0</v>
      </c>
      <c r="H94" s="157">
        <v>0</v>
      </c>
    </row>
    <row r="95" spans="1:8" s="230" customFormat="1" ht="22.5" customHeight="1" x14ac:dyDescent="0.25">
      <c r="A95" s="149" t="s">
        <v>171</v>
      </c>
      <c r="B95" s="183" t="s">
        <v>172</v>
      </c>
      <c r="C95" s="158">
        <f t="shared" si="0"/>
        <v>12400</v>
      </c>
      <c r="D95" s="66">
        <v>12400</v>
      </c>
      <c r="E95" s="157">
        <v>0</v>
      </c>
      <c r="F95" s="157">
        <v>0</v>
      </c>
      <c r="G95" s="157">
        <v>0</v>
      </c>
      <c r="H95" s="157">
        <v>0</v>
      </c>
    </row>
    <row r="96" spans="1:8" s="230" customFormat="1" x14ac:dyDescent="0.25">
      <c r="A96" s="149" t="s">
        <v>173</v>
      </c>
      <c r="B96" s="183" t="s">
        <v>174</v>
      </c>
      <c r="C96" s="158">
        <f t="shared" si="0"/>
        <v>37500</v>
      </c>
      <c r="D96" s="66">
        <v>37500</v>
      </c>
      <c r="E96" s="157">
        <v>0</v>
      </c>
      <c r="F96" s="157">
        <v>0</v>
      </c>
      <c r="G96" s="157">
        <v>0</v>
      </c>
      <c r="H96" s="157">
        <v>0</v>
      </c>
    </row>
    <row r="97" spans="1:8" s="230" customFormat="1" x14ac:dyDescent="0.25">
      <c r="A97" s="149" t="s">
        <v>155</v>
      </c>
      <c r="B97" s="183" t="s">
        <v>262</v>
      </c>
      <c r="C97" s="158">
        <f t="shared" si="0"/>
        <v>4750</v>
      </c>
      <c r="D97" s="66">
        <v>4750</v>
      </c>
      <c r="E97" s="157">
        <v>0</v>
      </c>
      <c r="F97" s="157">
        <v>0</v>
      </c>
      <c r="G97" s="157">
        <v>0</v>
      </c>
      <c r="H97" s="157">
        <v>0</v>
      </c>
    </row>
    <row r="98" spans="1:8" s="230" customFormat="1" ht="45" x14ac:dyDescent="0.25">
      <c r="A98" s="151" t="s">
        <v>378</v>
      </c>
      <c r="B98" s="184" t="s">
        <v>573</v>
      </c>
      <c r="C98" s="158">
        <f t="shared" si="0"/>
        <v>93990</v>
      </c>
      <c r="D98" s="157">
        <v>0</v>
      </c>
      <c r="E98" s="157">
        <v>0</v>
      </c>
      <c r="F98" s="157">
        <v>63802</v>
      </c>
      <c r="G98" s="157">
        <v>0</v>
      </c>
      <c r="H98" s="157">
        <v>30188</v>
      </c>
    </row>
    <row r="99" spans="1:8" s="230" customFormat="1" ht="21" customHeight="1" x14ac:dyDescent="0.25">
      <c r="A99" s="149" t="s">
        <v>574</v>
      </c>
      <c r="B99" s="183" t="s">
        <v>575</v>
      </c>
      <c r="C99" s="158">
        <f t="shared" si="0"/>
        <v>10000</v>
      </c>
      <c r="D99" s="157">
        <v>10000</v>
      </c>
      <c r="E99" s="157">
        <v>0</v>
      </c>
      <c r="F99" s="157">
        <v>0</v>
      </c>
      <c r="G99" s="157">
        <v>0</v>
      </c>
      <c r="H99" s="157">
        <v>0</v>
      </c>
    </row>
    <row r="100" spans="1:8" s="185" customFormat="1" x14ac:dyDescent="0.25">
      <c r="A100" s="49" t="s">
        <v>34</v>
      </c>
      <c r="B100" s="50" t="s">
        <v>14</v>
      </c>
      <c r="C100" s="51">
        <f t="shared" si="0"/>
        <v>6904940</v>
      </c>
      <c r="D100" s="51">
        <f>SUM(D101+D108+D126+D128)</f>
        <v>6124763</v>
      </c>
      <c r="E100" s="51">
        <f>SUM(E101+E108+E126+E128)</f>
        <v>590658</v>
      </c>
      <c r="F100" s="51">
        <f>SUM(F101+F108+F126+F128)</f>
        <v>112533</v>
      </c>
      <c r="G100" s="51">
        <f>SUM(G101+G108+G126+G128)</f>
        <v>19764</v>
      </c>
      <c r="H100" s="51">
        <f>SUM(H101+H108+H126+H128)</f>
        <v>57222</v>
      </c>
    </row>
    <row r="101" spans="1:8" x14ac:dyDescent="0.25">
      <c r="A101" s="150" t="s">
        <v>53</v>
      </c>
      <c r="B101" s="53" t="s">
        <v>54</v>
      </c>
      <c r="C101" s="61">
        <f>SUM(D101+E101+F101+G101+H101)</f>
        <v>1295086</v>
      </c>
      <c r="D101" s="61">
        <f>SUM(D102+D103+D104+D105+D106+D107)</f>
        <v>1268026</v>
      </c>
      <c r="E101" s="61">
        <f>SUM(E102+E103+E104+E105+E106+E107)</f>
        <v>26148</v>
      </c>
      <c r="F101" s="61">
        <f>SUM(F102+F103+F104+F105+F106+F107)</f>
        <v>0</v>
      </c>
      <c r="G101" s="61">
        <f>SUM(G102+G103+G104+G105+G106+G107)</f>
        <v>0</v>
      </c>
      <c r="H101" s="61">
        <f>SUM(H102+H103+H104+H105+H106+H107)</f>
        <v>912</v>
      </c>
    </row>
    <row r="102" spans="1:8" s="230" customFormat="1" ht="16.5" customHeight="1" x14ac:dyDescent="0.25">
      <c r="A102" s="151" t="s">
        <v>75</v>
      </c>
      <c r="B102" s="184" t="s">
        <v>393</v>
      </c>
      <c r="C102" s="158">
        <f t="shared" si="0"/>
        <v>615686</v>
      </c>
      <c r="D102" s="157">
        <v>588626</v>
      </c>
      <c r="E102" s="157">
        <v>26148</v>
      </c>
      <c r="F102" s="157">
        <v>0</v>
      </c>
      <c r="G102" s="157">
        <v>0</v>
      </c>
      <c r="H102" s="66">
        <v>912</v>
      </c>
    </row>
    <row r="103" spans="1:8" s="230" customFormat="1" x14ac:dyDescent="0.25">
      <c r="A103" s="151" t="s">
        <v>76</v>
      </c>
      <c r="B103" s="184" t="s">
        <v>135</v>
      </c>
      <c r="C103" s="158">
        <f t="shared" si="0"/>
        <v>674400</v>
      </c>
      <c r="D103" s="157">
        <v>674400</v>
      </c>
      <c r="E103" s="157">
        <v>0</v>
      </c>
      <c r="F103" s="157">
        <v>0</v>
      </c>
      <c r="G103" s="157">
        <v>0</v>
      </c>
      <c r="H103" s="157">
        <v>0</v>
      </c>
    </row>
    <row r="104" spans="1:8" s="230" customFormat="1" x14ac:dyDescent="0.25">
      <c r="A104" s="149" t="s">
        <v>191</v>
      </c>
      <c r="B104" s="183" t="s">
        <v>659</v>
      </c>
      <c r="C104" s="158">
        <f t="shared" si="0"/>
        <v>5000</v>
      </c>
      <c r="D104" s="157">
        <v>5000</v>
      </c>
      <c r="E104" s="157">
        <v>0</v>
      </c>
      <c r="F104" s="157">
        <v>0</v>
      </c>
      <c r="G104" s="157">
        <v>0</v>
      </c>
      <c r="H104" s="157">
        <v>0</v>
      </c>
    </row>
    <row r="105" spans="1:8" s="230" customFormat="1" hidden="1" x14ac:dyDescent="0.25">
      <c r="A105" s="192"/>
      <c r="B105" s="191"/>
      <c r="C105" s="163">
        <f>SUM(D105+E105+F105+G105+H105)</f>
        <v>0</v>
      </c>
      <c r="D105" s="160"/>
      <c r="E105" s="160"/>
      <c r="F105" s="160"/>
      <c r="G105" s="160"/>
      <c r="H105" s="160"/>
    </row>
    <row r="106" spans="1:8" s="230" customFormat="1" hidden="1" x14ac:dyDescent="0.25">
      <c r="A106" s="192"/>
      <c r="B106" s="191"/>
      <c r="C106" s="163">
        <f>SUM(D106+E106+F106+G106+H106)</f>
        <v>0</v>
      </c>
      <c r="D106" s="160"/>
      <c r="E106" s="160"/>
      <c r="F106" s="160"/>
      <c r="G106" s="160"/>
      <c r="H106" s="160"/>
    </row>
    <row r="107" spans="1:8" s="230" customFormat="1" hidden="1" x14ac:dyDescent="0.25">
      <c r="A107" s="192"/>
      <c r="B107" s="191"/>
      <c r="C107" s="163">
        <f t="shared" si="0"/>
        <v>0</v>
      </c>
      <c r="D107" s="160"/>
      <c r="E107" s="160"/>
      <c r="F107" s="160"/>
      <c r="G107" s="160"/>
      <c r="H107" s="160"/>
    </row>
    <row r="108" spans="1:8" x14ac:dyDescent="0.25">
      <c r="A108" s="150" t="s">
        <v>55</v>
      </c>
      <c r="B108" s="53" t="s">
        <v>56</v>
      </c>
      <c r="C108" s="156">
        <f t="shared" si="0"/>
        <v>5323441</v>
      </c>
      <c r="D108" s="156">
        <f>D109+D113+D115+D118+D122</f>
        <v>4570324</v>
      </c>
      <c r="E108" s="156">
        <f>E109+E113+E115+E118+E122</f>
        <v>564510</v>
      </c>
      <c r="F108" s="156">
        <f>F109+F113+F115+F118+F122</f>
        <v>112533</v>
      </c>
      <c r="G108" s="61">
        <f>G109+G113+G115+G118+G122</f>
        <v>19764</v>
      </c>
      <c r="H108" s="61">
        <f>H109+H113+H115+H118+H122</f>
        <v>56310</v>
      </c>
    </row>
    <row r="109" spans="1:8" x14ac:dyDescent="0.25">
      <c r="A109" s="150" t="s">
        <v>57</v>
      </c>
      <c r="B109" s="59" t="s">
        <v>304</v>
      </c>
      <c r="C109" s="156">
        <f>SUM(D109+E109+F109+G109+H109)</f>
        <v>906773</v>
      </c>
      <c r="D109" s="156">
        <f>D110+D111+D112</f>
        <v>779244</v>
      </c>
      <c r="E109" s="156">
        <f>E110+E111+E112</f>
        <v>3670</v>
      </c>
      <c r="F109" s="156">
        <f>F110+F111+F112</f>
        <v>96653</v>
      </c>
      <c r="G109" s="156">
        <f>G110+G111+G112</f>
        <v>19764</v>
      </c>
      <c r="H109" s="156">
        <f>H110+H111+H112</f>
        <v>7442</v>
      </c>
    </row>
    <row r="110" spans="1:8" ht="19.5" customHeight="1" x14ac:dyDescent="0.25">
      <c r="A110" s="149" t="s">
        <v>298</v>
      </c>
      <c r="B110" s="183" t="s">
        <v>394</v>
      </c>
      <c r="C110" s="158">
        <f t="shared" si="0"/>
        <v>806874</v>
      </c>
      <c r="D110" s="157">
        <v>779244</v>
      </c>
      <c r="E110" s="157">
        <v>3670</v>
      </c>
      <c r="F110" s="157">
        <v>0</v>
      </c>
      <c r="G110" s="157">
        <v>19764</v>
      </c>
      <c r="H110" s="157">
        <f>2556+1640</f>
        <v>4196</v>
      </c>
    </row>
    <row r="111" spans="1:8" ht="45" x14ac:dyDescent="0.25">
      <c r="A111" s="151" t="s">
        <v>384</v>
      </c>
      <c r="B111" s="184" t="s">
        <v>660</v>
      </c>
      <c r="C111" s="158">
        <f>SUM(D111+E111+F111+G111+H111)</f>
        <v>99899</v>
      </c>
      <c r="D111" s="157">
        <v>0</v>
      </c>
      <c r="E111" s="157">
        <v>0</v>
      </c>
      <c r="F111" s="157">
        <v>96653</v>
      </c>
      <c r="G111" s="157">
        <v>0</v>
      </c>
      <c r="H111" s="157">
        <v>3246</v>
      </c>
    </row>
    <row r="112" spans="1:8" hidden="1" x14ac:dyDescent="0.25">
      <c r="A112" s="155"/>
      <c r="B112" s="248"/>
      <c r="C112" s="180">
        <f t="shared" si="0"/>
        <v>0</v>
      </c>
      <c r="D112" s="67"/>
      <c r="E112" s="67"/>
      <c r="F112" s="67"/>
      <c r="G112" s="67"/>
      <c r="H112" s="67"/>
    </row>
    <row r="113" spans="1:8" x14ac:dyDescent="0.25">
      <c r="A113" s="94" t="s">
        <v>58</v>
      </c>
      <c r="B113" s="59" t="s">
        <v>263</v>
      </c>
      <c r="C113" s="156">
        <f>SUM(D113+E113+F113+G113+H113)</f>
        <v>601342</v>
      </c>
      <c r="D113" s="156">
        <f>D114</f>
        <v>566939</v>
      </c>
      <c r="E113" s="156">
        <f>E114</f>
        <v>11500</v>
      </c>
      <c r="F113" s="156">
        <f>F114</f>
        <v>0</v>
      </c>
      <c r="G113" s="156">
        <f>G114</f>
        <v>0</v>
      </c>
      <c r="H113" s="156">
        <f>H114</f>
        <v>22903</v>
      </c>
    </row>
    <row r="114" spans="1:8" s="230" customFormat="1" ht="30" x14ac:dyDescent="0.25">
      <c r="A114" s="151" t="s">
        <v>96</v>
      </c>
      <c r="B114" s="184" t="s">
        <v>395</v>
      </c>
      <c r="C114" s="158">
        <f>SUM(D114+E114+F114+G114+H114)</f>
        <v>601342</v>
      </c>
      <c r="D114" s="157">
        <v>566939</v>
      </c>
      <c r="E114" s="157">
        <v>11500</v>
      </c>
      <c r="F114" s="157">
        <v>0</v>
      </c>
      <c r="G114" s="157">
        <v>0</v>
      </c>
      <c r="H114" s="157">
        <v>22903</v>
      </c>
    </row>
    <row r="115" spans="1:8" x14ac:dyDescent="0.25">
      <c r="A115" s="150" t="s">
        <v>59</v>
      </c>
      <c r="B115" s="53" t="s">
        <v>387</v>
      </c>
      <c r="C115" s="156">
        <f t="shared" si="0"/>
        <v>2463330</v>
      </c>
      <c r="D115" s="156">
        <f>SUM(D116:D117)</f>
        <v>1888025</v>
      </c>
      <c r="E115" s="156">
        <f>SUM(E116:E117)</f>
        <v>549340</v>
      </c>
      <c r="F115" s="156">
        <f>SUM(F116:F117)</f>
        <v>0</v>
      </c>
      <c r="G115" s="61">
        <f>SUM(G116:G117)</f>
        <v>0</v>
      </c>
      <c r="H115" s="61">
        <f>SUM(H116:H117)</f>
        <v>25965</v>
      </c>
    </row>
    <row r="116" spans="1:8" x14ac:dyDescent="0.25">
      <c r="A116" s="151" t="s">
        <v>196</v>
      </c>
      <c r="B116" s="184" t="s">
        <v>396</v>
      </c>
      <c r="C116" s="158">
        <f t="shared" si="0"/>
        <v>1694317</v>
      </c>
      <c r="D116" s="157">
        <f>1469012</f>
        <v>1469012</v>
      </c>
      <c r="E116" s="157">
        <v>199340</v>
      </c>
      <c r="F116" s="157">
        <v>0</v>
      </c>
      <c r="G116" s="157">
        <v>0</v>
      </c>
      <c r="H116" s="157">
        <v>25965</v>
      </c>
    </row>
    <row r="117" spans="1:8" x14ac:dyDescent="0.25">
      <c r="A117" s="149" t="s">
        <v>197</v>
      </c>
      <c r="B117" s="183" t="s">
        <v>410</v>
      </c>
      <c r="C117" s="158">
        <f t="shared" si="0"/>
        <v>769013</v>
      </c>
      <c r="D117" s="157">
        <v>419013</v>
      </c>
      <c r="E117" s="157">
        <v>350000</v>
      </c>
      <c r="F117" s="157">
        <v>0</v>
      </c>
      <c r="G117" s="157">
        <v>0</v>
      </c>
      <c r="H117" s="157">
        <v>0</v>
      </c>
    </row>
    <row r="118" spans="1:8" x14ac:dyDescent="0.25">
      <c r="A118" s="150" t="s">
        <v>60</v>
      </c>
      <c r="B118" s="53" t="s">
        <v>101</v>
      </c>
      <c r="C118" s="156">
        <f t="shared" si="0"/>
        <v>202775</v>
      </c>
      <c r="D118" s="156">
        <f>SUM(D119:D121)</f>
        <v>202775</v>
      </c>
      <c r="E118" s="156">
        <f>SUM(E119:E121)</f>
        <v>0</v>
      </c>
      <c r="F118" s="156">
        <f>SUM(F119:F121)</f>
        <v>0</v>
      </c>
      <c r="G118" s="61">
        <f>SUM(G119:G121)</f>
        <v>0</v>
      </c>
      <c r="H118" s="61">
        <f>SUM(H119:H121)</f>
        <v>0</v>
      </c>
    </row>
    <row r="119" spans="1:8" x14ac:dyDescent="0.25">
      <c r="A119" s="149" t="s">
        <v>189</v>
      </c>
      <c r="B119" s="183" t="s">
        <v>305</v>
      </c>
      <c r="C119" s="158">
        <f t="shared" si="0"/>
        <v>98212</v>
      </c>
      <c r="D119" s="157">
        <v>98212</v>
      </c>
      <c r="E119" s="157">
        <v>0</v>
      </c>
      <c r="F119" s="157">
        <v>0</v>
      </c>
      <c r="G119" s="157">
        <v>0</v>
      </c>
      <c r="H119" s="66">
        <v>0</v>
      </c>
    </row>
    <row r="120" spans="1:8" x14ac:dyDescent="0.25">
      <c r="A120" s="149" t="s">
        <v>254</v>
      </c>
      <c r="B120" s="183" t="s">
        <v>306</v>
      </c>
      <c r="C120" s="158">
        <f t="shared" si="0"/>
        <v>83253</v>
      </c>
      <c r="D120" s="157">
        <v>83253</v>
      </c>
      <c r="E120" s="157">
        <v>0</v>
      </c>
      <c r="F120" s="157">
        <v>0</v>
      </c>
      <c r="G120" s="157">
        <v>0</v>
      </c>
      <c r="H120" s="66">
        <v>0</v>
      </c>
    </row>
    <row r="121" spans="1:8" ht="16.5" customHeight="1" x14ac:dyDescent="0.25">
      <c r="A121" s="149" t="s">
        <v>192</v>
      </c>
      <c r="B121" s="183" t="s">
        <v>193</v>
      </c>
      <c r="C121" s="158">
        <f>SUM(D121+E121+F121+G121+H121)</f>
        <v>21310</v>
      </c>
      <c r="D121" s="157">
        <v>21310</v>
      </c>
      <c r="E121" s="157">
        <v>0</v>
      </c>
      <c r="F121" s="157">
        <v>0</v>
      </c>
      <c r="G121" s="157">
        <v>0</v>
      </c>
      <c r="H121" s="157">
        <v>0</v>
      </c>
    </row>
    <row r="122" spans="1:8" x14ac:dyDescent="0.25">
      <c r="A122" s="150" t="s">
        <v>61</v>
      </c>
      <c r="B122" s="53" t="s">
        <v>137</v>
      </c>
      <c r="C122" s="156">
        <f t="shared" ref="C122:C217" si="7">SUM(D122+E122+F122+G122+H122)</f>
        <v>1149221</v>
      </c>
      <c r="D122" s="156">
        <f>SUM(D123:D125)</f>
        <v>1133341</v>
      </c>
      <c r="E122" s="156">
        <f>SUM(E123:E125)</f>
        <v>0</v>
      </c>
      <c r="F122" s="156">
        <f>SUM(F123:F125)</f>
        <v>15880</v>
      </c>
      <c r="G122" s="61">
        <f>SUM(G123:G125)</f>
        <v>0</v>
      </c>
      <c r="H122" s="61">
        <f>SUM(H123:H125)</f>
        <v>0</v>
      </c>
    </row>
    <row r="123" spans="1:8" s="230" customFormat="1" ht="16.5" customHeight="1" x14ac:dyDescent="0.25">
      <c r="A123" s="149" t="s">
        <v>84</v>
      </c>
      <c r="B123" s="183" t="s">
        <v>310</v>
      </c>
      <c r="C123" s="158">
        <f t="shared" si="7"/>
        <v>458706</v>
      </c>
      <c r="D123" s="157">
        <v>442826</v>
      </c>
      <c r="E123" s="157">
        <v>0</v>
      </c>
      <c r="F123" s="157">
        <v>15880</v>
      </c>
      <c r="G123" s="157">
        <v>0</v>
      </c>
      <c r="H123" s="157">
        <v>0</v>
      </c>
    </row>
    <row r="124" spans="1:8" s="230" customFormat="1" x14ac:dyDescent="0.25">
      <c r="A124" s="149" t="s">
        <v>85</v>
      </c>
      <c r="B124" s="183" t="s">
        <v>136</v>
      </c>
      <c r="C124" s="158">
        <f t="shared" si="7"/>
        <v>690515</v>
      </c>
      <c r="D124" s="157">
        <v>690515</v>
      </c>
      <c r="E124" s="157">
        <v>0</v>
      </c>
      <c r="F124" s="157">
        <v>0</v>
      </c>
      <c r="G124" s="157">
        <v>0</v>
      </c>
      <c r="H124" s="157">
        <v>0</v>
      </c>
    </row>
    <row r="125" spans="1:8" s="230" customFormat="1" hidden="1" x14ac:dyDescent="0.25">
      <c r="A125" s="192"/>
      <c r="B125" s="191"/>
      <c r="C125" s="163">
        <f t="shared" si="7"/>
        <v>0</v>
      </c>
      <c r="D125" s="160"/>
      <c r="E125" s="160"/>
      <c r="F125" s="160"/>
      <c r="G125" s="160"/>
      <c r="H125" s="160"/>
    </row>
    <row r="126" spans="1:8" hidden="1" x14ac:dyDescent="0.25">
      <c r="A126" s="232" t="s">
        <v>638</v>
      </c>
      <c r="B126" s="190" t="s">
        <v>639</v>
      </c>
      <c r="C126" s="249">
        <f>SUM(D126+E126+F126+G126+H126)</f>
        <v>0</v>
      </c>
      <c r="D126" s="249">
        <f>D127</f>
        <v>0</v>
      </c>
      <c r="E126" s="249">
        <f>E127</f>
        <v>0</v>
      </c>
      <c r="F126" s="249">
        <f>F127</f>
        <v>0</v>
      </c>
      <c r="G126" s="249">
        <f>G127</f>
        <v>0</v>
      </c>
      <c r="H126" s="249">
        <f>H127</f>
        <v>0</v>
      </c>
    </row>
    <row r="127" spans="1:8" hidden="1" x14ac:dyDescent="0.25">
      <c r="A127" s="192" t="s">
        <v>299</v>
      </c>
      <c r="B127" s="191" t="s">
        <v>397</v>
      </c>
      <c r="C127" s="163">
        <f>SUM(D127+E127+F127+G127+H127)</f>
        <v>0</v>
      </c>
      <c r="D127" s="160"/>
      <c r="E127" s="160"/>
      <c r="F127" s="160"/>
      <c r="G127" s="160"/>
      <c r="H127" s="160"/>
    </row>
    <row r="128" spans="1:8" ht="28.5" x14ac:dyDescent="0.25">
      <c r="A128" s="150" t="s">
        <v>62</v>
      </c>
      <c r="B128" s="53" t="s">
        <v>201</v>
      </c>
      <c r="C128" s="156">
        <f t="shared" si="7"/>
        <v>286413</v>
      </c>
      <c r="D128" s="156">
        <f>SUM(D129:D132)</f>
        <v>286413</v>
      </c>
      <c r="E128" s="156">
        <f>SUM(E129:E132)</f>
        <v>0</v>
      </c>
      <c r="F128" s="156">
        <f>SUM(F129:F132)</f>
        <v>0</v>
      </c>
      <c r="G128" s="61">
        <f>SUM(G129:G132)</f>
        <v>0</v>
      </c>
      <c r="H128" s="61">
        <f>SUM(H129:H132)</f>
        <v>0</v>
      </c>
    </row>
    <row r="129" spans="1:8" x14ac:dyDescent="0.25">
      <c r="A129" s="149" t="s">
        <v>194</v>
      </c>
      <c r="B129" s="183" t="s">
        <v>246</v>
      </c>
      <c r="C129" s="158">
        <f t="shared" si="7"/>
        <v>150000</v>
      </c>
      <c r="D129" s="157">
        <v>150000</v>
      </c>
      <c r="E129" s="157">
        <v>0</v>
      </c>
      <c r="F129" s="157">
        <v>0</v>
      </c>
      <c r="G129" s="157">
        <v>0</v>
      </c>
      <c r="H129" s="157">
        <v>0</v>
      </c>
    </row>
    <row r="130" spans="1:8" x14ac:dyDescent="0.25">
      <c r="A130" s="149" t="s">
        <v>195</v>
      </c>
      <c r="B130" s="183" t="s">
        <v>199</v>
      </c>
      <c r="C130" s="158">
        <f t="shared" si="7"/>
        <v>31261</v>
      </c>
      <c r="D130" s="157">
        <v>31261</v>
      </c>
      <c r="E130" s="157">
        <v>0</v>
      </c>
      <c r="F130" s="157">
        <v>0</v>
      </c>
      <c r="G130" s="157">
        <v>0</v>
      </c>
      <c r="H130" s="157">
        <v>0</v>
      </c>
    </row>
    <row r="131" spans="1:8" ht="19.5" customHeight="1" x14ac:dyDescent="0.25">
      <c r="A131" s="149" t="s">
        <v>198</v>
      </c>
      <c r="B131" s="183" t="s">
        <v>661</v>
      </c>
      <c r="C131" s="158">
        <f t="shared" si="7"/>
        <v>4300</v>
      </c>
      <c r="D131" s="157">
        <v>4300</v>
      </c>
      <c r="E131" s="157">
        <v>0</v>
      </c>
      <c r="F131" s="157">
        <v>0</v>
      </c>
      <c r="G131" s="157">
        <v>0</v>
      </c>
      <c r="H131" s="157">
        <v>0</v>
      </c>
    </row>
    <row r="132" spans="1:8" x14ac:dyDescent="0.25">
      <c r="A132" s="151" t="s">
        <v>200</v>
      </c>
      <c r="B132" s="184" t="s">
        <v>676</v>
      </c>
      <c r="C132" s="158">
        <f t="shared" si="7"/>
        <v>100852</v>
      </c>
      <c r="D132" s="159">
        <v>100852</v>
      </c>
      <c r="E132" s="157">
        <v>0</v>
      </c>
      <c r="F132" s="157">
        <v>0</v>
      </c>
      <c r="G132" s="157">
        <v>0</v>
      </c>
      <c r="H132" s="157">
        <v>0</v>
      </c>
    </row>
    <row r="133" spans="1:8" s="185" customFormat="1" x14ac:dyDescent="0.25">
      <c r="A133" s="49" t="s">
        <v>35</v>
      </c>
      <c r="B133" s="50" t="s">
        <v>15</v>
      </c>
      <c r="C133" s="51">
        <f t="shared" si="7"/>
        <v>32941859</v>
      </c>
      <c r="D133" s="51">
        <f>SUM(D134+D140+D153+D164+D161+D169+D173)</f>
        <v>20335030</v>
      </c>
      <c r="E133" s="51">
        <f>SUM(E134+E140+E153+E164+E161+E169+E173)</f>
        <v>639090</v>
      </c>
      <c r="F133" s="51">
        <f>SUM(F134+F140+F153+F164+F161+F169+F173)</f>
        <v>10655259</v>
      </c>
      <c r="G133" s="51">
        <f>SUM(G134+G140+G153+G164+G161+G169+G173)</f>
        <v>0</v>
      </c>
      <c r="H133" s="51">
        <f>SUM(H134+H140+H153+H164+H161+H169+H173)</f>
        <v>1312480</v>
      </c>
    </row>
    <row r="134" spans="1:8" x14ac:dyDescent="0.25">
      <c r="A134" s="94" t="s">
        <v>99</v>
      </c>
      <c r="B134" s="59" t="s">
        <v>640</v>
      </c>
      <c r="C134" s="156">
        <f t="shared" si="7"/>
        <v>10154460</v>
      </c>
      <c r="D134" s="156">
        <f>SUM(D135:D139)</f>
        <v>9275174</v>
      </c>
      <c r="E134" s="156">
        <f>SUM(E135:E139)</f>
        <v>93943</v>
      </c>
      <c r="F134" s="156">
        <f>SUM(F135:F139)</f>
        <v>697628</v>
      </c>
      <c r="G134" s="156">
        <f>SUM(G135:G139)</f>
        <v>0</v>
      </c>
      <c r="H134" s="61">
        <f>SUM(H135:H139)</f>
        <v>87715</v>
      </c>
    </row>
    <row r="135" spans="1:8" s="230" customFormat="1" x14ac:dyDescent="0.25">
      <c r="A135" s="151" t="s">
        <v>175</v>
      </c>
      <c r="B135" s="184" t="s">
        <v>398</v>
      </c>
      <c r="C135" s="158">
        <f t="shared" si="7"/>
        <v>8654460</v>
      </c>
      <c r="D135" s="157">
        <f>7691924+36000+47250</f>
        <v>7775174</v>
      </c>
      <c r="E135" s="157">
        <v>93943</v>
      </c>
      <c r="F135" s="157">
        <v>697628</v>
      </c>
      <c r="G135" s="157">
        <v>0</v>
      </c>
      <c r="H135" s="157">
        <f>84836+2879</f>
        <v>87715</v>
      </c>
    </row>
    <row r="136" spans="1:8" s="230" customFormat="1" ht="30" x14ac:dyDescent="0.25">
      <c r="A136" s="151" t="s">
        <v>735</v>
      </c>
      <c r="B136" s="184" t="s">
        <v>736</v>
      </c>
      <c r="C136" s="158">
        <f>SUM(D136+E136+F136+G136+H136)</f>
        <v>1500000</v>
      </c>
      <c r="D136" s="157">
        <f>375000+1125000</f>
        <v>1500000</v>
      </c>
      <c r="E136" s="157">
        <v>0</v>
      </c>
      <c r="F136" s="157">
        <v>0</v>
      </c>
      <c r="G136" s="157">
        <v>0</v>
      </c>
      <c r="H136" s="157">
        <v>0</v>
      </c>
    </row>
    <row r="137" spans="1:8" s="230" customFormat="1" hidden="1" x14ac:dyDescent="0.25">
      <c r="A137" s="155"/>
      <c r="B137" s="248"/>
      <c r="C137" s="180">
        <f>SUM(D137+E137+F137+G137+H137)</f>
        <v>0</v>
      </c>
      <c r="D137" s="67"/>
      <c r="E137" s="67"/>
      <c r="F137" s="67"/>
      <c r="G137" s="67"/>
      <c r="H137" s="67"/>
    </row>
    <row r="138" spans="1:8" s="230" customFormat="1" hidden="1" x14ac:dyDescent="0.25">
      <c r="A138" s="192"/>
      <c r="B138" s="191"/>
      <c r="C138" s="163">
        <f t="shared" si="7"/>
        <v>0</v>
      </c>
      <c r="D138" s="160"/>
      <c r="E138" s="160"/>
      <c r="F138" s="160"/>
      <c r="G138" s="160"/>
      <c r="H138" s="160"/>
    </row>
    <row r="139" spans="1:8" s="230" customFormat="1" hidden="1" x14ac:dyDescent="0.25">
      <c r="A139" s="192"/>
      <c r="B139" s="191"/>
      <c r="C139" s="163">
        <f t="shared" si="7"/>
        <v>0</v>
      </c>
      <c r="D139" s="160"/>
      <c r="E139" s="160"/>
      <c r="F139" s="160"/>
      <c r="G139" s="160"/>
      <c r="H139" s="160"/>
    </row>
    <row r="140" spans="1:8" x14ac:dyDescent="0.25">
      <c r="A140" s="94" t="s">
        <v>102</v>
      </c>
      <c r="B140" s="59" t="s">
        <v>103</v>
      </c>
      <c r="C140" s="156">
        <f t="shared" si="7"/>
        <v>15482494</v>
      </c>
      <c r="D140" s="156">
        <f>SUM(D141+D149)</f>
        <v>6082571</v>
      </c>
      <c r="E140" s="156">
        <f>SUM(E141+E149)</f>
        <v>180447</v>
      </c>
      <c r="F140" s="156">
        <f>SUM(F141+F149)</f>
        <v>8479580</v>
      </c>
      <c r="G140" s="156">
        <f>SUM(G141+G149)</f>
        <v>0</v>
      </c>
      <c r="H140" s="61">
        <f>SUM(H141+H149)</f>
        <v>739896</v>
      </c>
    </row>
    <row r="141" spans="1:8" x14ac:dyDescent="0.25">
      <c r="A141" s="94" t="s">
        <v>190</v>
      </c>
      <c r="B141" s="59" t="s">
        <v>641</v>
      </c>
      <c r="C141" s="156">
        <f>SUM(D141+E141+F141+G141+H141)</f>
        <v>13205410</v>
      </c>
      <c r="D141" s="156">
        <f>SUM(D142:D148)</f>
        <v>5081611</v>
      </c>
      <c r="E141" s="156">
        <f>SUM(E142:E148)</f>
        <v>143135</v>
      </c>
      <c r="F141" s="156">
        <f>SUM(F142:F148)</f>
        <v>7609430</v>
      </c>
      <c r="G141" s="156">
        <f>SUM(G142:G148)</f>
        <v>0</v>
      </c>
      <c r="H141" s="156">
        <f>SUM(H142:H148)</f>
        <v>371234</v>
      </c>
    </row>
    <row r="142" spans="1:8" ht="22.5" customHeight="1" x14ac:dyDescent="0.25">
      <c r="A142" s="151" t="s">
        <v>264</v>
      </c>
      <c r="B142" s="184" t="s">
        <v>399</v>
      </c>
      <c r="C142" s="158">
        <f t="shared" ref="C142:C148" si="8">SUM(D142+E142+F142+G142+H142)</f>
        <v>10992789</v>
      </c>
      <c r="D142" s="157">
        <f>4858740+8750+60000</f>
        <v>4927490</v>
      </c>
      <c r="E142" s="157">
        <v>109469</v>
      </c>
      <c r="F142" s="157">
        <v>5779797</v>
      </c>
      <c r="G142" s="157">
        <v>0</v>
      </c>
      <c r="H142" s="66">
        <f>70634+105399</f>
        <v>176033</v>
      </c>
    </row>
    <row r="143" spans="1:8" ht="30" x14ac:dyDescent="0.25">
      <c r="A143" s="151" t="s">
        <v>265</v>
      </c>
      <c r="B143" s="184" t="s">
        <v>798</v>
      </c>
      <c r="C143" s="158">
        <f t="shared" si="8"/>
        <v>1583152</v>
      </c>
      <c r="D143" s="157">
        <v>123061</v>
      </c>
      <c r="E143" s="157">
        <v>33666</v>
      </c>
      <c r="F143" s="157">
        <v>1392794</v>
      </c>
      <c r="G143" s="157">
        <v>0</v>
      </c>
      <c r="H143" s="66">
        <f>21422+12209</f>
        <v>33631</v>
      </c>
    </row>
    <row r="144" spans="1:8" x14ac:dyDescent="0.25">
      <c r="A144" s="151" t="s">
        <v>257</v>
      </c>
      <c r="B144" s="64" t="s">
        <v>275</v>
      </c>
      <c r="C144" s="158">
        <f t="shared" si="8"/>
        <v>174058</v>
      </c>
      <c r="D144" s="157">
        <v>21596</v>
      </c>
      <c r="E144" s="157">
        <v>0</v>
      </c>
      <c r="F144" s="157">
        <v>50435</v>
      </c>
      <c r="G144" s="157">
        <v>0</v>
      </c>
      <c r="H144" s="66">
        <v>102027</v>
      </c>
    </row>
    <row r="145" spans="1:8" s="230" customFormat="1" ht="30" x14ac:dyDescent="0.25">
      <c r="A145" s="151" t="s">
        <v>386</v>
      </c>
      <c r="B145" s="184" t="s">
        <v>527</v>
      </c>
      <c r="C145" s="158">
        <f t="shared" si="8"/>
        <v>61250</v>
      </c>
      <c r="D145" s="157">
        <f>4607+345574-345574</f>
        <v>4607</v>
      </c>
      <c r="E145" s="157">
        <v>0</v>
      </c>
      <c r="F145" s="157">
        <v>0</v>
      </c>
      <c r="G145" s="157">
        <v>0</v>
      </c>
      <c r="H145" s="157">
        <v>56643</v>
      </c>
    </row>
    <row r="146" spans="1:8" s="230" customFormat="1" ht="60" x14ac:dyDescent="0.25">
      <c r="A146" s="147" t="s">
        <v>576</v>
      </c>
      <c r="B146" s="184" t="s">
        <v>662</v>
      </c>
      <c r="C146" s="158">
        <f t="shared" si="8"/>
        <v>264736</v>
      </c>
      <c r="D146" s="157">
        <v>4518</v>
      </c>
      <c r="E146" s="157">
        <v>0</v>
      </c>
      <c r="F146" s="157">
        <v>257318</v>
      </c>
      <c r="G146" s="157">
        <v>0</v>
      </c>
      <c r="H146" s="157">
        <v>2900</v>
      </c>
    </row>
    <row r="147" spans="1:8" s="230" customFormat="1" ht="45" x14ac:dyDescent="0.25">
      <c r="A147" s="147" t="s">
        <v>737</v>
      </c>
      <c r="B147" s="184" t="s">
        <v>738</v>
      </c>
      <c r="C147" s="158">
        <f t="shared" si="8"/>
        <v>129425</v>
      </c>
      <c r="D147" s="157">
        <v>339</v>
      </c>
      <c r="E147" s="157">
        <v>0</v>
      </c>
      <c r="F147" s="157">
        <v>129086</v>
      </c>
      <c r="G147" s="157">
        <v>0</v>
      </c>
      <c r="H147" s="157">
        <v>0</v>
      </c>
    </row>
    <row r="148" spans="1:8" s="230" customFormat="1" hidden="1" x14ac:dyDescent="0.25">
      <c r="A148" s="192"/>
      <c r="B148" s="196"/>
      <c r="C148" s="163">
        <f t="shared" si="8"/>
        <v>0</v>
      </c>
      <c r="D148" s="160"/>
      <c r="E148" s="160"/>
      <c r="F148" s="160"/>
      <c r="G148" s="160"/>
      <c r="H148" s="160"/>
    </row>
    <row r="149" spans="1:8" x14ac:dyDescent="0.25">
      <c r="A149" s="94" t="s">
        <v>176</v>
      </c>
      <c r="B149" s="59" t="s">
        <v>177</v>
      </c>
      <c r="C149" s="156">
        <f>SUM(D149:H149)</f>
        <v>2277084</v>
      </c>
      <c r="D149" s="156">
        <f>SUM(D150:D152)</f>
        <v>1000960</v>
      </c>
      <c r="E149" s="156">
        <f>SUM(E150:E152)</f>
        <v>37312</v>
      </c>
      <c r="F149" s="156">
        <f>SUM(F150:F152)</f>
        <v>870150</v>
      </c>
      <c r="G149" s="156">
        <f>SUM(G150:G152)</f>
        <v>0</v>
      </c>
      <c r="H149" s="156">
        <f>SUM(H150:H152)</f>
        <v>368662</v>
      </c>
    </row>
    <row r="150" spans="1:8" s="237" customFormat="1" x14ac:dyDescent="0.25">
      <c r="A150" s="151" t="s">
        <v>267</v>
      </c>
      <c r="B150" s="184" t="s">
        <v>400</v>
      </c>
      <c r="C150" s="158">
        <f t="shared" si="7"/>
        <v>893785</v>
      </c>
      <c r="D150" s="157">
        <v>474562</v>
      </c>
      <c r="E150" s="157">
        <v>5932</v>
      </c>
      <c r="F150" s="157">
        <v>403377</v>
      </c>
      <c r="G150" s="157">
        <v>0</v>
      </c>
      <c r="H150" s="157">
        <f>7341+2573</f>
        <v>9914</v>
      </c>
    </row>
    <row r="151" spans="1:8" s="237" customFormat="1" x14ac:dyDescent="0.25">
      <c r="A151" s="151" t="s">
        <v>268</v>
      </c>
      <c r="B151" s="184" t="s">
        <v>266</v>
      </c>
      <c r="C151" s="158">
        <f t="shared" si="7"/>
        <v>742748</v>
      </c>
      <c r="D151" s="157">
        <v>29959</v>
      </c>
      <c r="E151" s="157">
        <v>31380</v>
      </c>
      <c r="F151" s="157">
        <v>466773</v>
      </c>
      <c r="G151" s="157">
        <v>0</v>
      </c>
      <c r="H151" s="157">
        <v>214636</v>
      </c>
    </row>
    <row r="152" spans="1:8" s="237" customFormat="1" ht="45" x14ac:dyDescent="0.25">
      <c r="A152" s="149" t="s">
        <v>577</v>
      </c>
      <c r="B152" s="62" t="s">
        <v>675</v>
      </c>
      <c r="C152" s="158">
        <f t="shared" si="7"/>
        <v>640551</v>
      </c>
      <c r="D152" s="157">
        <f>137431+359008</f>
        <v>496439</v>
      </c>
      <c r="E152" s="157">
        <v>0</v>
      </c>
      <c r="F152" s="157">
        <v>0</v>
      </c>
      <c r="G152" s="157">
        <v>0</v>
      </c>
      <c r="H152" s="157">
        <v>144112</v>
      </c>
    </row>
    <row r="153" spans="1:8" x14ac:dyDescent="0.25">
      <c r="A153" s="94" t="s">
        <v>86</v>
      </c>
      <c r="B153" s="59" t="s">
        <v>104</v>
      </c>
      <c r="C153" s="156">
        <f>SUM(D153+E153+F153+G153+H153)</f>
        <v>4516252</v>
      </c>
      <c r="D153" s="156">
        <f>SUM(D154:D160)</f>
        <v>3310986</v>
      </c>
      <c r="E153" s="156">
        <f t="shared" ref="E153:H153" si="9">SUM(E154:E160)</f>
        <v>186400</v>
      </c>
      <c r="F153" s="156">
        <f t="shared" si="9"/>
        <v>964422</v>
      </c>
      <c r="G153" s="156">
        <f t="shared" si="9"/>
        <v>0</v>
      </c>
      <c r="H153" s="156">
        <f t="shared" si="9"/>
        <v>54444</v>
      </c>
    </row>
    <row r="154" spans="1:8" s="230" customFormat="1" ht="33.75" customHeight="1" x14ac:dyDescent="0.25">
      <c r="A154" s="151" t="s">
        <v>88</v>
      </c>
      <c r="B154" s="184" t="s">
        <v>401</v>
      </c>
      <c r="C154" s="158">
        <f t="shared" si="7"/>
        <v>922078</v>
      </c>
      <c r="D154" s="157">
        <v>447251</v>
      </c>
      <c r="E154" s="157">
        <v>66526</v>
      </c>
      <c r="F154" s="157">
        <v>387356</v>
      </c>
      <c r="G154" s="157">
        <v>0</v>
      </c>
      <c r="H154" s="157">
        <f>17643+3302</f>
        <v>20945</v>
      </c>
    </row>
    <row r="155" spans="1:8" s="230" customFormat="1" ht="20.25" customHeight="1" x14ac:dyDescent="0.25">
      <c r="A155" s="151" t="s">
        <v>89</v>
      </c>
      <c r="B155" s="184" t="s">
        <v>402</v>
      </c>
      <c r="C155" s="158">
        <f t="shared" ref="C155:C163" si="10">SUM(D155+E155+F155+G155+H155)</f>
        <v>252348</v>
      </c>
      <c r="D155" s="157">
        <v>132231</v>
      </c>
      <c r="E155" s="157">
        <v>12968</v>
      </c>
      <c r="F155" s="157">
        <v>100882</v>
      </c>
      <c r="G155" s="157">
        <v>0</v>
      </c>
      <c r="H155" s="157">
        <f>5542+725</f>
        <v>6267</v>
      </c>
    </row>
    <row r="156" spans="1:8" s="230" customFormat="1" x14ac:dyDescent="0.25">
      <c r="A156" s="151" t="s">
        <v>105</v>
      </c>
      <c r="B156" s="184" t="s">
        <v>403</v>
      </c>
      <c r="C156" s="158">
        <f t="shared" si="10"/>
        <v>2322177</v>
      </c>
      <c r="D156" s="157">
        <f>697502+388456+625897</f>
        <v>1711855</v>
      </c>
      <c r="E156" s="157">
        <f>22400+10000+74506</f>
        <v>106906</v>
      </c>
      <c r="F156" s="157">
        <f>274014+70020+132150</f>
        <v>476184</v>
      </c>
      <c r="G156" s="157">
        <v>0</v>
      </c>
      <c r="H156" s="66">
        <f>6294+4447+2208+828+7893+5562</f>
        <v>27232</v>
      </c>
    </row>
    <row r="157" spans="1:8" s="230" customFormat="1" ht="30" hidden="1" x14ac:dyDescent="0.25">
      <c r="A157" s="155" t="s">
        <v>258</v>
      </c>
      <c r="B157" s="248" t="s">
        <v>276</v>
      </c>
      <c r="C157" s="180">
        <f t="shared" si="10"/>
        <v>0</v>
      </c>
      <c r="D157" s="67"/>
      <c r="E157" s="67"/>
      <c r="F157" s="67"/>
      <c r="G157" s="67"/>
      <c r="H157" s="67"/>
    </row>
    <row r="158" spans="1:8" s="230" customFormat="1" ht="50.25" customHeight="1" x14ac:dyDescent="0.25">
      <c r="A158" s="151" t="s">
        <v>578</v>
      </c>
      <c r="B158" s="64" t="s">
        <v>579</v>
      </c>
      <c r="C158" s="158">
        <f t="shared" si="10"/>
        <v>802205</v>
      </c>
      <c r="D158" s="157">
        <f>24100+778105</f>
        <v>802205</v>
      </c>
      <c r="E158" s="157">
        <v>0</v>
      </c>
      <c r="F158" s="157">
        <v>0</v>
      </c>
      <c r="G158" s="157">
        <v>0</v>
      </c>
      <c r="H158" s="157">
        <v>0</v>
      </c>
    </row>
    <row r="159" spans="1:8" s="230" customFormat="1" ht="45" x14ac:dyDescent="0.25">
      <c r="A159" s="151" t="s">
        <v>580</v>
      </c>
      <c r="B159" s="64" t="s">
        <v>581</v>
      </c>
      <c r="C159" s="158">
        <f t="shared" si="10"/>
        <v>217444</v>
      </c>
      <c r="D159" s="157">
        <v>217444</v>
      </c>
      <c r="E159" s="157">
        <v>0</v>
      </c>
      <c r="F159" s="157">
        <v>0</v>
      </c>
      <c r="G159" s="157">
        <v>0</v>
      </c>
      <c r="H159" s="157">
        <v>0</v>
      </c>
    </row>
    <row r="160" spans="1:8" s="230" customFormat="1" ht="45.75" hidden="1" customHeight="1" x14ac:dyDescent="0.25">
      <c r="A160" s="155" t="s">
        <v>739</v>
      </c>
      <c r="B160" s="213" t="s">
        <v>740</v>
      </c>
      <c r="C160" s="180">
        <f t="shared" si="10"/>
        <v>0</v>
      </c>
      <c r="D160" s="67">
        <f>150000+209647-209647-150000</f>
        <v>0</v>
      </c>
      <c r="E160" s="67">
        <v>0</v>
      </c>
      <c r="F160" s="67">
        <f>15856-15856</f>
        <v>0</v>
      </c>
      <c r="G160" s="67">
        <v>0</v>
      </c>
      <c r="H160" s="67">
        <v>0</v>
      </c>
    </row>
    <row r="161" spans="1:8" s="230" customFormat="1" ht="42.75" x14ac:dyDescent="0.25">
      <c r="A161" s="94" t="s">
        <v>182</v>
      </c>
      <c r="B161" s="59" t="s">
        <v>642</v>
      </c>
      <c r="C161" s="156">
        <f t="shared" si="10"/>
        <v>8600</v>
      </c>
      <c r="D161" s="156">
        <f>SUM(D162:D163)</f>
        <v>8600</v>
      </c>
      <c r="E161" s="156">
        <f>SUM(E162:E163)</f>
        <v>0</v>
      </c>
      <c r="F161" s="156">
        <f>SUM(F162:F163)</f>
        <v>0</v>
      </c>
      <c r="G161" s="156">
        <f>SUM(G162:G163)</f>
        <v>0</v>
      </c>
      <c r="H161" s="61">
        <f>SUM(H162:H163)</f>
        <v>0</v>
      </c>
    </row>
    <row r="162" spans="1:8" s="230" customFormat="1" ht="16.5" customHeight="1" x14ac:dyDescent="0.25">
      <c r="A162" s="151" t="s">
        <v>202</v>
      </c>
      <c r="B162" s="184" t="s">
        <v>663</v>
      </c>
      <c r="C162" s="158">
        <f t="shared" si="10"/>
        <v>6000</v>
      </c>
      <c r="D162" s="157">
        <v>6000</v>
      </c>
      <c r="E162" s="157">
        <v>0</v>
      </c>
      <c r="F162" s="157">
        <v>0</v>
      </c>
      <c r="G162" s="157">
        <v>0</v>
      </c>
      <c r="H162" s="157">
        <v>0</v>
      </c>
    </row>
    <row r="163" spans="1:8" s="230" customFormat="1" x14ac:dyDescent="0.25">
      <c r="A163" s="151" t="s">
        <v>203</v>
      </c>
      <c r="B163" s="184" t="s">
        <v>664</v>
      </c>
      <c r="C163" s="158">
        <f t="shared" si="10"/>
        <v>2600</v>
      </c>
      <c r="D163" s="157">
        <v>2600</v>
      </c>
      <c r="E163" s="157">
        <v>0</v>
      </c>
      <c r="F163" s="157">
        <v>0</v>
      </c>
      <c r="G163" s="157">
        <v>0</v>
      </c>
      <c r="H163" s="157">
        <v>0</v>
      </c>
    </row>
    <row r="164" spans="1:8" s="230" customFormat="1" x14ac:dyDescent="0.25">
      <c r="A164" s="94" t="s">
        <v>178</v>
      </c>
      <c r="B164" s="59" t="s">
        <v>179</v>
      </c>
      <c r="C164" s="156">
        <f t="shared" ref="C164:C168" si="11">SUM(D164+E164+F164+G164+H164)</f>
        <v>1334343</v>
      </c>
      <c r="D164" s="156">
        <f>D165+D166+D167+D168</f>
        <v>863543</v>
      </c>
      <c r="E164" s="156">
        <f>E165+E166+E167+E168</f>
        <v>177577</v>
      </c>
      <c r="F164" s="156">
        <f>F165+F166+F167+F168</f>
        <v>113588</v>
      </c>
      <c r="G164" s="156">
        <f>G165+G166+G167+G168</f>
        <v>0</v>
      </c>
      <c r="H164" s="156">
        <f>H165+H166+H167+H168</f>
        <v>179635</v>
      </c>
    </row>
    <row r="165" spans="1:8" s="230" customFormat="1" ht="30" x14ac:dyDescent="0.25">
      <c r="A165" s="151" t="s">
        <v>180</v>
      </c>
      <c r="B165" s="184" t="s">
        <v>404</v>
      </c>
      <c r="C165" s="158">
        <f t="shared" si="11"/>
        <v>1071614</v>
      </c>
      <c r="D165" s="157">
        <v>843552</v>
      </c>
      <c r="E165" s="157">
        <v>177577</v>
      </c>
      <c r="F165" s="157">
        <v>0</v>
      </c>
      <c r="G165" s="157">
        <v>0</v>
      </c>
      <c r="H165" s="157">
        <v>50485</v>
      </c>
    </row>
    <row r="166" spans="1:8" s="230" customFormat="1" ht="30" x14ac:dyDescent="0.25">
      <c r="A166" s="151" t="s">
        <v>181</v>
      </c>
      <c r="B166" s="184" t="s">
        <v>405</v>
      </c>
      <c r="C166" s="158">
        <f t="shared" si="11"/>
        <v>186261</v>
      </c>
      <c r="D166" s="157">
        <v>11991</v>
      </c>
      <c r="E166" s="157">
        <v>0</v>
      </c>
      <c r="F166" s="157">
        <v>60674</v>
      </c>
      <c r="G166" s="157">
        <v>0</v>
      </c>
      <c r="H166" s="157">
        <v>113596</v>
      </c>
    </row>
    <row r="167" spans="1:8" s="230" customFormat="1" x14ac:dyDescent="0.25">
      <c r="A167" s="151" t="s">
        <v>362</v>
      </c>
      <c r="B167" s="184" t="s">
        <v>584</v>
      </c>
      <c r="C167" s="158">
        <f t="shared" si="11"/>
        <v>76468</v>
      </c>
      <c r="D167" s="157">
        <v>8000</v>
      </c>
      <c r="E167" s="157">
        <v>0</v>
      </c>
      <c r="F167" s="157">
        <v>52914</v>
      </c>
      <c r="G167" s="157">
        <v>0</v>
      </c>
      <c r="H167" s="157">
        <v>15554</v>
      </c>
    </row>
    <row r="168" spans="1:8" s="230" customFormat="1" ht="30" hidden="1" x14ac:dyDescent="0.25">
      <c r="A168" s="192" t="s">
        <v>582</v>
      </c>
      <c r="B168" s="196" t="s">
        <v>583</v>
      </c>
      <c r="C168" s="163">
        <f t="shared" si="11"/>
        <v>0</v>
      </c>
      <c r="D168" s="160"/>
      <c r="E168" s="160"/>
      <c r="F168" s="160"/>
      <c r="G168" s="160"/>
      <c r="H168" s="160"/>
    </row>
    <row r="169" spans="1:8" s="230" customFormat="1" x14ac:dyDescent="0.25">
      <c r="A169" s="94" t="s">
        <v>100</v>
      </c>
      <c r="B169" s="59" t="s">
        <v>154</v>
      </c>
      <c r="C169" s="156">
        <f>SUM(D169+E169+F169+G169+H169)</f>
        <v>1444235</v>
      </c>
      <c r="D169" s="156">
        <f>SUM(D170:D172)</f>
        <v>793926</v>
      </c>
      <c r="E169" s="156">
        <f>SUM(E170:E172)</f>
        <v>723</v>
      </c>
      <c r="F169" s="156">
        <f>SUM(F170:F172)</f>
        <v>400041</v>
      </c>
      <c r="G169" s="156">
        <f>SUM(G170:G172)</f>
        <v>0</v>
      </c>
      <c r="H169" s="61">
        <f>SUM(H170:H172)</f>
        <v>249545</v>
      </c>
    </row>
    <row r="170" spans="1:8" ht="21" customHeight="1" x14ac:dyDescent="0.25">
      <c r="A170" s="151" t="s">
        <v>153</v>
      </c>
      <c r="B170" s="184" t="s">
        <v>406</v>
      </c>
      <c r="C170" s="158">
        <f>SUM(D170+E170+F170+G170+H170)</f>
        <v>728166</v>
      </c>
      <c r="D170" s="157">
        <v>725725</v>
      </c>
      <c r="E170" s="157">
        <v>0</v>
      </c>
      <c r="F170" s="157">
        <v>0</v>
      </c>
      <c r="G170" s="157">
        <v>0</v>
      </c>
      <c r="H170" s="157">
        <v>2441</v>
      </c>
    </row>
    <row r="171" spans="1:8" x14ac:dyDescent="0.25">
      <c r="A171" s="151" t="s">
        <v>242</v>
      </c>
      <c r="B171" s="184" t="s">
        <v>407</v>
      </c>
      <c r="C171" s="158">
        <f>SUM(D171+E171+F171+G171+H171)</f>
        <v>639339</v>
      </c>
      <c r="D171" s="157">
        <v>0</v>
      </c>
      <c r="E171" s="157">
        <v>0</v>
      </c>
      <c r="F171" s="157">
        <v>400041</v>
      </c>
      <c r="G171" s="157">
        <v>0</v>
      </c>
      <c r="H171" s="157">
        <v>239298</v>
      </c>
    </row>
    <row r="172" spans="1:8" ht="30" x14ac:dyDescent="0.25">
      <c r="A172" s="151" t="s">
        <v>277</v>
      </c>
      <c r="B172" s="184" t="s">
        <v>408</v>
      </c>
      <c r="C172" s="158">
        <f>SUM(D172+E172+F172+G172+H172)</f>
        <v>76730</v>
      </c>
      <c r="D172" s="157">
        <v>68201</v>
      </c>
      <c r="E172" s="157">
        <v>723</v>
      </c>
      <c r="F172" s="157">
        <v>0</v>
      </c>
      <c r="G172" s="157">
        <v>0</v>
      </c>
      <c r="H172" s="66">
        <v>7806</v>
      </c>
    </row>
    <row r="173" spans="1:8" x14ac:dyDescent="0.25">
      <c r="A173" s="59" t="s">
        <v>741</v>
      </c>
      <c r="B173" s="59" t="s">
        <v>742</v>
      </c>
      <c r="C173" s="156">
        <f>SUM(D173+E173+F173+G173+H173)</f>
        <v>1475</v>
      </c>
      <c r="D173" s="156">
        <f>SUM(D174:D175)</f>
        <v>230</v>
      </c>
      <c r="E173" s="156">
        <f t="shared" ref="E173:H173" si="12">SUM(E174:E175)</f>
        <v>0</v>
      </c>
      <c r="F173" s="156">
        <f t="shared" si="12"/>
        <v>0</v>
      </c>
      <c r="G173" s="156">
        <f t="shared" si="12"/>
        <v>0</v>
      </c>
      <c r="H173" s="156">
        <f t="shared" si="12"/>
        <v>1245</v>
      </c>
    </row>
    <row r="174" spans="1:8" x14ac:dyDescent="0.25">
      <c r="A174" s="151" t="s">
        <v>743</v>
      </c>
      <c r="B174" s="184" t="s">
        <v>744</v>
      </c>
      <c r="C174" s="157">
        <f t="shared" ref="C174:C175" si="13">SUM(D174+E174+F174+G174+H174)</f>
        <v>1475</v>
      </c>
      <c r="D174" s="157">
        <v>230</v>
      </c>
      <c r="E174" s="157">
        <v>0</v>
      </c>
      <c r="F174" s="157">
        <v>0</v>
      </c>
      <c r="G174" s="157">
        <v>0</v>
      </c>
      <c r="H174" s="66">
        <v>1245</v>
      </c>
    </row>
    <row r="175" spans="1:8" hidden="1" x14ac:dyDescent="0.25">
      <c r="A175" s="192"/>
      <c r="B175" s="191"/>
      <c r="C175" s="67">
        <f t="shared" si="13"/>
        <v>0</v>
      </c>
      <c r="D175" s="160"/>
      <c r="E175" s="160"/>
      <c r="F175" s="160"/>
      <c r="G175" s="160"/>
      <c r="H175" s="160"/>
    </row>
    <row r="176" spans="1:8" s="185" customFormat="1" x14ac:dyDescent="0.25">
      <c r="A176" s="49" t="s">
        <v>36</v>
      </c>
      <c r="B176" s="50" t="s">
        <v>16</v>
      </c>
      <c r="C176" s="51">
        <f t="shared" si="7"/>
        <v>7678091</v>
      </c>
      <c r="D176" s="51">
        <f>SUM(D177+D186+D189+D195+D197+D199+D207)</f>
        <v>6180498</v>
      </c>
      <c r="E176" s="51">
        <f>SUM(E177+E186+E189+E195+E197+E199+E207)</f>
        <v>78118</v>
      </c>
      <c r="F176" s="51">
        <f>SUM(F177+F186+F189+F195+F197+F199+F207)</f>
        <v>1311440</v>
      </c>
      <c r="G176" s="51">
        <f>SUM(G177+G186+G189+G195+G197+G199+G207)</f>
        <v>9214</v>
      </c>
      <c r="H176" s="51">
        <f>SUM(H177+H186+H189+H195+H197+H199+H207)</f>
        <v>98821</v>
      </c>
    </row>
    <row r="177" spans="1:8" x14ac:dyDescent="0.25">
      <c r="A177" s="150" t="s">
        <v>90</v>
      </c>
      <c r="B177" s="53" t="s">
        <v>91</v>
      </c>
      <c r="C177" s="61">
        <f>SUM(D177+E177+F177+G177+H177)</f>
        <v>1136946</v>
      </c>
      <c r="D177" s="61">
        <f>SUM(D178:D185)</f>
        <v>388045</v>
      </c>
      <c r="E177" s="61">
        <f t="shared" ref="E177:H177" si="14">SUM(E178:E185)</f>
        <v>58148</v>
      </c>
      <c r="F177" s="61">
        <f t="shared" si="14"/>
        <v>632996</v>
      </c>
      <c r="G177" s="61">
        <f t="shared" si="14"/>
        <v>8009</v>
      </c>
      <c r="H177" s="61">
        <f t="shared" si="14"/>
        <v>49748</v>
      </c>
    </row>
    <row r="178" spans="1:8" s="230" customFormat="1" ht="30" x14ac:dyDescent="0.25">
      <c r="A178" s="151" t="s">
        <v>107</v>
      </c>
      <c r="B178" s="184" t="s">
        <v>665</v>
      </c>
      <c r="C178" s="158">
        <f t="shared" si="7"/>
        <v>460677</v>
      </c>
      <c r="D178" s="157">
        <v>134993</v>
      </c>
      <c r="E178" s="157">
        <v>0</v>
      </c>
      <c r="F178" s="66">
        <v>325421</v>
      </c>
      <c r="G178" s="157">
        <v>0</v>
      </c>
      <c r="H178" s="66">
        <v>263</v>
      </c>
    </row>
    <row r="179" spans="1:8" s="230" customFormat="1" x14ac:dyDescent="0.25">
      <c r="A179" s="149" t="s">
        <v>300</v>
      </c>
      <c r="B179" s="184" t="s">
        <v>585</v>
      </c>
      <c r="C179" s="181">
        <f t="shared" si="7"/>
        <v>93264</v>
      </c>
      <c r="D179" s="66">
        <v>56504</v>
      </c>
      <c r="E179" s="66">
        <v>24525</v>
      </c>
      <c r="F179" s="157">
        <v>0</v>
      </c>
      <c r="G179" s="66">
        <v>8009</v>
      </c>
      <c r="H179" s="66">
        <v>4226</v>
      </c>
    </row>
    <row r="180" spans="1:8" s="230" customFormat="1" x14ac:dyDescent="0.25">
      <c r="A180" s="149" t="s">
        <v>108</v>
      </c>
      <c r="B180" s="183" t="s">
        <v>111</v>
      </c>
      <c r="C180" s="181">
        <f t="shared" si="7"/>
        <v>88426</v>
      </c>
      <c r="D180" s="66">
        <v>68300</v>
      </c>
      <c r="E180" s="66">
        <v>19849</v>
      </c>
      <c r="F180" s="157">
        <v>0</v>
      </c>
      <c r="G180" s="157">
        <v>0</v>
      </c>
      <c r="H180" s="66">
        <v>277</v>
      </c>
    </row>
    <row r="181" spans="1:8" s="230" customFormat="1" x14ac:dyDescent="0.25">
      <c r="A181" s="149" t="s">
        <v>109</v>
      </c>
      <c r="B181" s="183" t="s">
        <v>112</v>
      </c>
      <c r="C181" s="181">
        <f t="shared" si="7"/>
        <v>67806</v>
      </c>
      <c r="D181" s="66">
        <v>57835</v>
      </c>
      <c r="E181" s="66">
        <v>8599</v>
      </c>
      <c r="F181" s="157">
        <v>0</v>
      </c>
      <c r="G181" s="157">
        <v>0</v>
      </c>
      <c r="H181" s="66">
        <v>1372</v>
      </c>
    </row>
    <row r="182" spans="1:8" s="230" customFormat="1" x14ac:dyDescent="0.25">
      <c r="A182" s="151" t="s">
        <v>110</v>
      </c>
      <c r="B182" s="184" t="s">
        <v>113</v>
      </c>
      <c r="C182" s="158">
        <f t="shared" si="7"/>
        <v>117176</v>
      </c>
      <c r="D182" s="157">
        <v>50413</v>
      </c>
      <c r="E182" s="66">
        <v>5175</v>
      </c>
      <c r="F182" s="66">
        <v>59941</v>
      </c>
      <c r="G182" s="157">
        <v>0</v>
      </c>
      <c r="H182" s="66">
        <f>324+1323</f>
        <v>1647</v>
      </c>
    </row>
    <row r="183" spans="1:8" s="230" customFormat="1" x14ac:dyDescent="0.25">
      <c r="A183" s="151" t="s">
        <v>363</v>
      </c>
      <c r="B183" s="184" t="s">
        <v>586</v>
      </c>
      <c r="C183" s="158">
        <f t="shared" si="7"/>
        <v>163074</v>
      </c>
      <c r="D183" s="157">
        <v>20000</v>
      </c>
      <c r="E183" s="157">
        <v>0</v>
      </c>
      <c r="F183" s="157">
        <v>118711</v>
      </c>
      <c r="G183" s="157">
        <v>0</v>
      </c>
      <c r="H183" s="66">
        <v>24363</v>
      </c>
    </row>
    <row r="184" spans="1:8" s="230" customFormat="1" ht="33" hidden="1" customHeight="1" x14ac:dyDescent="0.25">
      <c r="A184" s="192" t="s">
        <v>587</v>
      </c>
      <c r="B184" s="196" t="s">
        <v>666</v>
      </c>
      <c r="C184" s="163">
        <f t="shared" si="7"/>
        <v>0</v>
      </c>
      <c r="D184" s="160"/>
      <c r="E184" s="160"/>
      <c r="F184" s="160"/>
      <c r="G184" s="160"/>
      <c r="H184" s="160"/>
    </row>
    <row r="185" spans="1:8" s="230" customFormat="1" ht="46.5" customHeight="1" x14ac:dyDescent="0.25">
      <c r="A185" s="149" t="s">
        <v>745</v>
      </c>
      <c r="B185" s="62" t="s">
        <v>746</v>
      </c>
      <c r="C185" s="158">
        <f t="shared" si="7"/>
        <v>146523</v>
      </c>
      <c r="D185" s="157">
        <v>0</v>
      </c>
      <c r="E185" s="157">
        <v>0</v>
      </c>
      <c r="F185" s="157">
        <v>128923</v>
      </c>
      <c r="G185" s="157">
        <v>0</v>
      </c>
      <c r="H185" s="66">
        <v>17600</v>
      </c>
    </row>
    <row r="186" spans="1:8" x14ac:dyDescent="0.25">
      <c r="A186" s="94" t="s">
        <v>114</v>
      </c>
      <c r="B186" s="59" t="s">
        <v>115</v>
      </c>
      <c r="C186" s="156">
        <f t="shared" si="7"/>
        <v>523507</v>
      </c>
      <c r="D186" s="156">
        <f>SUM(D187+D188)</f>
        <v>518339</v>
      </c>
      <c r="E186" s="61">
        <f>SUM(E187+E188)</f>
        <v>0</v>
      </c>
      <c r="F186" s="61">
        <f>SUM(F187+F188)</f>
        <v>0</v>
      </c>
      <c r="G186" s="61">
        <f>SUM(G187+G188)</f>
        <v>0</v>
      </c>
      <c r="H186" s="61">
        <f>SUM(H187+H188)</f>
        <v>5168</v>
      </c>
    </row>
    <row r="187" spans="1:8" s="230" customFormat="1" x14ac:dyDescent="0.25">
      <c r="A187" s="151" t="s">
        <v>116</v>
      </c>
      <c r="B187" s="184" t="s">
        <v>118</v>
      </c>
      <c r="C187" s="158">
        <f t="shared" si="7"/>
        <v>234291</v>
      </c>
      <c r="D187" s="157">
        <v>233959</v>
      </c>
      <c r="E187" s="157">
        <v>0</v>
      </c>
      <c r="F187" s="157">
        <v>0</v>
      </c>
      <c r="G187" s="157">
        <v>0</v>
      </c>
      <c r="H187" s="66">
        <v>332</v>
      </c>
    </row>
    <row r="188" spans="1:8" s="230" customFormat="1" x14ac:dyDescent="0.25">
      <c r="A188" s="151" t="s">
        <v>117</v>
      </c>
      <c r="B188" s="184" t="s">
        <v>250</v>
      </c>
      <c r="C188" s="158">
        <f t="shared" si="7"/>
        <v>289216</v>
      </c>
      <c r="D188" s="157">
        <v>284380</v>
      </c>
      <c r="E188" s="157">
        <v>0</v>
      </c>
      <c r="F188" s="157">
        <v>0</v>
      </c>
      <c r="G188" s="157">
        <v>0</v>
      </c>
      <c r="H188" s="66">
        <v>4836</v>
      </c>
    </row>
    <row r="189" spans="1:8" x14ac:dyDescent="0.25">
      <c r="A189" s="94" t="s">
        <v>92</v>
      </c>
      <c r="B189" s="59" t="s">
        <v>247</v>
      </c>
      <c r="C189" s="156">
        <f t="shared" si="7"/>
        <v>1177299</v>
      </c>
      <c r="D189" s="156">
        <f>SUM(D190:D194)</f>
        <v>1135808</v>
      </c>
      <c r="E189" s="61">
        <f>SUM(E190:E194)</f>
        <v>5850</v>
      </c>
      <c r="F189" s="61">
        <f>SUM(F190:F194)</f>
        <v>31548</v>
      </c>
      <c r="G189" s="61">
        <f>SUM(G190:G194)</f>
        <v>0</v>
      </c>
      <c r="H189" s="61">
        <f>SUM(H190:H194)</f>
        <v>4093</v>
      </c>
    </row>
    <row r="190" spans="1:8" s="230" customFormat="1" ht="30" x14ac:dyDescent="0.25">
      <c r="A190" s="151" t="s">
        <v>144</v>
      </c>
      <c r="B190" s="184" t="s">
        <v>183</v>
      </c>
      <c r="C190" s="156">
        <f>SUM(D190+E190+F190+G190+H190)</f>
        <v>982574</v>
      </c>
      <c r="D190" s="157">
        <v>941101</v>
      </c>
      <c r="E190" s="157">
        <v>5850</v>
      </c>
      <c r="F190" s="157">
        <v>31548</v>
      </c>
      <c r="G190" s="157">
        <v>0</v>
      </c>
      <c r="H190" s="157">
        <v>4075</v>
      </c>
    </row>
    <row r="191" spans="1:8" s="230" customFormat="1" ht="21" customHeight="1" x14ac:dyDescent="0.25">
      <c r="A191" s="151" t="s">
        <v>119</v>
      </c>
      <c r="B191" s="184" t="s">
        <v>409</v>
      </c>
      <c r="C191" s="158">
        <f>SUM(D191+E191+F191+G191+H191)</f>
        <v>194725</v>
      </c>
      <c r="D191" s="157">
        <v>194707</v>
      </c>
      <c r="E191" s="157">
        <v>0</v>
      </c>
      <c r="F191" s="157">
        <v>0</v>
      </c>
      <c r="G191" s="157">
        <v>0</v>
      </c>
      <c r="H191" s="66">
        <v>18</v>
      </c>
    </row>
    <row r="192" spans="1:8" s="230" customFormat="1" hidden="1" x14ac:dyDescent="0.25">
      <c r="A192" s="192"/>
      <c r="B192" s="191"/>
      <c r="C192" s="163">
        <f t="shared" si="7"/>
        <v>0</v>
      </c>
      <c r="D192" s="160"/>
      <c r="E192" s="160"/>
      <c r="F192" s="160"/>
      <c r="G192" s="160"/>
      <c r="H192" s="160"/>
    </row>
    <row r="193" spans="1:8" s="230" customFormat="1" hidden="1" x14ac:dyDescent="0.25">
      <c r="A193" s="192"/>
      <c r="B193" s="191"/>
      <c r="C193" s="163">
        <f t="shared" si="7"/>
        <v>0</v>
      </c>
      <c r="D193" s="160"/>
      <c r="E193" s="160"/>
      <c r="F193" s="160"/>
      <c r="G193" s="160"/>
      <c r="H193" s="160"/>
    </row>
    <row r="194" spans="1:8" s="230" customFormat="1" hidden="1" x14ac:dyDescent="0.25">
      <c r="A194" s="192"/>
      <c r="B194" s="191"/>
      <c r="C194" s="163">
        <f t="shared" si="7"/>
        <v>0</v>
      </c>
      <c r="D194" s="160"/>
      <c r="E194" s="160"/>
      <c r="F194" s="160"/>
      <c r="G194" s="160"/>
      <c r="H194" s="160"/>
    </row>
    <row r="195" spans="1:8" s="230" customFormat="1" x14ac:dyDescent="0.25">
      <c r="A195" s="94" t="s">
        <v>643</v>
      </c>
      <c r="B195" s="59" t="s">
        <v>248</v>
      </c>
      <c r="C195" s="156">
        <f t="shared" si="7"/>
        <v>53000</v>
      </c>
      <c r="D195" s="156">
        <f>D196</f>
        <v>23000</v>
      </c>
      <c r="E195" s="156">
        <f>E196</f>
        <v>0</v>
      </c>
      <c r="F195" s="156">
        <f>F196</f>
        <v>30000</v>
      </c>
      <c r="G195" s="156">
        <f>G196</f>
        <v>0</v>
      </c>
      <c r="H195" s="156">
        <f>H196</f>
        <v>0</v>
      </c>
    </row>
    <row r="196" spans="1:8" s="230" customFormat="1" x14ac:dyDescent="0.25">
      <c r="A196" s="151" t="s">
        <v>241</v>
      </c>
      <c r="B196" s="184" t="s">
        <v>248</v>
      </c>
      <c r="C196" s="158">
        <f t="shared" si="7"/>
        <v>53000</v>
      </c>
      <c r="D196" s="157">
        <v>23000</v>
      </c>
      <c r="E196" s="157">
        <v>0</v>
      </c>
      <c r="F196" s="157">
        <v>30000</v>
      </c>
      <c r="G196" s="66">
        <v>0</v>
      </c>
      <c r="H196" s="66">
        <v>0</v>
      </c>
    </row>
    <row r="197" spans="1:8" x14ac:dyDescent="0.25">
      <c r="A197" s="94" t="s">
        <v>644</v>
      </c>
      <c r="B197" s="59" t="s">
        <v>646</v>
      </c>
      <c r="C197" s="156">
        <f t="shared" si="7"/>
        <v>335040</v>
      </c>
      <c r="D197" s="156">
        <f>D198</f>
        <v>335040</v>
      </c>
      <c r="E197" s="156">
        <f>E198</f>
        <v>0</v>
      </c>
      <c r="F197" s="156">
        <f>F198</f>
        <v>0</v>
      </c>
      <c r="G197" s="156">
        <f>G198</f>
        <v>0</v>
      </c>
      <c r="H197" s="156">
        <f>H198</f>
        <v>0</v>
      </c>
    </row>
    <row r="198" spans="1:8" ht="30" x14ac:dyDescent="0.25">
      <c r="A198" s="151" t="s">
        <v>301</v>
      </c>
      <c r="B198" s="184" t="s">
        <v>645</v>
      </c>
      <c r="C198" s="158">
        <f t="shared" si="7"/>
        <v>335040</v>
      </c>
      <c r="D198" s="157">
        <v>335040</v>
      </c>
      <c r="E198" s="157">
        <v>0</v>
      </c>
      <c r="F198" s="157">
        <v>0</v>
      </c>
      <c r="G198" s="157">
        <v>0</v>
      </c>
      <c r="H198" s="157">
        <v>0</v>
      </c>
    </row>
    <row r="199" spans="1:8" ht="28.5" x14ac:dyDescent="0.25">
      <c r="A199" s="94" t="s">
        <v>93</v>
      </c>
      <c r="B199" s="59" t="s">
        <v>249</v>
      </c>
      <c r="C199" s="156">
        <f t="shared" si="7"/>
        <v>3048248</v>
      </c>
      <c r="D199" s="156">
        <f>SUM(D200:D206)</f>
        <v>2409134</v>
      </c>
      <c r="E199" s="61">
        <f>SUM(E200:E206)</f>
        <v>13940</v>
      </c>
      <c r="F199" s="61">
        <f>SUM(F200:F206)</f>
        <v>616896</v>
      </c>
      <c r="G199" s="61">
        <f>SUM(G200:G206)</f>
        <v>1205</v>
      </c>
      <c r="H199" s="61">
        <f>SUM(H200:H206)</f>
        <v>7073</v>
      </c>
    </row>
    <row r="200" spans="1:8" s="230" customFormat="1" x14ac:dyDescent="0.25">
      <c r="A200" s="151" t="s">
        <v>120</v>
      </c>
      <c r="B200" s="184" t="s">
        <v>123</v>
      </c>
      <c r="C200" s="158">
        <f t="shared" si="7"/>
        <v>9175</v>
      </c>
      <c r="D200" s="157">
        <v>9175</v>
      </c>
      <c r="E200" s="157">
        <v>0</v>
      </c>
      <c r="F200" s="157">
        <v>0</v>
      </c>
      <c r="G200" s="157">
        <v>0</v>
      </c>
      <c r="H200" s="157">
        <v>0</v>
      </c>
    </row>
    <row r="201" spans="1:8" s="230" customFormat="1" ht="45" x14ac:dyDescent="0.25">
      <c r="A201" s="149" t="s">
        <v>121</v>
      </c>
      <c r="B201" s="183" t="s">
        <v>588</v>
      </c>
      <c r="C201" s="181">
        <f>SUM(D201+E201+F201+G201+H201)</f>
        <v>67899</v>
      </c>
      <c r="D201" s="66">
        <v>67899</v>
      </c>
      <c r="E201" s="157">
        <v>0</v>
      </c>
      <c r="F201" s="157">
        <v>0</v>
      </c>
      <c r="G201" s="157">
        <v>0</v>
      </c>
      <c r="H201" s="157">
        <v>0</v>
      </c>
    </row>
    <row r="202" spans="1:8" s="230" customFormat="1" x14ac:dyDescent="0.25">
      <c r="A202" s="149" t="s">
        <v>280</v>
      </c>
      <c r="B202" s="184" t="s">
        <v>278</v>
      </c>
      <c r="C202" s="181">
        <f>SUM(D202+E202+F202+G202+H202)</f>
        <v>92135</v>
      </c>
      <c r="D202" s="66">
        <v>80996</v>
      </c>
      <c r="E202" s="66">
        <v>6640</v>
      </c>
      <c r="F202" s="157">
        <v>0</v>
      </c>
      <c r="G202" s="157">
        <v>1205</v>
      </c>
      <c r="H202" s="66">
        <v>3294</v>
      </c>
    </row>
    <row r="203" spans="1:8" s="230" customFormat="1" x14ac:dyDescent="0.25">
      <c r="A203" s="149" t="s">
        <v>122</v>
      </c>
      <c r="B203" s="183" t="s">
        <v>360</v>
      </c>
      <c r="C203" s="181">
        <f>SUM(D203+E203+F203+G203+H203)</f>
        <v>15673</v>
      </c>
      <c r="D203" s="66">
        <v>12673</v>
      </c>
      <c r="E203" s="66">
        <v>3000</v>
      </c>
      <c r="F203" s="157">
        <v>0</v>
      </c>
      <c r="G203" s="157">
        <v>0</v>
      </c>
      <c r="H203" s="157">
        <v>0</v>
      </c>
    </row>
    <row r="204" spans="1:8" s="230" customFormat="1" x14ac:dyDescent="0.25">
      <c r="A204" s="151" t="s">
        <v>647</v>
      </c>
      <c r="B204" s="184" t="s">
        <v>667</v>
      </c>
      <c r="C204" s="158">
        <f t="shared" si="7"/>
        <v>263674</v>
      </c>
      <c r="D204" s="157">
        <v>255595</v>
      </c>
      <c r="E204" s="157">
        <v>4300</v>
      </c>
      <c r="F204" s="157">
        <v>0</v>
      </c>
      <c r="G204" s="157">
        <v>0</v>
      </c>
      <c r="H204" s="157">
        <v>3779</v>
      </c>
    </row>
    <row r="205" spans="1:8" s="230" customFormat="1" ht="30" x14ac:dyDescent="0.25">
      <c r="A205" s="149" t="s">
        <v>648</v>
      </c>
      <c r="B205" s="183" t="s">
        <v>668</v>
      </c>
      <c r="C205" s="181">
        <f t="shared" si="7"/>
        <v>2599692</v>
      </c>
      <c r="D205" s="66">
        <f>1015100+967696</f>
        <v>1982796</v>
      </c>
      <c r="E205" s="66">
        <v>0</v>
      </c>
      <c r="F205" s="157">
        <v>616896</v>
      </c>
      <c r="G205" s="157">
        <v>0</v>
      </c>
      <c r="H205" s="157">
        <v>0</v>
      </c>
    </row>
    <row r="206" spans="1:8" s="230" customFormat="1" hidden="1" x14ac:dyDescent="0.25">
      <c r="A206" s="192"/>
      <c r="B206" s="90"/>
      <c r="C206" s="163">
        <f t="shared" si="7"/>
        <v>0</v>
      </c>
      <c r="D206" s="160"/>
      <c r="E206" s="160"/>
      <c r="F206" s="160"/>
      <c r="G206" s="160"/>
      <c r="H206" s="160"/>
    </row>
    <row r="207" spans="1:8" x14ac:dyDescent="0.25">
      <c r="A207" s="150" t="s">
        <v>269</v>
      </c>
      <c r="B207" s="53" t="s">
        <v>388</v>
      </c>
      <c r="C207" s="61">
        <f>D207+E207+F207+G207+H207</f>
        <v>1404051</v>
      </c>
      <c r="D207" s="61">
        <f>SUM(D208:D211)</f>
        <v>1371132</v>
      </c>
      <c r="E207" s="61">
        <f>SUM(E208:E211)</f>
        <v>180</v>
      </c>
      <c r="F207" s="61">
        <f>SUM(F208:F211)</f>
        <v>0</v>
      </c>
      <c r="G207" s="61">
        <f>SUM(G208:G211)</f>
        <v>0</v>
      </c>
      <c r="H207" s="61">
        <f>SUM(H208:H211)</f>
        <v>32739</v>
      </c>
    </row>
    <row r="208" spans="1:8" ht="30" x14ac:dyDescent="0.25">
      <c r="A208" s="149" t="s">
        <v>284</v>
      </c>
      <c r="B208" s="183" t="s">
        <v>411</v>
      </c>
      <c r="C208" s="181">
        <f t="shared" si="7"/>
        <v>1127601</v>
      </c>
      <c r="D208" s="66">
        <v>1119147</v>
      </c>
      <c r="E208" s="66">
        <v>180</v>
      </c>
      <c r="F208" s="66">
        <v>0</v>
      </c>
      <c r="G208" s="157">
        <v>0</v>
      </c>
      <c r="H208" s="66">
        <f>7346+928</f>
        <v>8274</v>
      </c>
    </row>
    <row r="209" spans="1:9" ht="30" x14ac:dyDescent="0.25">
      <c r="A209" s="149" t="s">
        <v>271</v>
      </c>
      <c r="B209" s="183" t="s">
        <v>270</v>
      </c>
      <c r="C209" s="181">
        <f>SUM(D209+E209+F209+G209+H209)</f>
        <v>7200</v>
      </c>
      <c r="D209" s="66">
        <v>7179</v>
      </c>
      <c r="E209" s="157">
        <v>0</v>
      </c>
      <c r="F209" s="157">
        <v>0</v>
      </c>
      <c r="G209" s="157">
        <v>0</v>
      </c>
      <c r="H209" s="157">
        <v>21</v>
      </c>
    </row>
    <row r="210" spans="1:9" ht="30" x14ac:dyDescent="0.25">
      <c r="A210" s="149" t="s">
        <v>256</v>
      </c>
      <c r="B210" s="183" t="s">
        <v>272</v>
      </c>
      <c r="C210" s="181">
        <f>SUM(D210+E210+F210+G210+H210)</f>
        <v>269250</v>
      </c>
      <c r="D210" s="66">
        <v>244806</v>
      </c>
      <c r="E210" s="157">
        <v>0</v>
      </c>
      <c r="F210" s="157">
        <v>0</v>
      </c>
      <c r="G210" s="157">
        <v>0</v>
      </c>
      <c r="H210" s="66">
        <v>24444</v>
      </c>
    </row>
    <row r="211" spans="1:9" hidden="1" x14ac:dyDescent="0.25">
      <c r="A211" s="192"/>
      <c r="B211" s="191"/>
      <c r="C211" s="163">
        <f t="shared" si="7"/>
        <v>0</v>
      </c>
      <c r="D211" s="160"/>
      <c r="E211" s="160"/>
      <c r="F211" s="160"/>
      <c r="G211" s="160"/>
      <c r="H211" s="160"/>
    </row>
    <row r="212" spans="1:9" s="185" customFormat="1" x14ac:dyDescent="0.25">
      <c r="A212" s="41"/>
      <c r="B212" s="50" t="s">
        <v>51</v>
      </c>
      <c r="C212" s="51">
        <f>SUM(D212+E212+F212+G212+H212)</f>
        <v>9165492</v>
      </c>
      <c r="D212" s="51">
        <f>D213+D214+D220</f>
        <v>2320343</v>
      </c>
      <c r="E212" s="51">
        <f>E213+E214+E220</f>
        <v>0</v>
      </c>
      <c r="F212" s="51">
        <f>F213+F214+F220</f>
        <v>0</v>
      </c>
      <c r="G212" s="51">
        <f>G213+G214+G220</f>
        <v>0</v>
      </c>
      <c r="H212" s="51">
        <f>H213+H214+H220</f>
        <v>6845149</v>
      </c>
      <c r="I212" s="238"/>
    </row>
    <row r="213" spans="1:9" x14ac:dyDescent="0.25">
      <c r="A213" s="58" t="s">
        <v>164</v>
      </c>
      <c r="B213" s="59" t="s">
        <v>165</v>
      </c>
      <c r="C213" s="156">
        <f t="shared" si="7"/>
        <v>6845149</v>
      </c>
      <c r="D213" s="156">
        <v>0</v>
      </c>
      <c r="E213" s="156">
        <v>0</v>
      </c>
      <c r="F213" s="156">
        <v>0</v>
      </c>
      <c r="G213" s="156">
        <v>0</v>
      </c>
      <c r="H213" s="156">
        <f>6582664+262485</f>
        <v>6845149</v>
      </c>
      <c r="I213" s="239"/>
    </row>
    <row r="214" spans="1:9" s="185" customFormat="1" ht="17.25" customHeight="1" x14ac:dyDescent="0.25">
      <c r="A214" s="58" t="s">
        <v>95</v>
      </c>
      <c r="B214" s="59" t="s">
        <v>166</v>
      </c>
      <c r="C214" s="156">
        <f>SUM(D214+E214+F214+G214+H214)</f>
        <v>698055</v>
      </c>
      <c r="D214" s="61">
        <f>D217+D215+D216+D218+D219</f>
        <v>698055</v>
      </c>
      <c r="E214" s="61">
        <f>E217+E215+E216+E218+E219</f>
        <v>0</v>
      </c>
      <c r="F214" s="61">
        <f>F217+F215+F216+F218+F219</f>
        <v>0</v>
      </c>
      <c r="G214" s="61">
        <f>G217+G215+G216+G218+G219</f>
        <v>0</v>
      </c>
      <c r="H214" s="61">
        <f>H217+H215+H216+H218+H219</f>
        <v>0</v>
      </c>
      <c r="I214" s="238"/>
    </row>
    <row r="215" spans="1:9" s="241" customFormat="1" hidden="1" x14ac:dyDescent="0.25">
      <c r="A215" s="368"/>
      <c r="B215" s="248" t="s">
        <v>669</v>
      </c>
      <c r="C215" s="180">
        <f t="shared" si="7"/>
        <v>0</v>
      </c>
      <c r="D215" s="67"/>
      <c r="E215" s="180"/>
      <c r="F215" s="180"/>
      <c r="G215" s="180"/>
      <c r="H215" s="180"/>
      <c r="I215" s="240"/>
    </row>
    <row r="216" spans="1:9" s="241" customFormat="1" x14ac:dyDescent="0.25">
      <c r="A216" s="58"/>
      <c r="B216" s="184" t="s">
        <v>670</v>
      </c>
      <c r="C216" s="158">
        <f t="shared" si="7"/>
        <v>25000</v>
      </c>
      <c r="D216" s="157">
        <v>25000</v>
      </c>
      <c r="E216" s="157">
        <v>0</v>
      </c>
      <c r="F216" s="157">
        <v>0</v>
      </c>
      <c r="G216" s="157">
        <v>0</v>
      </c>
      <c r="H216" s="157">
        <v>0</v>
      </c>
    </row>
    <row r="217" spans="1:9" x14ac:dyDescent="0.25">
      <c r="A217" s="58"/>
      <c r="B217" s="184" t="s">
        <v>671</v>
      </c>
      <c r="C217" s="158">
        <f t="shared" si="7"/>
        <v>573055</v>
      </c>
      <c r="D217" s="157">
        <v>573055</v>
      </c>
      <c r="E217" s="157">
        <v>0</v>
      </c>
      <c r="F217" s="157">
        <v>0</v>
      </c>
      <c r="G217" s="157">
        <v>0</v>
      </c>
      <c r="H217" s="157">
        <v>0</v>
      </c>
    </row>
    <row r="218" spans="1:9" x14ac:dyDescent="0.25">
      <c r="A218" s="58"/>
      <c r="B218" s="184" t="s">
        <v>672</v>
      </c>
      <c r="C218" s="158">
        <f>SUM(D218+E218+F218+G218+H218)</f>
        <v>100000</v>
      </c>
      <c r="D218" s="157">
        <v>100000</v>
      </c>
      <c r="E218" s="66">
        <v>0</v>
      </c>
      <c r="F218" s="66">
        <v>0</v>
      </c>
      <c r="G218" s="66">
        <v>0</v>
      </c>
      <c r="H218" s="66">
        <v>0</v>
      </c>
    </row>
    <row r="219" spans="1:9" hidden="1" x14ac:dyDescent="0.25">
      <c r="A219" s="368"/>
      <c r="B219" s="248" t="s">
        <v>673</v>
      </c>
      <c r="C219" s="180">
        <f>SUM(D219+E219+F219+G219+H219)</f>
        <v>0</v>
      </c>
      <c r="D219" s="67"/>
      <c r="E219" s="67"/>
      <c r="F219" s="67"/>
      <c r="G219" s="67"/>
      <c r="H219" s="67"/>
    </row>
    <row r="220" spans="1:9" x14ac:dyDescent="0.25">
      <c r="A220" s="58" t="s">
        <v>800</v>
      </c>
      <c r="B220" s="94" t="s">
        <v>302</v>
      </c>
      <c r="C220" s="156">
        <f>SUM(D220+E220+F220+G220+H220)</f>
        <v>1622288</v>
      </c>
      <c r="D220" s="65">
        <f>1654288-30000+150000-56000-60000-36000</f>
        <v>1622288</v>
      </c>
      <c r="E220" s="65">
        <v>0</v>
      </c>
      <c r="F220" s="65">
        <v>0</v>
      </c>
      <c r="G220" s="65">
        <v>0</v>
      </c>
      <c r="H220" s="65">
        <v>0</v>
      </c>
    </row>
    <row r="221" spans="1:9" x14ac:dyDescent="0.25">
      <c r="A221" s="95"/>
      <c r="B221" s="50" t="s">
        <v>74</v>
      </c>
      <c r="C221" s="51">
        <f t="shared" ref="C221:H221" si="15">SUM(C212+C9)</f>
        <v>104876692</v>
      </c>
      <c r="D221" s="51">
        <f t="shared" si="15"/>
        <v>68613864</v>
      </c>
      <c r="E221" s="51">
        <f t="shared" si="15"/>
        <v>1714373</v>
      </c>
      <c r="F221" s="51">
        <f t="shared" si="15"/>
        <v>20562501</v>
      </c>
      <c r="G221" s="51">
        <f t="shared" si="15"/>
        <v>690899</v>
      </c>
      <c r="H221" s="51">
        <f t="shared" si="15"/>
        <v>13295055</v>
      </c>
    </row>
    <row r="222" spans="1:9" s="242" customFormat="1" x14ac:dyDescent="0.25">
      <c r="A222" s="9"/>
      <c r="B222" s="247"/>
      <c r="C222" s="188"/>
      <c r="D222" s="251"/>
      <c r="E222" s="251"/>
      <c r="F222" s="9"/>
      <c r="G222" s="9"/>
      <c r="H222" s="17"/>
    </row>
    <row r="223" spans="1:9" x14ac:dyDescent="0.25">
      <c r="A223" s="9"/>
      <c r="B223" s="247"/>
      <c r="C223" s="188"/>
      <c r="D223" s="251"/>
      <c r="E223" s="9"/>
      <c r="F223" s="9"/>
      <c r="G223" s="9"/>
      <c r="H223" s="9"/>
    </row>
    <row r="224" spans="1:9" s="242" customFormat="1" ht="18.75" x14ac:dyDescent="0.3">
      <c r="A224" s="96" t="s">
        <v>25</v>
      </c>
      <c r="B224" s="252"/>
      <c r="C224" s="187"/>
      <c r="D224" s="97"/>
      <c r="E224" s="96"/>
      <c r="F224" s="96"/>
      <c r="G224" s="96"/>
      <c r="H224" s="370" t="s">
        <v>81</v>
      </c>
    </row>
    <row r="225" spans="1:8" x14ac:dyDescent="0.25">
      <c r="A225" s="9"/>
      <c r="B225" s="247"/>
      <c r="C225" s="188"/>
      <c r="D225" s="18"/>
      <c r="E225" s="9"/>
      <c r="F225" s="9"/>
      <c r="G225" s="9"/>
      <c r="H225" s="9"/>
    </row>
    <row r="226" spans="1:8" x14ac:dyDescent="0.25">
      <c r="C226" s="244"/>
      <c r="D226" s="243"/>
      <c r="E226" s="29"/>
      <c r="F226" s="29"/>
      <c r="G226" s="29"/>
      <c r="H226" s="29"/>
    </row>
    <row r="227" spans="1:8" x14ac:dyDescent="0.25">
      <c r="B227" s="596"/>
      <c r="C227" s="244"/>
      <c r="D227" s="243"/>
      <c r="E227" s="245"/>
      <c r="F227" s="29"/>
      <c r="G227" s="29"/>
      <c r="H227" s="29"/>
    </row>
    <row r="228" spans="1:8" x14ac:dyDescent="0.25">
      <c r="C228" s="246"/>
    </row>
  </sheetData>
  <mergeCells count="6">
    <mergeCell ref="A4:H4"/>
    <mergeCell ref="A5:H5"/>
    <mergeCell ref="D7:H7"/>
    <mergeCell ref="A7:A8"/>
    <mergeCell ref="B7:B8"/>
    <mergeCell ref="C7:C8"/>
  </mergeCells>
  <phoneticPr fontId="0" type="noConversion"/>
  <printOptions horizontalCentered="1"/>
  <pageMargins left="0.78740157480314965" right="0.78740157480314965" top="0.78740157480314965" bottom="0.39370078740157483" header="0.19685039370078741" footer="0.19685039370078741"/>
  <pageSetup paperSize="9" scale="88" fitToHeight="0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750"/>
  <sheetViews>
    <sheetView showGridLines="0" topLeftCell="A741" zoomScaleNormal="100" zoomScaleSheetLayoutView="80" workbookViewId="0">
      <selection activeCell="C750" sqref="C750"/>
    </sheetView>
  </sheetViews>
  <sheetFormatPr defaultRowHeight="12.75" x14ac:dyDescent="0.2"/>
  <cols>
    <col min="1" max="1" width="1.7109375" style="202" customWidth="1"/>
    <col min="2" max="2" width="3.85546875" style="202" customWidth="1"/>
    <col min="3" max="3" width="35.28515625" style="202" customWidth="1"/>
    <col min="4" max="4" width="29.5703125" style="202" customWidth="1"/>
    <col min="5" max="5" width="1.85546875" style="202" customWidth="1"/>
    <col min="6" max="7" width="3.28515625" style="202" customWidth="1"/>
    <col min="8" max="8" width="12.140625" style="202" customWidth="1"/>
    <col min="9" max="16384" width="9.140625" style="202"/>
  </cols>
  <sheetData>
    <row r="1" spans="1:8" ht="15" x14ac:dyDescent="0.25">
      <c r="A1" s="9"/>
    </row>
    <row r="2" spans="1:8" ht="15.75" x14ac:dyDescent="0.2">
      <c r="H2" s="396" t="s">
        <v>452</v>
      </c>
    </row>
    <row r="3" spans="1:8" ht="15.75" customHeight="1" x14ac:dyDescent="0.2">
      <c r="D3" s="479" t="s">
        <v>846</v>
      </c>
      <c r="E3" s="480"/>
      <c r="F3" s="480"/>
      <c r="G3" s="480"/>
      <c r="H3" s="480"/>
    </row>
    <row r="4" spans="1:8" ht="15.75" customHeight="1" x14ac:dyDescent="0.2">
      <c r="D4" s="479" t="s">
        <v>847</v>
      </c>
      <c r="E4" s="480"/>
      <c r="F4" s="480"/>
      <c r="G4" s="480"/>
      <c r="H4" s="480"/>
    </row>
    <row r="6" spans="1:8" ht="47.25" customHeight="1" x14ac:dyDescent="0.2">
      <c r="B6" s="481" t="s">
        <v>812</v>
      </c>
      <c r="C6" s="482"/>
      <c r="D6" s="482"/>
      <c r="E6" s="482"/>
      <c r="F6" s="482"/>
      <c r="G6" s="482"/>
      <c r="H6" s="482"/>
    </row>
    <row r="7" spans="1:8" ht="18.75" customHeight="1" x14ac:dyDescent="0.2">
      <c r="A7" s="483" t="s">
        <v>313</v>
      </c>
      <c r="B7" s="484"/>
      <c r="C7" s="484"/>
      <c r="D7" s="484"/>
      <c r="E7" s="484"/>
      <c r="F7" s="485" t="s">
        <v>813</v>
      </c>
      <c r="G7" s="485"/>
      <c r="H7" s="485"/>
    </row>
    <row r="8" spans="1:8" x14ac:dyDescent="0.2">
      <c r="A8" s="400"/>
      <c r="B8" s="400"/>
      <c r="C8" s="400"/>
      <c r="D8" s="400"/>
      <c r="E8" s="400"/>
      <c r="F8" s="400"/>
      <c r="G8" s="400"/>
      <c r="H8" s="400"/>
    </row>
    <row r="9" spans="1:8" x14ac:dyDescent="0.2">
      <c r="A9" s="400"/>
      <c r="B9" s="400"/>
      <c r="C9" s="400"/>
      <c r="D9" s="400"/>
      <c r="E9" s="400"/>
      <c r="F9" s="400"/>
      <c r="G9" s="400"/>
      <c r="H9" s="400"/>
    </row>
    <row r="10" spans="1:8" ht="15.75" customHeight="1" x14ac:dyDescent="0.2">
      <c r="A10" s="486" t="s">
        <v>451</v>
      </c>
      <c r="B10" s="487"/>
      <c r="C10" s="487"/>
      <c r="D10" s="487"/>
      <c r="E10" s="487"/>
      <c r="F10" s="487"/>
      <c r="G10" s="487"/>
      <c r="H10" s="487"/>
    </row>
    <row r="11" spans="1:8" ht="15" customHeight="1" x14ac:dyDescent="0.2">
      <c r="A11" s="401"/>
      <c r="B11" s="401"/>
      <c r="C11" s="494" t="s">
        <v>314</v>
      </c>
      <c r="D11" s="487"/>
      <c r="E11" s="487"/>
      <c r="F11" s="402"/>
      <c r="G11" s="495">
        <v>34914725</v>
      </c>
      <c r="H11" s="496"/>
    </row>
    <row r="12" spans="1:8" ht="15" customHeight="1" x14ac:dyDescent="0.2">
      <c r="A12" s="401"/>
      <c r="B12" s="401"/>
      <c r="C12" s="494" t="s">
        <v>420</v>
      </c>
      <c r="D12" s="487"/>
      <c r="E12" s="487"/>
      <c r="F12" s="402"/>
      <c r="G12" s="495">
        <v>3969773</v>
      </c>
      <c r="H12" s="496"/>
    </row>
    <row r="13" spans="1:8" ht="15" customHeight="1" x14ac:dyDescent="0.2">
      <c r="A13" s="401"/>
      <c r="B13" s="401"/>
      <c r="C13" s="494" t="s">
        <v>419</v>
      </c>
      <c r="D13" s="487"/>
      <c r="E13" s="487"/>
      <c r="F13" s="402"/>
      <c r="G13" s="495">
        <v>2518974</v>
      </c>
      <c r="H13" s="496"/>
    </row>
    <row r="14" spans="1:8" ht="15" customHeight="1" x14ac:dyDescent="0.2">
      <c r="A14" s="401"/>
      <c r="B14" s="401"/>
      <c r="C14" s="494" t="s">
        <v>418</v>
      </c>
      <c r="D14" s="487"/>
      <c r="E14" s="487"/>
      <c r="F14" s="402"/>
      <c r="G14" s="495">
        <v>64292</v>
      </c>
      <c r="H14" s="496"/>
    </row>
    <row r="15" spans="1:8" ht="15" customHeight="1" x14ac:dyDescent="0.2">
      <c r="A15" s="401"/>
      <c r="B15" s="401"/>
      <c r="C15" s="494" t="s">
        <v>417</v>
      </c>
      <c r="D15" s="487"/>
      <c r="E15" s="487"/>
      <c r="F15" s="402"/>
      <c r="G15" s="495">
        <v>26988362</v>
      </c>
      <c r="H15" s="496"/>
    </row>
    <row r="16" spans="1:8" ht="30" customHeight="1" x14ac:dyDescent="0.2">
      <c r="A16" s="401"/>
      <c r="B16" s="401"/>
      <c r="C16" s="494" t="s">
        <v>415</v>
      </c>
      <c r="D16" s="487"/>
      <c r="E16" s="487"/>
      <c r="F16" s="402"/>
      <c r="G16" s="495">
        <v>1373324</v>
      </c>
      <c r="H16" s="496"/>
    </row>
    <row r="18" spans="1:8" ht="15.75" customHeight="1" x14ac:dyDescent="0.2">
      <c r="A18" s="488" t="s">
        <v>315</v>
      </c>
      <c r="B18" s="489"/>
      <c r="C18" s="489"/>
      <c r="D18" s="489"/>
      <c r="E18" s="489"/>
      <c r="F18" s="489"/>
      <c r="G18" s="489"/>
      <c r="H18" s="489"/>
    </row>
    <row r="19" spans="1:8" s="203" customFormat="1" ht="14.25" customHeight="1" x14ac:dyDescent="0.2">
      <c r="C19" s="490" t="s">
        <v>314</v>
      </c>
      <c r="D19" s="489"/>
      <c r="E19" s="489"/>
      <c r="G19" s="491">
        <v>4574431</v>
      </c>
      <c r="H19" s="480"/>
    </row>
    <row r="20" spans="1:8" ht="15" customHeight="1" x14ac:dyDescent="0.2">
      <c r="C20" s="492" t="s">
        <v>420</v>
      </c>
      <c r="D20" s="489"/>
      <c r="E20" s="489"/>
      <c r="G20" s="493">
        <v>3760872</v>
      </c>
      <c r="H20" s="480"/>
    </row>
    <row r="21" spans="1:8" ht="15" customHeight="1" x14ac:dyDescent="0.2">
      <c r="C21" s="492" t="s">
        <v>419</v>
      </c>
      <c r="D21" s="489"/>
      <c r="E21" s="489"/>
      <c r="G21" s="493">
        <v>713559</v>
      </c>
      <c r="H21" s="480"/>
    </row>
    <row r="22" spans="1:8" ht="15" customHeight="1" x14ac:dyDescent="0.2">
      <c r="C22" s="492" t="s">
        <v>417</v>
      </c>
      <c r="D22" s="489"/>
      <c r="E22" s="489"/>
      <c r="G22" s="493">
        <v>100000</v>
      </c>
      <c r="H22" s="480"/>
    </row>
    <row r="24" spans="1:8" ht="20.25" customHeight="1" x14ac:dyDescent="0.2">
      <c r="A24" s="488" t="s">
        <v>450</v>
      </c>
      <c r="B24" s="489"/>
      <c r="C24" s="489"/>
      <c r="D24" s="489"/>
      <c r="E24" s="489"/>
      <c r="F24" s="489"/>
      <c r="G24" s="489"/>
      <c r="H24" s="489"/>
    </row>
    <row r="25" spans="1:8" s="203" customFormat="1" ht="14.25" customHeight="1" x14ac:dyDescent="0.2">
      <c r="C25" s="490" t="s">
        <v>314</v>
      </c>
      <c r="D25" s="489"/>
      <c r="E25" s="489"/>
      <c r="G25" s="491">
        <v>50876</v>
      </c>
      <c r="H25" s="480"/>
    </row>
    <row r="26" spans="1:8" ht="15" customHeight="1" x14ac:dyDescent="0.2">
      <c r="C26" s="492" t="s">
        <v>419</v>
      </c>
      <c r="D26" s="489"/>
      <c r="E26" s="489"/>
      <c r="G26" s="493">
        <v>13459</v>
      </c>
      <c r="H26" s="480"/>
    </row>
    <row r="27" spans="1:8" ht="30" customHeight="1" x14ac:dyDescent="0.2">
      <c r="C27" s="492" t="s">
        <v>415</v>
      </c>
      <c r="D27" s="489"/>
      <c r="E27" s="489"/>
      <c r="G27" s="493">
        <v>37417</v>
      </c>
      <c r="H27" s="480"/>
    </row>
    <row r="29" spans="1:8" ht="31.5" customHeight="1" x14ac:dyDescent="0.2">
      <c r="A29" s="488" t="s">
        <v>677</v>
      </c>
      <c r="B29" s="489"/>
      <c r="C29" s="489"/>
      <c r="D29" s="489"/>
      <c r="E29" s="489"/>
      <c r="F29" s="489"/>
      <c r="G29" s="489"/>
      <c r="H29" s="489"/>
    </row>
    <row r="30" spans="1:8" s="203" customFormat="1" ht="14.25" customHeight="1" x14ac:dyDescent="0.2">
      <c r="C30" s="490" t="s">
        <v>314</v>
      </c>
      <c r="D30" s="489"/>
      <c r="E30" s="489"/>
      <c r="G30" s="491">
        <v>42753</v>
      </c>
      <c r="H30" s="480"/>
    </row>
    <row r="31" spans="1:8" ht="15" customHeight="1" x14ac:dyDescent="0.2">
      <c r="C31" s="492" t="s">
        <v>420</v>
      </c>
      <c r="D31" s="489"/>
      <c r="E31" s="489"/>
      <c r="G31" s="493">
        <v>35753</v>
      </c>
      <c r="H31" s="480"/>
    </row>
    <row r="32" spans="1:8" ht="15" customHeight="1" x14ac:dyDescent="0.2">
      <c r="C32" s="492" t="s">
        <v>419</v>
      </c>
      <c r="D32" s="489"/>
      <c r="E32" s="489"/>
      <c r="G32" s="493">
        <v>7000</v>
      </c>
      <c r="H32" s="480"/>
    </row>
    <row r="34" spans="1:8" ht="15.75" customHeight="1" x14ac:dyDescent="0.2">
      <c r="A34" s="488" t="s">
        <v>804</v>
      </c>
      <c r="B34" s="489"/>
      <c r="C34" s="489"/>
      <c r="D34" s="489"/>
      <c r="E34" s="489"/>
      <c r="F34" s="489"/>
      <c r="G34" s="489"/>
      <c r="H34" s="489"/>
    </row>
    <row r="35" spans="1:8" s="203" customFormat="1" ht="14.25" customHeight="1" x14ac:dyDescent="0.2">
      <c r="C35" s="490" t="s">
        <v>314</v>
      </c>
      <c r="D35" s="489"/>
      <c r="E35" s="489"/>
      <c r="G35" s="491">
        <v>96585</v>
      </c>
      <c r="H35" s="480"/>
    </row>
    <row r="36" spans="1:8" ht="15" customHeight="1" x14ac:dyDescent="0.2">
      <c r="C36" s="492" t="s">
        <v>419</v>
      </c>
      <c r="D36" s="489"/>
      <c r="E36" s="489"/>
      <c r="G36" s="493">
        <v>96585</v>
      </c>
      <c r="H36" s="480"/>
    </row>
    <row r="38" spans="1:8" ht="15.75" customHeight="1" x14ac:dyDescent="0.2">
      <c r="A38" s="488" t="s">
        <v>316</v>
      </c>
      <c r="B38" s="489"/>
      <c r="C38" s="489"/>
      <c r="D38" s="489"/>
      <c r="E38" s="489"/>
      <c r="F38" s="489"/>
      <c r="G38" s="489"/>
      <c r="H38" s="489"/>
    </row>
    <row r="39" spans="1:8" s="203" customFormat="1" ht="15" customHeight="1" x14ac:dyDescent="0.2">
      <c r="C39" s="490" t="s">
        <v>314</v>
      </c>
      <c r="D39" s="497"/>
      <c r="E39" s="497"/>
      <c r="G39" s="491">
        <v>493980</v>
      </c>
      <c r="H39" s="498"/>
    </row>
    <row r="40" spans="1:8" ht="15" customHeight="1" x14ac:dyDescent="0.2">
      <c r="C40" s="492" t="s">
        <v>419</v>
      </c>
      <c r="D40" s="489"/>
      <c r="E40" s="489"/>
      <c r="G40" s="493">
        <v>370225</v>
      </c>
      <c r="H40" s="480"/>
    </row>
    <row r="41" spans="1:8" ht="15" customHeight="1" x14ac:dyDescent="0.2">
      <c r="C41" s="492" t="s">
        <v>417</v>
      </c>
      <c r="D41" s="489"/>
      <c r="E41" s="489"/>
      <c r="G41" s="493">
        <v>123755</v>
      </c>
      <c r="H41" s="480"/>
    </row>
    <row r="43" spans="1:8" ht="31.5" customHeight="1" x14ac:dyDescent="0.2">
      <c r="A43" s="488" t="s">
        <v>678</v>
      </c>
      <c r="B43" s="489"/>
      <c r="C43" s="489"/>
      <c r="D43" s="489"/>
      <c r="E43" s="489"/>
      <c r="F43" s="489"/>
      <c r="G43" s="489"/>
      <c r="H43" s="489"/>
    </row>
    <row r="44" spans="1:8" s="203" customFormat="1" ht="15" customHeight="1" x14ac:dyDescent="0.2">
      <c r="C44" s="490" t="s">
        <v>314</v>
      </c>
      <c r="D44" s="497"/>
      <c r="E44" s="497"/>
      <c r="G44" s="491">
        <v>156999</v>
      </c>
      <c r="H44" s="498"/>
    </row>
    <row r="45" spans="1:8" ht="15" customHeight="1" x14ac:dyDescent="0.2">
      <c r="C45" s="492" t="s">
        <v>419</v>
      </c>
      <c r="D45" s="489"/>
      <c r="E45" s="489"/>
      <c r="G45" s="493">
        <v>26717</v>
      </c>
      <c r="H45" s="480"/>
    </row>
    <row r="46" spans="1:8" ht="15" customHeight="1" x14ac:dyDescent="0.2">
      <c r="C46" s="492" t="s">
        <v>417</v>
      </c>
      <c r="D46" s="489"/>
      <c r="E46" s="489"/>
      <c r="G46" s="493">
        <v>112420</v>
      </c>
      <c r="H46" s="480"/>
    </row>
    <row r="47" spans="1:8" ht="30" customHeight="1" x14ac:dyDescent="0.2">
      <c r="C47" s="492" t="s">
        <v>415</v>
      </c>
      <c r="D47" s="489"/>
      <c r="E47" s="489"/>
      <c r="G47" s="493">
        <v>17862</v>
      </c>
      <c r="H47" s="480"/>
    </row>
    <row r="49" spans="1:8" ht="31.5" customHeight="1" x14ac:dyDescent="0.2">
      <c r="A49" s="488" t="s">
        <v>679</v>
      </c>
      <c r="B49" s="489"/>
      <c r="C49" s="489"/>
      <c r="D49" s="489"/>
      <c r="E49" s="489"/>
      <c r="F49" s="489"/>
      <c r="G49" s="489"/>
      <c r="H49" s="489"/>
    </row>
    <row r="50" spans="1:8" s="203" customFormat="1" ht="15" customHeight="1" x14ac:dyDescent="0.2">
      <c r="C50" s="490" t="s">
        <v>314</v>
      </c>
      <c r="D50" s="497"/>
      <c r="E50" s="497"/>
      <c r="G50" s="491">
        <v>9755809</v>
      </c>
      <c r="H50" s="498"/>
    </row>
    <row r="51" spans="1:8" ht="15" customHeight="1" x14ac:dyDescent="0.2">
      <c r="C51" s="492" t="s">
        <v>417</v>
      </c>
      <c r="D51" s="489"/>
      <c r="E51" s="489"/>
      <c r="G51" s="493">
        <v>9755809</v>
      </c>
      <c r="H51" s="480"/>
    </row>
    <row r="53" spans="1:8" ht="31.5" customHeight="1" x14ac:dyDescent="0.2">
      <c r="A53" s="488" t="s">
        <v>680</v>
      </c>
      <c r="B53" s="489"/>
      <c r="C53" s="489"/>
      <c r="D53" s="489"/>
      <c r="E53" s="489"/>
      <c r="F53" s="489"/>
      <c r="G53" s="489"/>
      <c r="H53" s="489"/>
    </row>
    <row r="54" spans="1:8" s="203" customFormat="1" ht="15" customHeight="1" x14ac:dyDescent="0.2">
      <c r="C54" s="490" t="s">
        <v>314</v>
      </c>
      <c r="D54" s="497"/>
      <c r="E54" s="497"/>
      <c r="G54" s="491">
        <v>4502896</v>
      </c>
      <c r="H54" s="498"/>
    </row>
    <row r="55" spans="1:8" ht="15" customHeight="1" x14ac:dyDescent="0.2">
      <c r="C55" s="492" t="s">
        <v>417</v>
      </c>
      <c r="D55" s="489"/>
      <c r="E55" s="489"/>
      <c r="G55" s="493">
        <v>4502896</v>
      </c>
      <c r="H55" s="480"/>
    </row>
    <row r="57" spans="1:8" ht="31.5" customHeight="1" x14ac:dyDescent="0.2">
      <c r="A57" s="488" t="s">
        <v>805</v>
      </c>
      <c r="B57" s="489"/>
      <c r="C57" s="489"/>
      <c r="D57" s="489"/>
      <c r="E57" s="489"/>
      <c r="F57" s="489"/>
      <c r="G57" s="489"/>
      <c r="H57" s="489"/>
    </row>
    <row r="58" spans="1:8" s="203" customFormat="1" ht="15" customHeight="1" x14ac:dyDescent="0.2">
      <c r="C58" s="490" t="s">
        <v>314</v>
      </c>
      <c r="D58" s="497"/>
      <c r="E58" s="497"/>
      <c r="G58" s="491">
        <v>2375180</v>
      </c>
      <c r="H58" s="498"/>
    </row>
    <row r="59" spans="1:8" ht="15" customHeight="1" x14ac:dyDescent="0.2">
      <c r="C59" s="492" t="s">
        <v>417</v>
      </c>
      <c r="D59" s="489"/>
      <c r="E59" s="489"/>
      <c r="G59" s="493">
        <v>2375180</v>
      </c>
      <c r="H59" s="480"/>
    </row>
    <row r="61" spans="1:8" ht="31.5" customHeight="1" x14ac:dyDescent="0.2">
      <c r="A61" s="488" t="s">
        <v>681</v>
      </c>
      <c r="B61" s="489"/>
      <c r="C61" s="489"/>
      <c r="D61" s="489"/>
      <c r="E61" s="489"/>
      <c r="F61" s="489"/>
      <c r="G61" s="489"/>
      <c r="H61" s="489"/>
    </row>
    <row r="62" spans="1:8" s="203" customFormat="1" ht="15" customHeight="1" x14ac:dyDescent="0.2">
      <c r="C62" s="490" t="s">
        <v>314</v>
      </c>
      <c r="D62" s="497"/>
      <c r="E62" s="497"/>
      <c r="G62" s="491">
        <v>10000</v>
      </c>
      <c r="H62" s="498"/>
    </row>
    <row r="63" spans="1:8" ht="15" customHeight="1" x14ac:dyDescent="0.2">
      <c r="C63" s="492" t="s">
        <v>419</v>
      </c>
      <c r="D63" s="489"/>
      <c r="E63" s="489"/>
      <c r="G63" s="493">
        <v>4080</v>
      </c>
      <c r="H63" s="480"/>
    </row>
    <row r="64" spans="1:8" ht="15" customHeight="1" x14ac:dyDescent="0.2">
      <c r="C64" s="492" t="s">
        <v>417</v>
      </c>
      <c r="D64" s="489"/>
      <c r="E64" s="489"/>
      <c r="G64" s="493">
        <v>5920</v>
      </c>
      <c r="H64" s="480"/>
    </row>
    <row r="66" spans="1:8" ht="31.5" customHeight="1" x14ac:dyDescent="0.2">
      <c r="A66" s="488" t="s">
        <v>682</v>
      </c>
      <c r="B66" s="489"/>
      <c r="C66" s="489"/>
      <c r="D66" s="489"/>
      <c r="E66" s="489"/>
      <c r="F66" s="489"/>
      <c r="G66" s="489"/>
      <c r="H66" s="489"/>
    </row>
    <row r="67" spans="1:8" s="203" customFormat="1" ht="15" customHeight="1" x14ac:dyDescent="0.2">
      <c r="C67" s="490" t="s">
        <v>314</v>
      </c>
      <c r="D67" s="497"/>
      <c r="E67" s="497"/>
      <c r="G67" s="491">
        <v>1828829</v>
      </c>
      <c r="H67" s="498"/>
    </row>
    <row r="68" spans="1:8" ht="15" customHeight="1" x14ac:dyDescent="0.2">
      <c r="C68" s="492" t="s">
        <v>419</v>
      </c>
      <c r="D68" s="489"/>
      <c r="E68" s="489"/>
      <c r="G68" s="493">
        <v>38630</v>
      </c>
      <c r="H68" s="480"/>
    </row>
    <row r="69" spans="1:8" ht="15" customHeight="1" x14ac:dyDescent="0.2">
      <c r="C69" s="492" t="s">
        <v>418</v>
      </c>
      <c r="D69" s="489"/>
      <c r="E69" s="489"/>
      <c r="G69" s="493">
        <v>18960</v>
      </c>
      <c r="H69" s="480"/>
    </row>
    <row r="70" spans="1:8" ht="15" customHeight="1" x14ac:dyDescent="0.2">
      <c r="C70" s="492" t="s">
        <v>417</v>
      </c>
      <c r="D70" s="489"/>
      <c r="E70" s="489"/>
      <c r="G70" s="493">
        <v>1039871</v>
      </c>
      <c r="H70" s="480"/>
    </row>
    <row r="71" spans="1:8" ht="30" customHeight="1" x14ac:dyDescent="0.2">
      <c r="C71" s="492" t="s">
        <v>415</v>
      </c>
      <c r="D71" s="489"/>
      <c r="E71" s="489"/>
      <c r="G71" s="493">
        <v>731368</v>
      </c>
      <c r="H71" s="480"/>
    </row>
    <row r="73" spans="1:8" ht="15.75" customHeight="1" x14ac:dyDescent="0.2">
      <c r="A73" s="488" t="s">
        <v>321</v>
      </c>
      <c r="B73" s="489"/>
      <c r="C73" s="489"/>
      <c r="D73" s="489"/>
      <c r="E73" s="489"/>
      <c r="F73" s="489"/>
      <c r="G73" s="489"/>
      <c r="H73" s="489"/>
    </row>
    <row r="74" spans="1:8" s="203" customFormat="1" ht="15" customHeight="1" x14ac:dyDescent="0.2">
      <c r="C74" s="490" t="s">
        <v>314</v>
      </c>
      <c r="D74" s="497"/>
      <c r="E74" s="497"/>
      <c r="G74" s="491">
        <v>69900</v>
      </c>
      <c r="H74" s="498"/>
    </row>
    <row r="75" spans="1:8" ht="15" customHeight="1" x14ac:dyDescent="0.2">
      <c r="C75" s="492" t="s">
        <v>419</v>
      </c>
      <c r="D75" s="489"/>
      <c r="E75" s="489"/>
      <c r="G75" s="493">
        <v>69900</v>
      </c>
      <c r="H75" s="480"/>
    </row>
    <row r="77" spans="1:8" ht="31.5" customHeight="1" x14ac:dyDescent="0.2">
      <c r="A77" s="488" t="s">
        <v>683</v>
      </c>
      <c r="B77" s="489"/>
      <c r="C77" s="489"/>
      <c r="D77" s="489"/>
      <c r="E77" s="489"/>
      <c r="F77" s="489"/>
      <c r="G77" s="489"/>
      <c r="H77" s="489"/>
    </row>
    <row r="78" spans="1:8" s="203" customFormat="1" ht="15" customHeight="1" x14ac:dyDescent="0.2">
      <c r="C78" s="490" t="s">
        <v>314</v>
      </c>
      <c r="D78" s="497"/>
      <c r="E78" s="497"/>
      <c r="G78" s="491">
        <v>2335848</v>
      </c>
      <c r="H78" s="498"/>
    </row>
    <row r="79" spans="1:8" ht="15" customHeight="1" x14ac:dyDescent="0.2">
      <c r="C79" s="492" t="s">
        <v>419</v>
      </c>
      <c r="D79" s="489"/>
      <c r="E79" s="489"/>
      <c r="G79" s="493">
        <v>605</v>
      </c>
      <c r="H79" s="480"/>
    </row>
    <row r="80" spans="1:8" ht="15" customHeight="1" x14ac:dyDescent="0.2">
      <c r="C80" s="492" t="s">
        <v>417</v>
      </c>
      <c r="D80" s="489"/>
      <c r="E80" s="489"/>
      <c r="G80" s="493">
        <v>2335243</v>
      </c>
      <c r="H80" s="480"/>
    </row>
    <row r="82" spans="1:8" ht="31.5" customHeight="1" x14ac:dyDescent="0.2">
      <c r="A82" s="488" t="s">
        <v>684</v>
      </c>
      <c r="B82" s="489"/>
      <c r="C82" s="489"/>
      <c r="D82" s="489"/>
      <c r="E82" s="489"/>
      <c r="F82" s="489"/>
      <c r="G82" s="489"/>
      <c r="H82" s="489"/>
    </row>
    <row r="83" spans="1:8" s="203" customFormat="1" ht="15" customHeight="1" x14ac:dyDescent="0.2">
      <c r="C83" s="490" t="s">
        <v>314</v>
      </c>
      <c r="D83" s="497"/>
      <c r="E83" s="497"/>
      <c r="G83" s="491">
        <v>324359</v>
      </c>
      <c r="H83" s="498"/>
    </row>
    <row r="84" spans="1:8" ht="30" customHeight="1" x14ac:dyDescent="0.2">
      <c r="C84" s="492" t="s">
        <v>415</v>
      </c>
      <c r="D84" s="489"/>
      <c r="E84" s="489"/>
      <c r="G84" s="493">
        <v>324359</v>
      </c>
      <c r="H84" s="480"/>
    </row>
    <row r="86" spans="1:8" ht="15.75" customHeight="1" x14ac:dyDescent="0.2">
      <c r="A86" s="488" t="s">
        <v>325</v>
      </c>
      <c r="B86" s="489"/>
      <c r="C86" s="489"/>
      <c r="D86" s="489"/>
      <c r="E86" s="489"/>
      <c r="F86" s="489"/>
      <c r="G86" s="489"/>
      <c r="H86" s="489"/>
    </row>
    <row r="87" spans="1:8" s="203" customFormat="1" ht="15" customHeight="1" x14ac:dyDescent="0.2">
      <c r="C87" s="490" t="s">
        <v>314</v>
      </c>
      <c r="D87" s="497"/>
      <c r="E87" s="497"/>
      <c r="G87" s="491">
        <v>703281</v>
      </c>
      <c r="H87" s="498"/>
    </row>
    <row r="88" spans="1:8" ht="15" customHeight="1" x14ac:dyDescent="0.2">
      <c r="C88" s="492" t="s">
        <v>419</v>
      </c>
      <c r="D88" s="489"/>
      <c r="E88" s="489"/>
      <c r="G88" s="493">
        <v>19000</v>
      </c>
      <c r="H88" s="480"/>
    </row>
    <row r="89" spans="1:8" ht="15" customHeight="1" x14ac:dyDescent="0.2">
      <c r="C89" s="492" t="s">
        <v>417</v>
      </c>
      <c r="D89" s="489"/>
      <c r="E89" s="489"/>
      <c r="G89" s="493">
        <v>684281</v>
      </c>
      <c r="H89" s="480"/>
    </row>
    <row r="91" spans="1:8" ht="15.75" customHeight="1" x14ac:dyDescent="0.2">
      <c r="A91" s="488" t="s">
        <v>327</v>
      </c>
      <c r="B91" s="489"/>
      <c r="C91" s="489"/>
      <c r="D91" s="489"/>
      <c r="E91" s="489"/>
      <c r="F91" s="489"/>
      <c r="G91" s="489"/>
      <c r="H91" s="489"/>
    </row>
    <row r="92" spans="1:8" s="203" customFormat="1" ht="15" customHeight="1" x14ac:dyDescent="0.2">
      <c r="C92" s="490" t="s">
        <v>314</v>
      </c>
      <c r="D92" s="497"/>
      <c r="E92" s="497"/>
      <c r="G92" s="491">
        <v>318200</v>
      </c>
      <c r="H92" s="498"/>
    </row>
    <row r="93" spans="1:8" ht="15" customHeight="1" x14ac:dyDescent="0.2">
      <c r="C93" s="492" t="s">
        <v>419</v>
      </c>
      <c r="D93" s="489"/>
      <c r="E93" s="489"/>
      <c r="G93" s="493">
        <v>191200</v>
      </c>
      <c r="H93" s="480"/>
    </row>
    <row r="94" spans="1:8" ht="15" customHeight="1" x14ac:dyDescent="0.2">
      <c r="C94" s="492" t="s">
        <v>418</v>
      </c>
      <c r="D94" s="489"/>
      <c r="E94" s="489"/>
      <c r="G94" s="493">
        <v>25000</v>
      </c>
      <c r="H94" s="480"/>
    </row>
    <row r="95" spans="1:8" ht="15" customHeight="1" x14ac:dyDescent="0.2">
      <c r="C95" s="492" t="s">
        <v>417</v>
      </c>
      <c r="D95" s="489"/>
      <c r="E95" s="489"/>
      <c r="G95" s="493">
        <v>102000</v>
      </c>
      <c r="H95" s="480"/>
    </row>
    <row r="97" spans="1:8" ht="31.5" customHeight="1" x14ac:dyDescent="0.2">
      <c r="A97" s="488" t="s">
        <v>328</v>
      </c>
      <c r="B97" s="489"/>
      <c r="C97" s="489"/>
      <c r="D97" s="489"/>
      <c r="E97" s="489"/>
      <c r="F97" s="489"/>
      <c r="G97" s="489"/>
      <c r="H97" s="489"/>
    </row>
    <row r="98" spans="1:8" s="203" customFormat="1" ht="15" customHeight="1" x14ac:dyDescent="0.2">
      <c r="C98" s="490" t="s">
        <v>314</v>
      </c>
      <c r="D98" s="497"/>
      <c r="E98" s="497"/>
      <c r="G98" s="491">
        <v>9500</v>
      </c>
      <c r="H98" s="498"/>
    </row>
    <row r="99" spans="1:8" ht="15" customHeight="1" x14ac:dyDescent="0.2">
      <c r="C99" s="492" t="s">
        <v>420</v>
      </c>
      <c r="D99" s="489"/>
      <c r="E99" s="489"/>
      <c r="G99" s="493">
        <v>3500</v>
      </c>
      <c r="H99" s="480"/>
    </row>
    <row r="100" spans="1:8" ht="15" customHeight="1" x14ac:dyDescent="0.2">
      <c r="C100" s="492" t="s">
        <v>419</v>
      </c>
      <c r="D100" s="489"/>
      <c r="E100" s="489"/>
      <c r="G100" s="493">
        <v>6000</v>
      </c>
      <c r="H100" s="480"/>
    </row>
    <row r="102" spans="1:8" ht="31.5" customHeight="1" x14ac:dyDescent="0.2">
      <c r="A102" s="488" t="s">
        <v>449</v>
      </c>
      <c r="B102" s="489"/>
      <c r="C102" s="489"/>
      <c r="D102" s="489"/>
      <c r="E102" s="489"/>
      <c r="F102" s="489"/>
      <c r="G102" s="489"/>
      <c r="H102" s="489"/>
    </row>
    <row r="103" spans="1:8" s="203" customFormat="1" ht="15" customHeight="1" x14ac:dyDescent="0.2">
      <c r="C103" s="490" t="s">
        <v>314</v>
      </c>
      <c r="D103" s="497"/>
      <c r="E103" s="497"/>
      <c r="G103" s="491">
        <v>15000</v>
      </c>
      <c r="H103" s="498"/>
    </row>
    <row r="104" spans="1:8" ht="15" customHeight="1" x14ac:dyDescent="0.2">
      <c r="C104" s="492" t="s">
        <v>418</v>
      </c>
      <c r="D104" s="489"/>
      <c r="E104" s="489"/>
      <c r="G104" s="493">
        <v>15000</v>
      </c>
      <c r="H104" s="480"/>
    </row>
    <row r="106" spans="1:8" ht="31.5" customHeight="1" x14ac:dyDescent="0.2">
      <c r="A106" s="488" t="s">
        <v>685</v>
      </c>
      <c r="B106" s="489"/>
      <c r="C106" s="489"/>
      <c r="D106" s="489"/>
      <c r="E106" s="489"/>
      <c r="F106" s="489"/>
      <c r="G106" s="489"/>
      <c r="H106" s="489"/>
    </row>
    <row r="107" spans="1:8" s="203" customFormat="1" ht="15" customHeight="1" x14ac:dyDescent="0.2">
      <c r="C107" s="490" t="s">
        <v>314</v>
      </c>
      <c r="D107" s="497"/>
      <c r="E107" s="497"/>
      <c r="G107" s="491">
        <v>9474</v>
      </c>
      <c r="H107" s="498"/>
    </row>
    <row r="108" spans="1:8" ht="15" customHeight="1" x14ac:dyDescent="0.2">
      <c r="C108" s="492" t="s">
        <v>420</v>
      </c>
      <c r="D108" s="489"/>
      <c r="E108" s="489"/>
      <c r="G108" s="493">
        <v>3611</v>
      </c>
      <c r="H108" s="480"/>
    </row>
    <row r="109" spans="1:8" ht="15" customHeight="1" x14ac:dyDescent="0.2">
      <c r="C109" s="492" t="s">
        <v>419</v>
      </c>
      <c r="D109" s="489"/>
      <c r="E109" s="489"/>
      <c r="G109" s="493">
        <v>3031</v>
      </c>
      <c r="H109" s="480"/>
    </row>
    <row r="110" spans="1:8" ht="15" customHeight="1" x14ac:dyDescent="0.2">
      <c r="C110" s="492" t="s">
        <v>418</v>
      </c>
      <c r="D110" s="489"/>
      <c r="E110" s="489"/>
      <c r="G110" s="493">
        <v>2832</v>
      </c>
      <c r="H110" s="480"/>
    </row>
    <row r="112" spans="1:8" ht="31.5" customHeight="1" x14ac:dyDescent="0.2">
      <c r="A112" s="488" t="s">
        <v>686</v>
      </c>
      <c r="B112" s="489"/>
      <c r="C112" s="489"/>
      <c r="D112" s="489"/>
      <c r="E112" s="489"/>
      <c r="F112" s="489"/>
      <c r="G112" s="489"/>
      <c r="H112" s="489"/>
    </row>
    <row r="113" spans="1:8" s="203" customFormat="1" ht="15" customHeight="1" x14ac:dyDescent="0.2">
      <c r="C113" s="490" t="s">
        <v>314</v>
      </c>
      <c r="D113" s="497"/>
      <c r="E113" s="497"/>
      <c r="G113" s="491">
        <v>93990</v>
      </c>
      <c r="H113" s="498"/>
    </row>
    <row r="114" spans="1:8" ht="15" customHeight="1" x14ac:dyDescent="0.2">
      <c r="C114" s="492" t="s">
        <v>420</v>
      </c>
      <c r="D114" s="489"/>
      <c r="E114" s="489"/>
      <c r="G114" s="493">
        <v>4109</v>
      </c>
      <c r="H114" s="480"/>
    </row>
    <row r="115" spans="1:8" ht="15" customHeight="1" x14ac:dyDescent="0.2">
      <c r="C115" s="492" t="s">
        <v>419</v>
      </c>
      <c r="D115" s="489"/>
      <c r="E115" s="489"/>
      <c r="G115" s="493">
        <v>89881</v>
      </c>
      <c r="H115" s="480"/>
    </row>
    <row r="117" spans="1:8" ht="15.75" customHeight="1" x14ac:dyDescent="0.2">
      <c r="A117" s="488" t="s">
        <v>338</v>
      </c>
      <c r="B117" s="489"/>
      <c r="C117" s="489"/>
      <c r="D117" s="489"/>
      <c r="E117" s="489"/>
      <c r="F117" s="489"/>
      <c r="G117" s="489"/>
      <c r="H117" s="489"/>
    </row>
    <row r="118" spans="1:8" s="203" customFormat="1" ht="15" customHeight="1" x14ac:dyDescent="0.2">
      <c r="C118" s="490" t="s">
        <v>314</v>
      </c>
      <c r="D118" s="497"/>
      <c r="E118" s="497"/>
      <c r="G118" s="491">
        <v>690515</v>
      </c>
      <c r="H118" s="498"/>
    </row>
    <row r="119" spans="1:8" ht="15" customHeight="1" x14ac:dyDescent="0.2">
      <c r="C119" s="492" t="s">
        <v>420</v>
      </c>
      <c r="D119" s="489"/>
      <c r="E119" s="489"/>
      <c r="G119" s="493">
        <v>55724</v>
      </c>
      <c r="H119" s="480"/>
    </row>
    <row r="120" spans="1:8" ht="15" customHeight="1" x14ac:dyDescent="0.2">
      <c r="C120" s="492" t="s">
        <v>419</v>
      </c>
      <c r="D120" s="489"/>
      <c r="E120" s="489"/>
      <c r="G120" s="493">
        <v>599491</v>
      </c>
      <c r="H120" s="480"/>
    </row>
    <row r="121" spans="1:8" ht="15" customHeight="1" x14ac:dyDescent="0.2">
      <c r="C121" s="492" t="s">
        <v>418</v>
      </c>
      <c r="D121" s="489"/>
      <c r="E121" s="489"/>
      <c r="G121" s="493">
        <v>2500</v>
      </c>
      <c r="H121" s="480"/>
    </row>
    <row r="122" spans="1:8" ht="15" customHeight="1" x14ac:dyDescent="0.2">
      <c r="C122" s="492" t="s">
        <v>417</v>
      </c>
      <c r="D122" s="489"/>
      <c r="E122" s="489"/>
      <c r="G122" s="493">
        <v>32800</v>
      </c>
      <c r="H122" s="480"/>
    </row>
    <row r="124" spans="1:8" ht="31.5" customHeight="1" x14ac:dyDescent="0.2">
      <c r="A124" s="488" t="s">
        <v>806</v>
      </c>
      <c r="B124" s="489"/>
      <c r="C124" s="489"/>
      <c r="D124" s="489"/>
      <c r="E124" s="489"/>
      <c r="F124" s="489"/>
      <c r="G124" s="489"/>
      <c r="H124" s="489"/>
    </row>
    <row r="125" spans="1:8" s="203" customFormat="1" ht="15" customHeight="1" x14ac:dyDescent="0.2">
      <c r="C125" s="490" t="s">
        <v>314</v>
      </c>
      <c r="D125" s="497"/>
      <c r="E125" s="497"/>
      <c r="G125" s="491">
        <v>1500000</v>
      </c>
      <c r="H125" s="498"/>
    </row>
    <row r="126" spans="1:8" ht="15" customHeight="1" x14ac:dyDescent="0.2">
      <c r="C126" s="492" t="s">
        <v>417</v>
      </c>
      <c r="D126" s="489"/>
      <c r="E126" s="489"/>
      <c r="G126" s="493">
        <v>1500000</v>
      </c>
      <c r="H126" s="480"/>
    </row>
    <row r="128" spans="1:8" ht="31.5" customHeight="1" x14ac:dyDescent="0.2">
      <c r="A128" s="488" t="s">
        <v>687</v>
      </c>
      <c r="B128" s="489"/>
      <c r="C128" s="489"/>
      <c r="D128" s="489"/>
      <c r="E128" s="489"/>
      <c r="F128" s="489"/>
      <c r="G128" s="489"/>
      <c r="H128" s="489"/>
    </row>
    <row r="129" spans="1:8" s="203" customFormat="1" ht="15" customHeight="1" x14ac:dyDescent="0.2">
      <c r="C129" s="490" t="s">
        <v>314</v>
      </c>
      <c r="D129" s="497"/>
      <c r="E129" s="497"/>
      <c r="G129" s="491">
        <v>61250</v>
      </c>
      <c r="H129" s="498"/>
    </row>
    <row r="130" spans="1:8" ht="15" customHeight="1" x14ac:dyDescent="0.2">
      <c r="C130" s="492" t="s">
        <v>417</v>
      </c>
      <c r="D130" s="489"/>
      <c r="E130" s="489"/>
      <c r="G130" s="493">
        <v>61250</v>
      </c>
      <c r="H130" s="480"/>
    </row>
    <row r="132" spans="1:8" ht="47.25" customHeight="1" x14ac:dyDescent="0.2">
      <c r="A132" s="488" t="s">
        <v>688</v>
      </c>
      <c r="B132" s="489"/>
      <c r="C132" s="489"/>
      <c r="D132" s="489"/>
      <c r="E132" s="489"/>
      <c r="F132" s="489"/>
      <c r="G132" s="489"/>
      <c r="H132" s="489"/>
    </row>
    <row r="133" spans="1:8" s="203" customFormat="1" ht="15" customHeight="1" x14ac:dyDescent="0.2">
      <c r="C133" s="490" t="s">
        <v>314</v>
      </c>
      <c r="D133" s="497"/>
      <c r="E133" s="497"/>
      <c r="G133" s="491">
        <v>264736</v>
      </c>
      <c r="H133" s="498"/>
    </row>
    <row r="134" spans="1:8" ht="15" customHeight="1" x14ac:dyDescent="0.2">
      <c r="C134" s="492" t="s">
        <v>419</v>
      </c>
      <c r="D134" s="489"/>
      <c r="E134" s="489"/>
      <c r="G134" s="493">
        <v>7418</v>
      </c>
      <c r="H134" s="480"/>
    </row>
    <row r="135" spans="1:8" ht="30" customHeight="1" x14ac:dyDescent="0.2">
      <c r="C135" s="492" t="s">
        <v>415</v>
      </c>
      <c r="D135" s="489"/>
      <c r="E135" s="489"/>
      <c r="G135" s="493">
        <v>257318</v>
      </c>
      <c r="H135" s="480"/>
    </row>
    <row r="137" spans="1:8" ht="31.5" customHeight="1" x14ac:dyDescent="0.2">
      <c r="A137" s="488" t="s">
        <v>807</v>
      </c>
      <c r="B137" s="489"/>
      <c r="C137" s="489"/>
      <c r="D137" s="489"/>
      <c r="E137" s="489"/>
      <c r="F137" s="489"/>
      <c r="G137" s="489"/>
      <c r="H137" s="489"/>
    </row>
    <row r="138" spans="1:8" s="203" customFormat="1" ht="15" customHeight="1" x14ac:dyDescent="0.2">
      <c r="C138" s="490" t="s">
        <v>314</v>
      </c>
      <c r="D138" s="497"/>
      <c r="E138" s="497"/>
      <c r="G138" s="491">
        <v>129425</v>
      </c>
      <c r="H138" s="498"/>
    </row>
    <row r="139" spans="1:8" ht="15" customHeight="1" x14ac:dyDescent="0.2">
      <c r="C139" s="492" t="s">
        <v>417</v>
      </c>
      <c r="D139" s="489"/>
      <c r="E139" s="489"/>
      <c r="G139" s="493">
        <v>129425</v>
      </c>
      <c r="H139" s="480"/>
    </row>
    <row r="141" spans="1:8" ht="31.5" customHeight="1" x14ac:dyDescent="0.2">
      <c r="A141" s="488" t="s">
        <v>689</v>
      </c>
      <c r="B141" s="489"/>
      <c r="C141" s="489"/>
      <c r="D141" s="489"/>
      <c r="E141" s="489"/>
      <c r="F141" s="489"/>
      <c r="G141" s="489"/>
      <c r="H141" s="489"/>
    </row>
    <row r="142" spans="1:8" s="203" customFormat="1" ht="15" customHeight="1" x14ac:dyDescent="0.2">
      <c r="C142" s="490" t="s">
        <v>314</v>
      </c>
      <c r="D142" s="497"/>
      <c r="E142" s="497"/>
      <c r="G142" s="491">
        <v>640551</v>
      </c>
      <c r="H142" s="498"/>
    </row>
    <row r="143" spans="1:8" ht="15" customHeight="1" x14ac:dyDescent="0.2">
      <c r="C143" s="492" t="s">
        <v>419</v>
      </c>
      <c r="D143" s="489"/>
      <c r="E143" s="489"/>
      <c r="G143" s="493">
        <v>132380</v>
      </c>
      <c r="H143" s="480"/>
    </row>
    <row r="144" spans="1:8" ht="15" customHeight="1" x14ac:dyDescent="0.2">
      <c r="C144" s="492" t="s">
        <v>417</v>
      </c>
      <c r="D144" s="489"/>
      <c r="E144" s="489"/>
      <c r="G144" s="493">
        <v>508171</v>
      </c>
      <c r="H144" s="480"/>
    </row>
    <row r="146" spans="1:8" ht="31.5" customHeight="1" x14ac:dyDescent="0.2">
      <c r="A146" s="488" t="s">
        <v>690</v>
      </c>
      <c r="B146" s="489"/>
      <c r="C146" s="489"/>
      <c r="D146" s="489"/>
      <c r="E146" s="489"/>
      <c r="F146" s="489"/>
      <c r="G146" s="489"/>
      <c r="H146" s="489"/>
    </row>
    <row r="147" spans="1:8" s="203" customFormat="1" ht="15" customHeight="1" x14ac:dyDescent="0.2">
      <c r="C147" s="490" t="s">
        <v>314</v>
      </c>
      <c r="D147" s="497"/>
      <c r="E147" s="497"/>
      <c r="G147" s="491">
        <v>802205</v>
      </c>
      <c r="H147" s="498"/>
    </row>
    <row r="148" spans="1:8" ht="15" customHeight="1" x14ac:dyDescent="0.2">
      <c r="C148" s="492" t="s">
        <v>417</v>
      </c>
      <c r="D148" s="489"/>
      <c r="E148" s="489"/>
      <c r="G148" s="493">
        <v>802205</v>
      </c>
      <c r="H148" s="480"/>
    </row>
    <row r="150" spans="1:8" ht="31.5" customHeight="1" x14ac:dyDescent="0.2">
      <c r="A150" s="488" t="s">
        <v>691</v>
      </c>
      <c r="B150" s="489"/>
      <c r="C150" s="489"/>
      <c r="D150" s="489"/>
      <c r="E150" s="489"/>
      <c r="F150" s="489"/>
      <c r="G150" s="489"/>
      <c r="H150" s="489"/>
    </row>
    <row r="151" spans="1:8" s="203" customFormat="1" ht="15" customHeight="1" x14ac:dyDescent="0.2">
      <c r="C151" s="490" t="s">
        <v>314</v>
      </c>
      <c r="D151" s="497"/>
      <c r="E151" s="497"/>
      <c r="G151" s="491">
        <v>217444</v>
      </c>
      <c r="H151" s="498"/>
    </row>
    <row r="152" spans="1:8" ht="15" customHeight="1" x14ac:dyDescent="0.2">
      <c r="C152" s="492" t="s">
        <v>417</v>
      </c>
      <c r="D152" s="489"/>
      <c r="E152" s="489"/>
      <c r="G152" s="493">
        <v>217444</v>
      </c>
      <c r="H152" s="480"/>
    </row>
    <row r="154" spans="1:8" ht="15.75" customHeight="1" x14ac:dyDescent="0.2">
      <c r="A154" s="488" t="s">
        <v>692</v>
      </c>
      <c r="B154" s="489"/>
      <c r="C154" s="489"/>
      <c r="D154" s="489"/>
      <c r="E154" s="489"/>
      <c r="F154" s="489"/>
      <c r="G154" s="489"/>
      <c r="H154" s="489"/>
    </row>
    <row r="155" spans="1:8" s="203" customFormat="1" ht="15" customHeight="1" x14ac:dyDescent="0.2">
      <c r="C155" s="490" t="s">
        <v>314</v>
      </c>
      <c r="D155" s="497"/>
      <c r="E155" s="497"/>
      <c r="G155" s="491">
        <v>76468</v>
      </c>
      <c r="H155" s="498"/>
    </row>
    <row r="156" spans="1:8" ht="15" customHeight="1" x14ac:dyDescent="0.2">
      <c r="C156" s="492" t="s">
        <v>420</v>
      </c>
      <c r="D156" s="489"/>
      <c r="E156" s="489"/>
      <c r="G156" s="493">
        <v>45807</v>
      </c>
      <c r="H156" s="480"/>
    </row>
    <row r="157" spans="1:8" ht="15" customHeight="1" x14ac:dyDescent="0.2">
      <c r="C157" s="492" t="s">
        <v>419</v>
      </c>
      <c r="D157" s="489"/>
      <c r="E157" s="489"/>
      <c r="G157" s="493">
        <v>30661</v>
      </c>
      <c r="H157" s="480"/>
    </row>
    <row r="159" spans="1:8" ht="15.75" customHeight="1" x14ac:dyDescent="0.2">
      <c r="A159" s="488" t="s">
        <v>808</v>
      </c>
      <c r="B159" s="489"/>
      <c r="C159" s="489"/>
      <c r="D159" s="489"/>
      <c r="E159" s="489"/>
      <c r="F159" s="489"/>
      <c r="G159" s="489"/>
      <c r="H159" s="489"/>
    </row>
    <row r="160" spans="1:8" s="203" customFormat="1" ht="15" customHeight="1" x14ac:dyDescent="0.2">
      <c r="C160" s="490" t="s">
        <v>314</v>
      </c>
      <c r="D160" s="497"/>
      <c r="E160" s="497"/>
      <c r="G160" s="491">
        <v>1475</v>
      </c>
      <c r="H160" s="498"/>
    </row>
    <row r="161" spans="1:8" ht="15" customHeight="1" x14ac:dyDescent="0.2">
      <c r="C161" s="492" t="s">
        <v>420</v>
      </c>
      <c r="D161" s="489"/>
      <c r="E161" s="489"/>
      <c r="G161" s="493">
        <v>698</v>
      </c>
      <c r="H161" s="480"/>
    </row>
    <row r="162" spans="1:8" ht="15" customHeight="1" x14ac:dyDescent="0.2">
      <c r="C162" s="492" t="s">
        <v>419</v>
      </c>
      <c r="D162" s="489"/>
      <c r="E162" s="489"/>
      <c r="G162" s="493">
        <v>777</v>
      </c>
      <c r="H162" s="480"/>
    </row>
    <row r="164" spans="1:8" ht="15.75" customHeight="1" x14ac:dyDescent="0.2">
      <c r="A164" s="488" t="s">
        <v>693</v>
      </c>
      <c r="B164" s="489"/>
      <c r="C164" s="489"/>
      <c r="D164" s="489"/>
      <c r="E164" s="489"/>
      <c r="F164" s="489"/>
      <c r="G164" s="489"/>
      <c r="H164" s="489"/>
    </row>
    <row r="165" spans="1:8" s="203" customFormat="1" ht="15" customHeight="1" x14ac:dyDescent="0.2">
      <c r="C165" s="490" t="s">
        <v>314</v>
      </c>
      <c r="D165" s="497"/>
      <c r="E165" s="497"/>
      <c r="G165" s="491">
        <v>163074</v>
      </c>
      <c r="H165" s="498"/>
    </row>
    <row r="166" spans="1:8" ht="15" customHeight="1" x14ac:dyDescent="0.2">
      <c r="C166" s="492" t="s">
        <v>420</v>
      </c>
      <c r="D166" s="489"/>
      <c r="E166" s="489"/>
      <c r="G166" s="493">
        <v>59699</v>
      </c>
      <c r="H166" s="480"/>
    </row>
    <row r="167" spans="1:8" ht="15" customHeight="1" x14ac:dyDescent="0.2">
      <c r="C167" s="492" t="s">
        <v>419</v>
      </c>
      <c r="D167" s="489"/>
      <c r="E167" s="489"/>
      <c r="G167" s="493">
        <v>98375</v>
      </c>
      <c r="H167" s="480"/>
    </row>
    <row r="168" spans="1:8" ht="30" customHeight="1" x14ac:dyDescent="0.2">
      <c r="C168" s="492" t="s">
        <v>415</v>
      </c>
      <c r="D168" s="489"/>
      <c r="E168" s="489"/>
      <c r="G168" s="493">
        <v>5000</v>
      </c>
      <c r="H168" s="480"/>
    </row>
    <row r="170" spans="1:8" ht="15.75" customHeight="1" x14ac:dyDescent="0.2">
      <c r="A170" s="488" t="s">
        <v>694</v>
      </c>
      <c r="B170" s="489"/>
      <c r="C170" s="489"/>
      <c r="D170" s="489"/>
      <c r="E170" s="489"/>
      <c r="F170" s="489"/>
      <c r="G170" s="489"/>
      <c r="H170" s="489"/>
    </row>
    <row r="171" spans="1:8" s="203" customFormat="1" ht="15" customHeight="1" x14ac:dyDescent="0.2">
      <c r="C171" s="490" t="s">
        <v>314</v>
      </c>
      <c r="D171" s="497"/>
      <c r="E171" s="497"/>
      <c r="G171" s="491">
        <v>2599692</v>
      </c>
      <c r="H171" s="498"/>
    </row>
    <row r="172" spans="1:8" ht="15" customHeight="1" x14ac:dyDescent="0.2">
      <c r="C172" s="492" t="s">
        <v>417</v>
      </c>
      <c r="D172" s="489"/>
      <c r="E172" s="489"/>
      <c r="G172" s="493">
        <v>2599692</v>
      </c>
      <c r="H172" s="480"/>
    </row>
    <row r="174" spans="1:8" ht="15.75" customHeight="1" x14ac:dyDescent="0.2">
      <c r="A174" s="486" t="s">
        <v>448</v>
      </c>
      <c r="B174" s="501"/>
      <c r="C174" s="501"/>
      <c r="D174" s="501"/>
      <c r="E174" s="501"/>
      <c r="F174" s="501"/>
      <c r="G174" s="501"/>
      <c r="H174" s="501"/>
    </row>
    <row r="175" spans="1:8" ht="15" customHeight="1" x14ac:dyDescent="0.2">
      <c r="A175" s="401"/>
      <c r="B175" s="401"/>
      <c r="C175" s="494" t="s">
        <v>314</v>
      </c>
      <c r="D175" s="499"/>
      <c r="E175" s="499"/>
      <c r="F175" s="402"/>
      <c r="G175" s="495">
        <v>4428237</v>
      </c>
      <c r="H175" s="500"/>
    </row>
    <row r="176" spans="1:8" ht="15" customHeight="1" x14ac:dyDescent="0.2">
      <c r="A176" s="401"/>
      <c r="B176" s="401"/>
      <c r="C176" s="494" t="s">
        <v>419</v>
      </c>
      <c r="D176" s="499"/>
      <c r="E176" s="499"/>
      <c r="F176" s="402"/>
      <c r="G176" s="495">
        <v>865522</v>
      </c>
      <c r="H176" s="500"/>
    </row>
    <row r="177" spans="1:8" ht="15" customHeight="1" x14ac:dyDescent="0.2">
      <c r="A177" s="401"/>
      <c r="B177" s="401"/>
      <c r="C177" s="494" t="s">
        <v>418</v>
      </c>
      <c r="D177" s="499"/>
      <c r="E177" s="499"/>
      <c r="F177" s="402"/>
      <c r="G177" s="495">
        <v>3508615</v>
      </c>
      <c r="H177" s="500"/>
    </row>
    <row r="178" spans="1:8" ht="15" customHeight="1" x14ac:dyDescent="0.2">
      <c r="A178" s="401"/>
      <c r="B178" s="401"/>
      <c r="C178" s="494" t="s">
        <v>809</v>
      </c>
      <c r="D178" s="499"/>
      <c r="E178" s="499"/>
      <c r="F178" s="402"/>
      <c r="G178" s="495">
        <v>50600</v>
      </c>
      <c r="H178" s="500"/>
    </row>
    <row r="179" spans="1:8" ht="30" customHeight="1" x14ac:dyDescent="0.2">
      <c r="A179" s="401"/>
      <c r="B179" s="401"/>
      <c r="C179" s="494" t="s">
        <v>415</v>
      </c>
      <c r="D179" s="499"/>
      <c r="E179" s="499"/>
      <c r="F179" s="402"/>
      <c r="G179" s="495">
        <v>3500</v>
      </c>
      <c r="H179" s="500"/>
    </row>
    <row r="181" spans="1:8" ht="15.75" customHeight="1" x14ac:dyDescent="0.2">
      <c r="A181" s="488" t="s">
        <v>447</v>
      </c>
      <c r="B181" s="489"/>
      <c r="C181" s="489"/>
      <c r="D181" s="489"/>
      <c r="E181" s="489"/>
      <c r="F181" s="489"/>
      <c r="G181" s="489"/>
      <c r="H181" s="489"/>
    </row>
    <row r="182" spans="1:8" s="203" customFormat="1" ht="15" customHeight="1" x14ac:dyDescent="0.2">
      <c r="C182" s="490" t="s">
        <v>314</v>
      </c>
      <c r="D182" s="497"/>
      <c r="E182" s="497"/>
      <c r="G182" s="491">
        <v>45250</v>
      </c>
      <c r="H182" s="498"/>
    </row>
    <row r="183" spans="1:8" ht="15" customHeight="1" x14ac:dyDescent="0.2">
      <c r="C183" s="492" t="s">
        <v>419</v>
      </c>
      <c r="D183" s="489"/>
      <c r="E183" s="489"/>
      <c r="G183" s="493">
        <v>45250</v>
      </c>
      <c r="H183" s="480"/>
    </row>
    <row r="185" spans="1:8" ht="15.75" customHeight="1" x14ac:dyDescent="0.2">
      <c r="A185" s="488" t="s">
        <v>820</v>
      </c>
      <c r="B185" s="489"/>
      <c r="C185" s="489"/>
      <c r="D185" s="489"/>
      <c r="E185" s="489"/>
      <c r="F185" s="489"/>
      <c r="G185" s="489"/>
      <c r="H185" s="489"/>
    </row>
    <row r="186" spans="1:8" s="203" customFormat="1" ht="15" customHeight="1" x14ac:dyDescent="0.2">
      <c r="C186" s="490" t="s">
        <v>314</v>
      </c>
      <c r="D186" s="497"/>
      <c r="E186" s="497"/>
      <c r="G186" s="491">
        <v>270000</v>
      </c>
      <c r="H186" s="498"/>
    </row>
    <row r="187" spans="1:8" ht="15" customHeight="1" x14ac:dyDescent="0.2">
      <c r="C187" s="492" t="s">
        <v>419</v>
      </c>
      <c r="D187" s="489"/>
      <c r="E187" s="489"/>
      <c r="G187" s="493">
        <v>219400</v>
      </c>
      <c r="H187" s="480"/>
    </row>
    <row r="188" spans="1:8" ht="15" customHeight="1" x14ac:dyDescent="0.2">
      <c r="C188" s="492" t="s">
        <v>809</v>
      </c>
      <c r="D188" s="489"/>
      <c r="E188" s="489"/>
      <c r="G188" s="493">
        <v>50600</v>
      </c>
      <c r="H188" s="480"/>
    </row>
    <row r="190" spans="1:8" ht="15.75" customHeight="1" x14ac:dyDescent="0.2">
      <c r="A190" s="488" t="s">
        <v>319</v>
      </c>
      <c r="B190" s="489"/>
      <c r="C190" s="489"/>
      <c r="D190" s="489"/>
      <c r="E190" s="489"/>
      <c r="F190" s="489"/>
      <c r="G190" s="489"/>
      <c r="H190" s="489"/>
    </row>
    <row r="191" spans="1:8" s="203" customFormat="1" ht="15" customHeight="1" x14ac:dyDescent="0.2">
      <c r="C191" s="490" t="s">
        <v>314</v>
      </c>
      <c r="D191" s="497"/>
      <c r="E191" s="497"/>
      <c r="G191" s="491">
        <v>500000</v>
      </c>
      <c r="H191" s="498"/>
    </row>
    <row r="192" spans="1:8" ht="15" customHeight="1" x14ac:dyDescent="0.2">
      <c r="C192" s="492" t="s">
        <v>419</v>
      </c>
      <c r="D192" s="489"/>
      <c r="E192" s="489"/>
      <c r="G192" s="493">
        <v>500000</v>
      </c>
      <c r="H192" s="480"/>
    </row>
    <row r="194" spans="1:8" ht="15.75" customHeight="1" x14ac:dyDescent="0.2">
      <c r="A194" s="488" t="s">
        <v>446</v>
      </c>
      <c r="B194" s="489"/>
      <c r="C194" s="489"/>
      <c r="D194" s="489"/>
      <c r="E194" s="489"/>
      <c r="F194" s="489"/>
      <c r="G194" s="489"/>
      <c r="H194" s="489"/>
    </row>
    <row r="195" spans="1:8" s="203" customFormat="1" ht="15" customHeight="1" x14ac:dyDescent="0.2">
      <c r="C195" s="490" t="s">
        <v>314</v>
      </c>
      <c r="D195" s="497"/>
      <c r="E195" s="497"/>
      <c r="G195" s="491">
        <v>2515164</v>
      </c>
      <c r="H195" s="498"/>
    </row>
    <row r="196" spans="1:8" ht="15" customHeight="1" x14ac:dyDescent="0.2">
      <c r="C196" s="492" t="s">
        <v>418</v>
      </c>
      <c r="D196" s="489"/>
      <c r="E196" s="489"/>
      <c r="G196" s="493">
        <v>2515164</v>
      </c>
      <c r="H196" s="480"/>
    </row>
    <row r="198" spans="1:8" ht="15.75" customHeight="1" x14ac:dyDescent="0.2">
      <c r="A198" s="488" t="s">
        <v>322</v>
      </c>
      <c r="B198" s="489"/>
      <c r="C198" s="489"/>
      <c r="D198" s="489"/>
      <c r="E198" s="489"/>
      <c r="F198" s="489"/>
      <c r="G198" s="489"/>
      <c r="H198" s="489"/>
    </row>
    <row r="199" spans="1:8" s="203" customFormat="1" ht="15" customHeight="1" x14ac:dyDescent="0.2">
      <c r="C199" s="490" t="s">
        <v>314</v>
      </c>
      <c r="D199" s="497"/>
      <c r="E199" s="497"/>
      <c r="G199" s="491">
        <v>3500</v>
      </c>
      <c r="H199" s="498"/>
    </row>
    <row r="200" spans="1:8" ht="30" customHeight="1" x14ac:dyDescent="0.2">
      <c r="C200" s="492" t="s">
        <v>415</v>
      </c>
      <c r="D200" s="489"/>
      <c r="E200" s="489"/>
      <c r="G200" s="493">
        <v>3500</v>
      </c>
      <c r="H200" s="480"/>
    </row>
    <row r="202" spans="1:8" ht="15.75" customHeight="1" x14ac:dyDescent="0.2">
      <c r="A202" s="488" t="s">
        <v>445</v>
      </c>
      <c r="B202" s="489"/>
      <c r="C202" s="489"/>
      <c r="D202" s="489"/>
      <c r="E202" s="489"/>
      <c r="F202" s="489"/>
      <c r="G202" s="489"/>
      <c r="H202" s="489"/>
    </row>
    <row r="203" spans="1:8" s="203" customFormat="1" ht="15" customHeight="1" x14ac:dyDescent="0.2">
      <c r="C203" s="490" t="s">
        <v>314</v>
      </c>
      <c r="D203" s="497"/>
      <c r="E203" s="497"/>
      <c r="G203" s="491">
        <v>535784</v>
      </c>
      <c r="H203" s="498"/>
    </row>
    <row r="204" spans="1:8" ht="15" customHeight="1" x14ac:dyDescent="0.2">
      <c r="C204" s="492" t="s">
        <v>418</v>
      </c>
      <c r="D204" s="489"/>
      <c r="E204" s="489"/>
      <c r="G204" s="493">
        <v>535784</v>
      </c>
      <c r="H204" s="480"/>
    </row>
    <row r="206" spans="1:8" ht="15.75" customHeight="1" x14ac:dyDescent="0.2">
      <c r="A206" s="488" t="s">
        <v>821</v>
      </c>
      <c r="B206" s="489"/>
      <c r="C206" s="489"/>
      <c r="D206" s="489"/>
      <c r="E206" s="489"/>
      <c r="F206" s="489"/>
      <c r="G206" s="489"/>
      <c r="H206" s="489"/>
    </row>
    <row r="207" spans="1:8" s="203" customFormat="1" ht="15" customHeight="1" x14ac:dyDescent="0.2">
      <c r="C207" s="490" t="s">
        <v>314</v>
      </c>
      <c r="D207" s="497"/>
      <c r="E207" s="497"/>
      <c r="G207" s="491">
        <v>56829</v>
      </c>
      <c r="H207" s="498"/>
    </row>
    <row r="208" spans="1:8" ht="15" customHeight="1" x14ac:dyDescent="0.2">
      <c r="C208" s="492" t="s">
        <v>419</v>
      </c>
      <c r="D208" s="489"/>
      <c r="E208" s="489"/>
      <c r="G208" s="493">
        <v>20</v>
      </c>
      <c r="H208" s="480"/>
    </row>
    <row r="209" spans="1:8" ht="15" customHeight="1" x14ac:dyDescent="0.2">
      <c r="C209" s="492" t="s">
        <v>418</v>
      </c>
      <c r="D209" s="489"/>
      <c r="E209" s="489"/>
      <c r="G209" s="493">
        <v>56809</v>
      </c>
      <c r="H209" s="480"/>
    </row>
    <row r="211" spans="1:8" ht="31.5" customHeight="1" x14ac:dyDescent="0.2">
      <c r="A211" s="488" t="s">
        <v>444</v>
      </c>
      <c r="B211" s="489"/>
      <c r="C211" s="489"/>
      <c r="D211" s="489"/>
      <c r="E211" s="489"/>
      <c r="F211" s="489"/>
      <c r="G211" s="489"/>
      <c r="H211" s="489"/>
    </row>
    <row r="212" spans="1:8" s="203" customFormat="1" ht="15" customHeight="1" x14ac:dyDescent="0.2">
      <c r="C212" s="490" t="s">
        <v>314</v>
      </c>
      <c r="D212" s="497"/>
      <c r="E212" s="497"/>
      <c r="G212" s="491">
        <v>222958</v>
      </c>
      <c r="H212" s="498"/>
    </row>
    <row r="213" spans="1:8" ht="15" customHeight="1" x14ac:dyDescent="0.2">
      <c r="C213" s="492" t="s">
        <v>418</v>
      </c>
      <c r="D213" s="489"/>
      <c r="E213" s="489"/>
      <c r="G213" s="493">
        <v>222958</v>
      </c>
      <c r="H213" s="480"/>
    </row>
    <row r="215" spans="1:8" ht="15.75" customHeight="1" x14ac:dyDescent="0.2">
      <c r="A215" s="488" t="s">
        <v>695</v>
      </c>
      <c r="B215" s="489"/>
      <c r="C215" s="489"/>
      <c r="D215" s="489"/>
      <c r="E215" s="489"/>
      <c r="F215" s="489"/>
      <c r="G215" s="489"/>
      <c r="H215" s="489"/>
    </row>
    <row r="216" spans="1:8" s="203" customFormat="1" ht="15" customHeight="1" x14ac:dyDescent="0.2">
      <c r="C216" s="490" t="s">
        <v>314</v>
      </c>
      <c r="D216" s="497"/>
      <c r="E216" s="497"/>
      <c r="G216" s="491">
        <v>10000</v>
      </c>
      <c r="H216" s="498"/>
    </row>
    <row r="217" spans="1:8" ht="15" customHeight="1" x14ac:dyDescent="0.2">
      <c r="C217" s="492" t="s">
        <v>418</v>
      </c>
      <c r="D217" s="489"/>
      <c r="E217" s="489"/>
      <c r="G217" s="493">
        <v>10000</v>
      </c>
      <c r="H217" s="480"/>
    </row>
    <row r="219" spans="1:8" ht="15.75" customHeight="1" x14ac:dyDescent="0.2">
      <c r="A219" s="488" t="s">
        <v>696</v>
      </c>
      <c r="B219" s="489"/>
      <c r="C219" s="489"/>
      <c r="D219" s="489"/>
      <c r="E219" s="489"/>
      <c r="F219" s="489"/>
      <c r="G219" s="489"/>
      <c r="H219" s="489"/>
    </row>
    <row r="220" spans="1:8" s="203" customFormat="1" ht="15" customHeight="1" x14ac:dyDescent="0.2">
      <c r="C220" s="490" t="s">
        <v>314</v>
      </c>
      <c r="D220" s="497"/>
      <c r="E220" s="497"/>
      <c r="G220" s="491">
        <v>5000</v>
      </c>
      <c r="H220" s="498"/>
    </row>
    <row r="221" spans="1:8" ht="15" customHeight="1" x14ac:dyDescent="0.2">
      <c r="C221" s="492" t="s">
        <v>418</v>
      </c>
      <c r="D221" s="489"/>
      <c r="E221" s="489"/>
      <c r="G221" s="493">
        <v>5000</v>
      </c>
      <c r="H221" s="480"/>
    </row>
    <row r="223" spans="1:8" ht="15.75" customHeight="1" x14ac:dyDescent="0.2">
      <c r="A223" s="488" t="s">
        <v>339</v>
      </c>
      <c r="B223" s="489"/>
      <c r="C223" s="489"/>
      <c r="D223" s="489"/>
      <c r="E223" s="489"/>
      <c r="F223" s="489"/>
      <c r="G223" s="489"/>
      <c r="H223" s="489"/>
    </row>
    <row r="224" spans="1:8" s="203" customFormat="1" ht="15" customHeight="1" x14ac:dyDescent="0.2">
      <c r="C224" s="490" t="s">
        <v>314</v>
      </c>
      <c r="D224" s="497"/>
      <c r="E224" s="497"/>
      <c r="G224" s="491">
        <v>150000</v>
      </c>
      <c r="H224" s="498"/>
    </row>
    <row r="225" spans="1:8" ht="15" customHeight="1" x14ac:dyDescent="0.2">
      <c r="C225" s="492" t="s">
        <v>418</v>
      </c>
      <c r="D225" s="489"/>
      <c r="E225" s="489"/>
      <c r="G225" s="493">
        <v>150000</v>
      </c>
      <c r="H225" s="480"/>
    </row>
    <row r="227" spans="1:8" ht="15.75" customHeight="1" x14ac:dyDescent="0.2">
      <c r="A227" s="488" t="s">
        <v>697</v>
      </c>
      <c r="B227" s="489"/>
      <c r="C227" s="489"/>
      <c r="D227" s="489"/>
      <c r="E227" s="489"/>
      <c r="F227" s="489"/>
      <c r="G227" s="489"/>
      <c r="H227" s="489"/>
    </row>
    <row r="228" spans="1:8" s="203" customFormat="1" ht="15" customHeight="1" x14ac:dyDescent="0.2">
      <c r="C228" s="490" t="s">
        <v>314</v>
      </c>
      <c r="D228" s="497"/>
      <c r="E228" s="497"/>
      <c r="G228" s="491">
        <v>4300</v>
      </c>
      <c r="H228" s="498"/>
    </row>
    <row r="229" spans="1:8" ht="15" customHeight="1" x14ac:dyDescent="0.2">
      <c r="C229" s="492" t="s">
        <v>418</v>
      </c>
      <c r="D229" s="489"/>
      <c r="E229" s="489"/>
      <c r="G229" s="493">
        <v>4300</v>
      </c>
      <c r="H229" s="480"/>
    </row>
    <row r="231" spans="1:8" ht="15.75" customHeight="1" x14ac:dyDescent="0.2">
      <c r="A231" s="488" t="s">
        <v>698</v>
      </c>
      <c r="B231" s="489"/>
      <c r="C231" s="489"/>
      <c r="D231" s="489"/>
      <c r="E231" s="489"/>
      <c r="F231" s="489"/>
      <c r="G231" s="489"/>
      <c r="H231" s="489"/>
    </row>
    <row r="232" spans="1:8" s="203" customFormat="1" ht="15" customHeight="1" x14ac:dyDescent="0.2">
      <c r="C232" s="490" t="s">
        <v>314</v>
      </c>
      <c r="D232" s="497"/>
      <c r="E232" s="497"/>
      <c r="G232" s="491">
        <v>100852</v>
      </c>
      <c r="H232" s="498"/>
    </row>
    <row r="233" spans="1:8" ht="15" customHeight="1" x14ac:dyDescent="0.2">
      <c r="C233" s="492" t="s">
        <v>419</v>
      </c>
      <c r="D233" s="489"/>
      <c r="E233" s="489"/>
      <c r="G233" s="493">
        <v>100852</v>
      </c>
      <c r="H233" s="480"/>
    </row>
    <row r="235" spans="1:8" ht="15.75" customHeight="1" x14ac:dyDescent="0.2">
      <c r="A235" s="488" t="s">
        <v>699</v>
      </c>
      <c r="B235" s="489"/>
      <c r="C235" s="489"/>
      <c r="D235" s="489"/>
      <c r="E235" s="489"/>
      <c r="F235" s="489"/>
      <c r="G235" s="489"/>
      <c r="H235" s="489"/>
    </row>
    <row r="236" spans="1:8" s="203" customFormat="1" ht="15" customHeight="1" x14ac:dyDescent="0.2">
      <c r="C236" s="490" t="s">
        <v>314</v>
      </c>
      <c r="D236" s="497"/>
      <c r="E236" s="497"/>
      <c r="G236" s="491">
        <v>6000</v>
      </c>
      <c r="H236" s="498"/>
    </row>
    <row r="237" spans="1:8" ht="15" customHeight="1" x14ac:dyDescent="0.2">
      <c r="C237" s="492" t="s">
        <v>418</v>
      </c>
      <c r="D237" s="489"/>
      <c r="E237" s="489"/>
      <c r="G237" s="493">
        <v>6000</v>
      </c>
      <c r="H237" s="480"/>
    </row>
    <row r="239" spans="1:8" ht="15.75" customHeight="1" x14ac:dyDescent="0.2">
      <c r="A239" s="488" t="s">
        <v>700</v>
      </c>
      <c r="B239" s="489"/>
      <c r="C239" s="489"/>
      <c r="D239" s="489"/>
      <c r="E239" s="489"/>
      <c r="F239" s="489"/>
      <c r="G239" s="489"/>
      <c r="H239" s="489"/>
    </row>
    <row r="240" spans="1:8" s="203" customFormat="1" ht="15" customHeight="1" x14ac:dyDescent="0.2">
      <c r="C240" s="490" t="s">
        <v>314</v>
      </c>
      <c r="D240" s="497"/>
      <c r="E240" s="497"/>
      <c r="G240" s="491">
        <v>2600</v>
      </c>
      <c r="H240" s="498"/>
    </row>
    <row r="241" spans="1:8" ht="15" customHeight="1" x14ac:dyDescent="0.2">
      <c r="C241" s="492" t="s">
        <v>418</v>
      </c>
      <c r="D241" s="489"/>
      <c r="E241" s="489"/>
      <c r="G241" s="493">
        <v>2600</v>
      </c>
      <c r="H241" s="480"/>
    </row>
    <row r="243" spans="1:8" ht="31.5" customHeight="1" x14ac:dyDescent="0.2">
      <c r="A243" s="486" t="s">
        <v>701</v>
      </c>
      <c r="B243" s="499"/>
      <c r="C243" s="499"/>
      <c r="D243" s="499"/>
      <c r="E243" s="499"/>
      <c r="F243" s="499"/>
      <c r="G243" s="499"/>
      <c r="H243" s="499"/>
    </row>
    <row r="244" spans="1:8" ht="15" customHeight="1" x14ac:dyDescent="0.2">
      <c r="A244" s="402"/>
      <c r="B244" s="402"/>
      <c r="C244" s="494" t="s">
        <v>314</v>
      </c>
      <c r="D244" s="499"/>
      <c r="E244" s="499"/>
      <c r="F244" s="402"/>
      <c r="G244" s="495">
        <v>293041</v>
      </c>
      <c r="H244" s="500"/>
    </row>
    <row r="245" spans="1:8" ht="15" customHeight="1" x14ac:dyDescent="0.2">
      <c r="A245" s="402"/>
      <c r="B245" s="402"/>
      <c r="C245" s="494" t="s">
        <v>420</v>
      </c>
      <c r="D245" s="499"/>
      <c r="E245" s="499"/>
      <c r="F245" s="402"/>
      <c r="G245" s="495">
        <v>274470</v>
      </c>
      <c r="H245" s="500"/>
    </row>
    <row r="246" spans="1:8" ht="15" customHeight="1" x14ac:dyDescent="0.2">
      <c r="A246" s="402"/>
      <c r="B246" s="402"/>
      <c r="C246" s="494" t="s">
        <v>419</v>
      </c>
      <c r="D246" s="499"/>
      <c r="E246" s="499"/>
      <c r="F246" s="402"/>
      <c r="G246" s="495">
        <v>14571</v>
      </c>
      <c r="H246" s="500"/>
    </row>
    <row r="247" spans="1:8" ht="15" customHeight="1" x14ac:dyDescent="0.2">
      <c r="A247" s="402"/>
      <c r="B247" s="402"/>
      <c r="C247" s="494" t="s">
        <v>417</v>
      </c>
      <c r="D247" s="499"/>
      <c r="E247" s="499"/>
      <c r="F247" s="402"/>
      <c r="G247" s="495">
        <v>4000</v>
      </c>
      <c r="H247" s="500"/>
    </row>
    <row r="249" spans="1:8" ht="15.75" customHeight="1" x14ac:dyDescent="0.2">
      <c r="A249" s="488" t="s">
        <v>443</v>
      </c>
      <c r="B249" s="489"/>
      <c r="C249" s="489"/>
      <c r="D249" s="489"/>
      <c r="E249" s="489"/>
      <c r="F249" s="489"/>
      <c r="G249" s="489"/>
      <c r="H249" s="489"/>
    </row>
    <row r="250" spans="1:8" s="203" customFormat="1" ht="15" customHeight="1" x14ac:dyDescent="0.2">
      <c r="C250" s="490" t="s">
        <v>314</v>
      </c>
      <c r="D250" s="497"/>
      <c r="E250" s="497"/>
      <c r="G250" s="491">
        <v>293041</v>
      </c>
      <c r="H250" s="498"/>
    </row>
    <row r="251" spans="1:8" ht="15" customHeight="1" x14ac:dyDescent="0.2">
      <c r="C251" s="492" t="s">
        <v>420</v>
      </c>
      <c r="D251" s="489"/>
      <c r="E251" s="489"/>
      <c r="G251" s="493">
        <v>274470</v>
      </c>
      <c r="H251" s="480"/>
    </row>
    <row r="252" spans="1:8" ht="15" customHeight="1" x14ac:dyDescent="0.2">
      <c r="C252" s="492" t="s">
        <v>419</v>
      </c>
      <c r="D252" s="489"/>
      <c r="E252" s="489"/>
      <c r="G252" s="493">
        <v>14571</v>
      </c>
      <c r="H252" s="480"/>
    </row>
    <row r="253" spans="1:8" ht="15" customHeight="1" x14ac:dyDescent="0.2">
      <c r="C253" s="492" t="s">
        <v>417</v>
      </c>
      <c r="D253" s="489"/>
      <c r="E253" s="489"/>
      <c r="G253" s="493">
        <v>4000</v>
      </c>
      <c r="H253" s="480"/>
    </row>
    <row r="255" spans="1:8" ht="31.5" customHeight="1" x14ac:dyDescent="0.2">
      <c r="A255" s="486" t="s">
        <v>702</v>
      </c>
      <c r="B255" s="499"/>
      <c r="C255" s="499"/>
      <c r="D255" s="499"/>
      <c r="E255" s="499"/>
      <c r="F255" s="499"/>
      <c r="G255" s="499"/>
      <c r="H255" s="499"/>
    </row>
    <row r="256" spans="1:8" s="203" customFormat="1" ht="15" customHeight="1" x14ac:dyDescent="0.2">
      <c r="A256" s="402"/>
      <c r="B256" s="402"/>
      <c r="C256" s="494" t="s">
        <v>314</v>
      </c>
      <c r="D256" s="499"/>
      <c r="E256" s="499"/>
      <c r="F256" s="402"/>
      <c r="G256" s="495">
        <v>3093463</v>
      </c>
      <c r="H256" s="500"/>
    </row>
    <row r="257" spans="1:8" ht="15" customHeight="1" x14ac:dyDescent="0.2">
      <c r="A257" s="402"/>
      <c r="B257" s="402"/>
      <c r="C257" s="494" t="s">
        <v>420</v>
      </c>
      <c r="D257" s="499"/>
      <c r="E257" s="499"/>
      <c r="F257" s="402"/>
      <c r="G257" s="495">
        <v>2752780</v>
      </c>
      <c r="H257" s="500"/>
    </row>
    <row r="258" spans="1:8" ht="15" customHeight="1" x14ac:dyDescent="0.2">
      <c r="A258" s="402"/>
      <c r="B258" s="402"/>
      <c r="C258" s="494" t="s">
        <v>419</v>
      </c>
      <c r="D258" s="499"/>
      <c r="E258" s="499"/>
      <c r="F258" s="402"/>
      <c r="G258" s="495">
        <v>287683</v>
      </c>
      <c r="H258" s="500"/>
    </row>
    <row r="259" spans="1:8" ht="15" customHeight="1" x14ac:dyDescent="0.2">
      <c r="A259" s="402"/>
      <c r="B259" s="402"/>
      <c r="C259" s="494" t="s">
        <v>417</v>
      </c>
      <c r="D259" s="499"/>
      <c r="E259" s="499"/>
      <c r="F259" s="402"/>
      <c r="G259" s="495">
        <v>53000</v>
      </c>
      <c r="H259" s="500"/>
    </row>
    <row r="261" spans="1:8" ht="15.75" customHeight="1" x14ac:dyDescent="0.2">
      <c r="A261" s="488" t="s">
        <v>442</v>
      </c>
      <c r="B261" s="489"/>
      <c r="C261" s="489"/>
      <c r="D261" s="489"/>
      <c r="E261" s="489"/>
      <c r="F261" s="489"/>
      <c r="G261" s="489"/>
      <c r="H261" s="489"/>
    </row>
    <row r="262" spans="1:8" s="203" customFormat="1" ht="15" customHeight="1" x14ac:dyDescent="0.2">
      <c r="C262" s="490" t="s">
        <v>314</v>
      </c>
      <c r="D262" s="497"/>
      <c r="E262" s="497"/>
      <c r="G262" s="491">
        <v>3093463</v>
      </c>
      <c r="H262" s="498"/>
    </row>
    <row r="263" spans="1:8" ht="15" customHeight="1" x14ac:dyDescent="0.2">
      <c r="C263" s="492" t="s">
        <v>420</v>
      </c>
      <c r="D263" s="489"/>
      <c r="E263" s="489"/>
      <c r="G263" s="493">
        <v>2752780</v>
      </c>
      <c r="H263" s="480"/>
    </row>
    <row r="264" spans="1:8" ht="15" customHeight="1" x14ac:dyDescent="0.2">
      <c r="C264" s="492" t="s">
        <v>419</v>
      </c>
      <c r="D264" s="489"/>
      <c r="E264" s="489"/>
      <c r="G264" s="493">
        <v>287683</v>
      </c>
      <c r="H264" s="480"/>
    </row>
    <row r="265" spans="1:8" ht="15" customHeight="1" x14ac:dyDescent="0.2">
      <c r="C265" s="492" t="s">
        <v>417</v>
      </c>
      <c r="D265" s="489"/>
      <c r="E265" s="489"/>
      <c r="G265" s="493">
        <v>53000</v>
      </c>
      <c r="H265" s="480"/>
    </row>
    <row r="267" spans="1:8" ht="31.5" customHeight="1" x14ac:dyDescent="0.2">
      <c r="A267" s="486" t="s">
        <v>703</v>
      </c>
      <c r="B267" s="499"/>
      <c r="C267" s="499"/>
      <c r="D267" s="499"/>
      <c r="E267" s="499"/>
      <c r="F267" s="499"/>
      <c r="G267" s="499"/>
      <c r="H267" s="499"/>
    </row>
    <row r="268" spans="1:8" ht="15" customHeight="1" x14ac:dyDescent="0.2">
      <c r="A268" s="402"/>
      <c r="B268" s="402"/>
      <c r="C268" s="494" t="s">
        <v>314</v>
      </c>
      <c r="D268" s="499"/>
      <c r="E268" s="499"/>
      <c r="F268" s="402"/>
      <c r="G268" s="495">
        <v>429341</v>
      </c>
      <c r="H268" s="500"/>
    </row>
    <row r="269" spans="1:8" ht="15" customHeight="1" x14ac:dyDescent="0.2">
      <c r="A269" s="402"/>
      <c r="B269" s="402"/>
      <c r="C269" s="494" t="s">
        <v>420</v>
      </c>
      <c r="D269" s="499"/>
      <c r="E269" s="499"/>
      <c r="F269" s="402"/>
      <c r="G269" s="495">
        <v>279099</v>
      </c>
      <c r="H269" s="500"/>
    </row>
    <row r="270" spans="1:8" ht="15" customHeight="1" x14ac:dyDescent="0.2">
      <c r="A270" s="402"/>
      <c r="B270" s="402"/>
      <c r="C270" s="494" t="s">
        <v>419</v>
      </c>
      <c r="D270" s="499"/>
      <c r="E270" s="499"/>
      <c r="F270" s="402"/>
      <c r="G270" s="495">
        <v>138142</v>
      </c>
      <c r="H270" s="500"/>
    </row>
    <row r="271" spans="1:8" ht="15" customHeight="1" x14ac:dyDescent="0.2">
      <c r="A271" s="402"/>
      <c r="B271" s="402"/>
      <c r="C271" s="494" t="s">
        <v>417</v>
      </c>
      <c r="D271" s="499"/>
      <c r="E271" s="499"/>
      <c r="F271" s="402"/>
      <c r="G271" s="495">
        <v>12100</v>
      </c>
      <c r="H271" s="500"/>
    </row>
    <row r="272" spans="1:8" ht="8.25" customHeight="1" x14ac:dyDescent="0.2"/>
    <row r="273" spans="1:8" ht="15.75" customHeight="1" x14ac:dyDescent="0.2">
      <c r="A273" s="488" t="s">
        <v>704</v>
      </c>
      <c r="B273" s="489"/>
      <c r="C273" s="489"/>
      <c r="D273" s="489"/>
      <c r="E273" s="489"/>
      <c r="F273" s="489"/>
      <c r="G273" s="489"/>
      <c r="H273" s="489"/>
    </row>
    <row r="274" spans="1:8" s="203" customFormat="1" ht="15" customHeight="1" x14ac:dyDescent="0.2">
      <c r="C274" s="490" t="s">
        <v>314</v>
      </c>
      <c r="D274" s="497"/>
      <c r="E274" s="497"/>
      <c r="G274" s="491">
        <v>426760</v>
      </c>
      <c r="H274" s="498"/>
    </row>
    <row r="275" spans="1:8" ht="15" customHeight="1" x14ac:dyDescent="0.2">
      <c r="C275" s="492" t="s">
        <v>420</v>
      </c>
      <c r="D275" s="489"/>
      <c r="E275" s="489"/>
      <c r="G275" s="493">
        <v>278921</v>
      </c>
      <c r="H275" s="480"/>
    </row>
    <row r="276" spans="1:8" ht="15" customHeight="1" x14ac:dyDescent="0.2">
      <c r="C276" s="492" t="s">
        <v>419</v>
      </c>
      <c r="D276" s="489"/>
      <c r="E276" s="489"/>
      <c r="G276" s="493">
        <v>135739</v>
      </c>
      <c r="H276" s="480"/>
    </row>
    <row r="277" spans="1:8" ht="15" customHeight="1" x14ac:dyDescent="0.2">
      <c r="C277" s="492" t="s">
        <v>417</v>
      </c>
      <c r="D277" s="489"/>
      <c r="E277" s="489"/>
      <c r="G277" s="493">
        <v>12100</v>
      </c>
      <c r="H277" s="480"/>
    </row>
    <row r="278" spans="1:8" ht="9.75" customHeight="1" x14ac:dyDescent="0.2"/>
    <row r="279" spans="1:8" ht="31.5" customHeight="1" x14ac:dyDescent="0.2">
      <c r="A279" s="488" t="s">
        <v>705</v>
      </c>
      <c r="B279" s="489"/>
      <c r="C279" s="489"/>
      <c r="D279" s="489"/>
      <c r="E279" s="489"/>
      <c r="F279" s="489"/>
      <c r="G279" s="489"/>
      <c r="H279" s="489"/>
    </row>
    <row r="280" spans="1:8" s="203" customFormat="1" ht="15" customHeight="1" x14ac:dyDescent="0.2">
      <c r="C280" s="490" t="s">
        <v>314</v>
      </c>
      <c r="D280" s="497"/>
      <c r="E280" s="497"/>
      <c r="G280" s="491">
        <v>2581</v>
      </c>
      <c r="H280" s="498"/>
    </row>
    <row r="281" spans="1:8" ht="15" customHeight="1" x14ac:dyDescent="0.2">
      <c r="C281" s="492" t="s">
        <v>420</v>
      </c>
      <c r="D281" s="489"/>
      <c r="E281" s="489"/>
      <c r="G281" s="493">
        <v>178</v>
      </c>
      <c r="H281" s="480"/>
    </row>
    <row r="282" spans="1:8" ht="15" customHeight="1" x14ac:dyDescent="0.2">
      <c r="C282" s="492" t="s">
        <v>419</v>
      </c>
      <c r="D282" s="489"/>
      <c r="E282" s="489"/>
      <c r="G282" s="493">
        <v>2403</v>
      </c>
      <c r="H282" s="480"/>
    </row>
    <row r="283" spans="1:8" ht="11.25" customHeight="1" x14ac:dyDescent="0.2"/>
    <row r="284" spans="1:8" ht="31.5" customHeight="1" x14ac:dyDescent="0.2">
      <c r="A284" s="486" t="s">
        <v>706</v>
      </c>
      <c r="B284" s="499"/>
      <c r="C284" s="499"/>
      <c r="D284" s="499"/>
      <c r="E284" s="499"/>
      <c r="F284" s="499"/>
      <c r="G284" s="499"/>
      <c r="H284" s="499"/>
    </row>
    <row r="285" spans="1:8" ht="15" customHeight="1" x14ac:dyDescent="0.2">
      <c r="A285" s="402"/>
      <c r="B285" s="402"/>
      <c r="C285" s="494" t="s">
        <v>314</v>
      </c>
      <c r="D285" s="499"/>
      <c r="E285" s="499"/>
      <c r="F285" s="402"/>
      <c r="G285" s="495">
        <v>444409</v>
      </c>
      <c r="H285" s="500"/>
    </row>
    <row r="286" spans="1:8" ht="15" customHeight="1" x14ac:dyDescent="0.2">
      <c r="A286" s="402"/>
      <c r="B286" s="402"/>
      <c r="C286" s="494" t="s">
        <v>420</v>
      </c>
      <c r="D286" s="499"/>
      <c r="E286" s="499"/>
      <c r="F286" s="402"/>
      <c r="G286" s="495">
        <v>274163</v>
      </c>
      <c r="H286" s="500"/>
    </row>
    <row r="287" spans="1:8" ht="15" customHeight="1" x14ac:dyDescent="0.2">
      <c r="A287" s="402"/>
      <c r="B287" s="402"/>
      <c r="C287" s="494" t="s">
        <v>419</v>
      </c>
      <c r="D287" s="499"/>
      <c r="E287" s="499"/>
      <c r="F287" s="402"/>
      <c r="G287" s="495">
        <v>163246</v>
      </c>
      <c r="H287" s="500"/>
    </row>
    <row r="288" spans="1:8" ht="15" customHeight="1" x14ac:dyDescent="0.2">
      <c r="A288" s="402"/>
      <c r="B288" s="402"/>
      <c r="C288" s="494" t="s">
        <v>417</v>
      </c>
      <c r="D288" s="499"/>
      <c r="E288" s="499"/>
      <c r="F288" s="402"/>
      <c r="G288" s="495">
        <v>7000</v>
      </c>
      <c r="H288" s="500"/>
    </row>
    <row r="289" spans="1:8" ht="9" customHeight="1" x14ac:dyDescent="0.2"/>
    <row r="290" spans="1:8" ht="15.75" customHeight="1" x14ac:dyDescent="0.2">
      <c r="A290" s="488" t="s">
        <v>441</v>
      </c>
      <c r="B290" s="489"/>
      <c r="C290" s="489"/>
      <c r="D290" s="489"/>
      <c r="E290" s="489"/>
      <c r="F290" s="489"/>
      <c r="G290" s="489"/>
      <c r="H290" s="489"/>
    </row>
    <row r="291" spans="1:8" s="203" customFormat="1" ht="15" customHeight="1" x14ac:dyDescent="0.2">
      <c r="C291" s="490" t="s">
        <v>314</v>
      </c>
      <c r="D291" s="497"/>
      <c r="E291" s="497"/>
      <c r="G291" s="491">
        <v>444409</v>
      </c>
      <c r="H291" s="498"/>
    </row>
    <row r="292" spans="1:8" ht="15" customHeight="1" x14ac:dyDescent="0.2">
      <c r="C292" s="492" t="s">
        <v>420</v>
      </c>
      <c r="D292" s="489"/>
      <c r="E292" s="489"/>
      <c r="G292" s="493">
        <v>274163</v>
      </c>
      <c r="H292" s="480"/>
    </row>
    <row r="293" spans="1:8" ht="15" customHeight="1" x14ac:dyDescent="0.2">
      <c r="C293" s="492" t="s">
        <v>419</v>
      </c>
      <c r="D293" s="489"/>
      <c r="E293" s="489"/>
      <c r="G293" s="493">
        <v>163246</v>
      </c>
      <c r="H293" s="480"/>
    </row>
    <row r="294" spans="1:8" ht="15" customHeight="1" x14ac:dyDescent="0.2">
      <c r="C294" s="492" t="s">
        <v>417</v>
      </c>
      <c r="D294" s="489"/>
      <c r="E294" s="489"/>
      <c r="G294" s="493">
        <v>7000</v>
      </c>
      <c r="H294" s="480"/>
    </row>
    <row r="295" spans="1:8" ht="10.5" customHeight="1" x14ac:dyDescent="0.2"/>
    <row r="296" spans="1:8" ht="15.75" customHeight="1" x14ac:dyDescent="0.2">
      <c r="A296" s="486" t="s">
        <v>707</v>
      </c>
      <c r="B296" s="499"/>
      <c r="C296" s="499"/>
      <c r="D296" s="499"/>
      <c r="E296" s="499"/>
      <c r="F296" s="499"/>
      <c r="G296" s="499"/>
      <c r="H296" s="499"/>
    </row>
    <row r="297" spans="1:8" ht="15" customHeight="1" x14ac:dyDescent="0.2">
      <c r="A297" s="402"/>
      <c r="B297" s="402"/>
      <c r="C297" s="494" t="s">
        <v>314</v>
      </c>
      <c r="D297" s="499"/>
      <c r="E297" s="499"/>
      <c r="F297" s="402"/>
      <c r="G297" s="495">
        <v>10420365</v>
      </c>
      <c r="H297" s="500"/>
    </row>
    <row r="298" spans="1:8" ht="15" customHeight="1" x14ac:dyDescent="0.2">
      <c r="A298" s="402"/>
      <c r="B298" s="402"/>
      <c r="C298" s="494" t="s">
        <v>420</v>
      </c>
      <c r="D298" s="499"/>
      <c r="E298" s="499"/>
      <c r="F298" s="402"/>
      <c r="G298" s="495">
        <v>887903</v>
      </c>
      <c r="H298" s="500"/>
    </row>
    <row r="299" spans="1:8" ht="15" customHeight="1" x14ac:dyDescent="0.2">
      <c r="A299" s="402"/>
      <c r="B299" s="402"/>
      <c r="C299" s="494" t="s">
        <v>419</v>
      </c>
      <c r="D299" s="499"/>
      <c r="E299" s="499"/>
      <c r="F299" s="402"/>
      <c r="G299" s="495">
        <v>4742755</v>
      </c>
      <c r="H299" s="500"/>
    </row>
    <row r="300" spans="1:8" ht="15" customHeight="1" x14ac:dyDescent="0.2">
      <c r="A300" s="402"/>
      <c r="B300" s="402"/>
      <c r="C300" s="494" t="s">
        <v>418</v>
      </c>
      <c r="D300" s="499"/>
      <c r="E300" s="499"/>
      <c r="F300" s="402"/>
      <c r="G300" s="495">
        <v>100000</v>
      </c>
      <c r="H300" s="500"/>
    </row>
    <row r="301" spans="1:8" ht="15" customHeight="1" x14ac:dyDescent="0.2">
      <c r="A301" s="402"/>
      <c r="B301" s="402"/>
      <c r="C301" s="494" t="s">
        <v>417</v>
      </c>
      <c r="D301" s="499"/>
      <c r="E301" s="499"/>
      <c r="F301" s="402"/>
      <c r="G301" s="495">
        <v>4661507</v>
      </c>
      <c r="H301" s="500"/>
    </row>
    <row r="302" spans="1:8" ht="15" customHeight="1" x14ac:dyDescent="0.2">
      <c r="A302" s="402"/>
      <c r="B302" s="402"/>
      <c r="C302" s="494" t="s">
        <v>416</v>
      </c>
      <c r="D302" s="499"/>
      <c r="E302" s="499"/>
      <c r="F302" s="402"/>
      <c r="G302" s="495">
        <v>28200</v>
      </c>
      <c r="H302" s="500"/>
    </row>
    <row r="303" spans="1:8" ht="9.75" customHeight="1" x14ac:dyDescent="0.2"/>
    <row r="304" spans="1:8" ht="15.75" customHeight="1" x14ac:dyDescent="0.2">
      <c r="A304" s="488" t="s">
        <v>320</v>
      </c>
      <c r="B304" s="489"/>
      <c r="C304" s="489"/>
      <c r="D304" s="489"/>
      <c r="E304" s="489"/>
      <c r="F304" s="489"/>
      <c r="G304" s="489"/>
      <c r="H304" s="489"/>
    </row>
    <row r="305" spans="1:8" s="203" customFormat="1" ht="15" customHeight="1" x14ac:dyDescent="0.2">
      <c r="C305" s="490" t="s">
        <v>314</v>
      </c>
      <c r="D305" s="497"/>
      <c r="E305" s="497"/>
      <c r="G305" s="491">
        <v>3336522</v>
      </c>
      <c r="H305" s="498"/>
    </row>
    <row r="306" spans="1:8" ht="15" customHeight="1" x14ac:dyDescent="0.2">
      <c r="C306" s="492" t="s">
        <v>420</v>
      </c>
      <c r="D306" s="489"/>
      <c r="E306" s="489"/>
      <c r="G306" s="493">
        <v>66223</v>
      </c>
      <c r="H306" s="480"/>
    </row>
    <row r="307" spans="1:8" ht="15" customHeight="1" x14ac:dyDescent="0.2">
      <c r="C307" s="492" t="s">
        <v>419</v>
      </c>
      <c r="D307" s="489"/>
      <c r="E307" s="489"/>
      <c r="G307" s="493">
        <v>1293274</v>
      </c>
      <c r="H307" s="480"/>
    </row>
    <row r="308" spans="1:8" ht="15" customHeight="1" x14ac:dyDescent="0.2">
      <c r="C308" s="492" t="s">
        <v>417</v>
      </c>
      <c r="D308" s="489"/>
      <c r="E308" s="489"/>
      <c r="G308" s="493">
        <v>1977025</v>
      </c>
      <c r="H308" s="480"/>
    </row>
    <row r="309" spans="1:8" ht="10.5" customHeight="1" x14ac:dyDescent="0.2"/>
    <row r="310" spans="1:8" ht="31.5" customHeight="1" x14ac:dyDescent="0.2">
      <c r="A310" s="488" t="s">
        <v>708</v>
      </c>
      <c r="B310" s="489"/>
      <c r="C310" s="489"/>
      <c r="D310" s="489"/>
      <c r="E310" s="489"/>
      <c r="F310" s="489"/>
      <c r="G310" s="489"/>
      <c r="H310" s="489"/>
    </row>
    <row r="311" spans="1:8" s="203" customFormat="1" ht="15" customHeight="1" x14ac:dyDescent="0.2">
      <c r="C311" s="490" t="s">
        <v>314</v>
      </c>
      <c r="D311" s="497"/>
      <c r="E311" s="497"/>
      <c r="G311" s="491">
        <v>1040402</v>
      </c>
      <c r="H311" s="498"/>
    </row>
    <row r="312" spans="1:8" ht="15" customHeight="1" x14ac:dyDescent="0.2">
      <c r="C312" s="492" t="s">
        <v>417</v>
      </c>
      <c r="D312" s="489"/>
      <c r="E312" s="489"/>
      <c r="G312" s="493">
        <v>1040402</v>
      </c>
      <c r="H312" s="480"/>
    </row>
    <row r="313" spans="1:8" ht="9.75" customHeight="1" x14ac:dyDescent="0.2"/>
    <row r="314" spans="1:8" ht="18.75" customHeight="1" x14ac:dyDescent="0.2">
      <c r="A314" s="488" t="s">
        <v>709</v>
      </c>
      <c r="B314" s="489"/>
      <c r="C314" s="489"/>
      <c r="D314" s="489"/>
      <c r="E314" s="489"/>
      <c r="F314" s="489"/>
      <c r="G314" s="489"/>
      <c r="H314" s="489"/>
    </row>
    <row r="315" spans="1:8" s="203" customFormat="1" ht="15" customHeight="1" x14ac:dyDescent="0.2">
      <c r="C315" s="490" t="s">
        <v>314</v>
      </c>
      <c r="D315" s="497"/>
      <c r="E315" s="497"/>
      <c r="G315" s="491">
        <v>323343</v>
      </c>
      <c r="H315" s="498"/>
    </row>
    <row r="316" spans="1:8" ht="15" customHeight="1" x14ac:dyDescent="0.2">
      <c r="C316" s="492" t="s">
        <v>417</v>
      </c>
      <c r="D316" s="489"/>
      <c r="E316" s="489"/>
      <c r="G316" s="493">
        <v>323343</v>
      </c>
      <c r="H316" s="480"/>
    </row>
    <row r="318" spans="1:8" ht="15.75" customHeight="1" x14ac:dyDescent="0.2">
      <c r="A318" s="488" t="s">
        <v>323</v>
      </c>
      <c r="B318" s="489"/>
      <c r="C318" s="489"/>
      <c r="D318" s="489"/>
      <c r="E318" s="489"/>
      <c r="F318" s="489"/>
      <c r="G318" s="489"/>
      <c r="H318" s="489"/>
    </row>
    <row r="319" spans="1:8" s="203" customFormat="1" ht="15" customHeight="1" x14ac:dyDescent="0.2">
      <c r="C319" s="490" t="s">
        <v>314</v>
      </c>
      <c r="D319" s="497"/>
      <c r="E319" s="497"/>
      <c r="G319" s="491">
        <v>1158310</v>
      </c>
      <c r="H319" s="498"/>
    </row>
    <row r="320" spans="1:8" ht="15" customHeight="1" x14ac:dyDescent="0.2">
      <c r="C320" s="492" t="s">
        <v>419</v>
      </c>
      <c r="D320" s="489"/>
      <c r="E320" s="489"/>
      <c r="G320" s="493">
        <v>1158310</v>
      </c>
      <c r="H320" s="480"/>
    </row>
    <row r="322" spans="1:8" ht="15.75" customHeight="1" x14ac:dyDescent="0.2">
      <c r="A322" s="488" t="s">
        <v>324</v>
      </c>
      <c r="B322" s="489"/>
      <c r="C322" s="489"/>
      <c r="D322" s="489"/>
      <c r="E322" s="489"/>
      <c r="F322" s="489"/>
      <c r="G322" s="489"/>
      <c r="H322" s="489"/>
    </row>
    <row r="323" spans="1:8" s="203" customFormat="1" ht="15" customHeight="1" x14ac:dyDescent="0.2">
      <c r="C323" s="490" t="s">
        <v>314</v>
      </c>
      <c r="D323" s="497"/>
      <c r="E323" s="497"/>
      <c r="G323" s="491">
        <v>636420</v>
      </c>
      <c r="H323" s="498"/>
    </row>
    <row r="324" spans="1:8" ht="15" customHeight="1" x14ac:dyDescent="0.2">
      <c r="C324" s="492" t="s">
        <v>419</v>
      </c>
      <c r="D324" s="489"/>
      <c r="E324" s="489"/>
      <c r="G324" s="493">
        <v>505107</v>
      </c>
      <c r="H324" s="480"/>
    </row>
    <row r="325" spans="1:8" ht="15" customHeight="1" x14ac:dyDescent="0.2">
      <c r="C325" s="492" t="s">
        <v>417</v>
      </c>
      <c r="D325" s="489"/>
      <c r="E325" s="489"/>
      <c r="G325" s="493">
        <v>131313</v>
      </c>
      <c r="H325" s="480"/>
    </row>
    <row r="327" spans="1:8" ht="15.75" customHeight="1" x14ac:dyDescent="0.2">
      <c r="A327" s="488" t="s">
        <v>326</v>
      </c>
      <c r="B327" s="489"/>
      <c r="C327" s="489"/>
      <c r="D327" s="489"/>
      <c r="E327" s="489"/>
      <c r="F327" s="489"/>
      <c r="G327" s="489"/>
      <c r="H327" s="489"/>
    </row>
    <row r="328" spans="1:8" s="203" customFormat="1" ht="15" customHeight="1" x14ac:dyDescent="0.2">
      <c r="C328" s="490" t="s">
        <v>314</v>
      </c>
      <c r="D328" s="497"/>
      <c r="E328" s="497"/>
      <c r="G328" s="491">
        <v>693609</v>
      </c>
      <c r="H328" s="498"/>
    </row>
    <row r="329" spans="1:8" ht="15" customHeight="1" x14ac:dyDescent="0.2">
      <c r="C329" s="492" t="s">
        <v>419</v>
      </c>
      <c r="D329" s="489"/>
      <c r="E329" s="489"/>
      <c r="G329" s="493">
        <v>562055</v>
      </c>
      <c r="H329" s="480"/>
    </row>
    <row r="330" spans="1:8" ht="15" customHeight="1" x14ac:dyDescent="0.2">
      <c r="C330" s="492" t="s">
        <v>417</v>
      </c>
      <c r="D330" s="489"/>
      <c r="E330" s="489"/>
      <c r="G330" s="493">
        <v>131554</v>
      </c>
      <c r="H330" s="480"/>
    </row>
    <row r="332" spans="1:8" ht="31.5" customHeight="1" x14ac:dyDescent="0.2">
      <c r="A332" s="488" t="s">
        <v>710</v>
      </c>
      <c r="B332" s="489"/>
      <c r="C332" s="489"/>
      <c r="D332" s="489"/>
      <c r="E332" s="489"/>
      <c r="F332" s="489"/>
      <c r="G332" s="489"/>
      <c r="H332" s="489"/>
    </row>
    <row r="333" spans="1:8" s="203" customFormat="1" ht="15" customHeight="1" x14ac:dyDescent="0.2">
      <c r="C333" s="490" t="s">
        <v>314</v>
      </c>
      <c r="D333" s="497"/>
      <c r="E333" s="497"/>
      <c r="G333" s="491">
        <v>937155</v>
      </c>
      <c r="H333" s="498"/>
    </row>
    <row r="334" spans="1:8" ht="15" customHeight="1" x14ac:dyDescent="0.2">
      <c r="C334" s="492" t="s">
        <v>417</v>
      </c>
      <c r="D334" s="489"/>
      <c r="E334" s="489"/>
      <c r="G334" s="493">
        <v>937155</v>
      </c>
      <c r="H334" s="480"/>
    </row>
    <row r="336" spans="1:8" ht="15.75" customHeight="1" x14ac:dyDescent="0.2">
      <c r="A336" s="488" t="s">
        <v>440</v>
      </c>
      <c r="B336" s="489"/>
      <c r="C336" s="489"/>
      <c r="D336" s="489"/>
      <c r="E336" s="489"/>
      <c r="F336" s="489"/>
      <c r="G336" s="489"/>
      <c r="H336" s="489"/>
    </row>
    <row r="337" spans="1:8" s="203" customFormat="1" ht="15" customHeight="1" x14ac:dyDescent="0.2">
      <c r="C337" s="490" t="s">
        <v>314</v>
      </c>
      <c r="D337" s="497"/>
      <c r="E337" s="497"/>
      <c r="G337" s="491">
        <v>970043</v>
      </c>
      <c r="H337" s="498"/>
    </row>
    <row r="338" spans="1:8" ht="15" customHeight="1" x14ac:dyDescent="0.2">
      <c r="C338" s="492" t="s">
        <v>420</v>
      </c>
      <c r="D338" s="489"/>
      <c r="E338" s="489"/>
      <c r="G338" s="493">
        <v>819880</v>
      </c>
      <c r="H338" s="480"/>
    </row>
    <row r="339" spans="1:8" ht="15" customHeight="1" x14ac:dyDescent="0.2">
      <c r="C339" s="492" t="s">
        <v>419</v>
      </c>
      <c r="D339" s="489"/>
      <c r="E339" s="489"/>
      <c r="G339" s="493">
        <v>98463</v>
      </c>
      <c r="H339" s="480"/>
    </row>
    <row r="340" spans="1:8" ht="15" customHeight="1" x14ac:dyDescent="0.2">
      <c r="C340" s="492" t="s">
        <v>417</v>
      </c>
      <c r="D340" s="489"/>
      <c r="E340" s="489"/>
      <c r="G340" s="493">
        <v>51700</v>
      </c>
      <c r="H340" s="480"/>
    </row>
    <row r="342" spans="1:8" ht="18" customHeight="1" x14ac:dyDescent="0.2">
      <c r="A342" s="488" t="s">
        <v>823</v>
      </c>
      <c r="B342" s="489"/>
      <c r="C342" s="489"/>
      <c r="D342" s="489"/>
      <c r="E342" s="489"/>
      <c r="F342" s="489"/>
      <c r="G342" s="489"/>
      <c r="H342" s="489"/>
    </row>
    <row r="343" spans="1:8" s="203" customFormat="1" ht="15" customHeight="1" x14ac:dyDescent="0.2">
      <c r="C343" s="490" t="s">
        <v>314</v>
      </c>
      <c r="D343" s="497"/>
      <c r="E343" s="497"/>
      <c r="G343" s="491">
        <v>1271561</v>
      </c>
      <c r="H343" s="498"/>
    </row>
    <row r="344" spans="1:8" ht="15" customHeight="1" x14ac:dyDescent="0.2">
      <c r="C344" s="492" t="s">
        <v>419</v>
      </c>
      <c r="D344" s="489"/>
      <c r="E344" s="489"/>
      <c r="G344" s="493">
        <v>1102546</v>
      </c>
      <c r="H344" s="480"/>
    </row>
    <row r="345" spans="1:8" ht="15" customHeight="1" x14ac:dyDescent="0.2">
      <c r="C345" s="492" t="s">
        <v>418</v>
      </c>
      <c r="D345" s="489"/>
      <c r="E345" s="489"/>
      <c r="G345" s="493">
        <v>100000</v>
      </c>
      <c r="H345" s="480"/>
    </row>
    <row r="346" spans="1:8" ht="15" customHeight="1" x14ac:dyDescent="0.2">
      <c r="C346" s="492" t="s">
        <v>417</v>
      </c>
      <c r="D346" s="489"/>
      <c r="E346" s="489"/>
      <c r="G346" s="493">
        <v>69015</v>
      </c>
      <c r="H346" s="480"/>
    </row>
    <row r="348" spans="1:8" ht="15.75" customHeight="1" x14ac:dyDescent="0.2">
      <c r="A348" s="488" t="s">
        <v>351</v>
      </c>
      <c r="B348" s="489"/>
      <c r="C348" s="489"/>
      <c r="D348" s="489"/>
      <c r="E348" s="489"/>
      <c r="F348" s="489"/>
      <c r="G348" s="489"/>
      <c r="H348" s="489"/>
    </row>
    <row r="349" spans="1:8" s="203" customFormat="1" ht="15" customHeight="1" x14ac:dyDescent="0.2">
      <c r="C349" s="490" t="s">
        <v>314</v>
      </c>
      <c r="D349" s="497"/>
      <c r="E349" s="497"/>
      <c r="G349" s="491">
        <v>53000</v>
      </c>
      <c r="H349" s="498"/>
    </row>
    <row r="350" spans="1:8" ht="15" customHeight="1" x14ac:dyDescent="0.2">
      <c r="C350" s="492" t="s">
        <v>420</v>
      </c>
      <c r="D350" s="489"/>
      <c r="E350" s="489"/>
      <c r="G350" s="493">
        <v>1800</v>
      </c>
      <c r="H350" s="480"/>
    </row>
    <row r="351" spans="1:8" ht="15" customHeight="1" x14ac:dyDescent="0.2">
      <c r="C351" s="492" t="s">
        <v>419</v>
      </c>
      <c r="D351" s="489"/>
      <c r="E351" s="489"/>
      <c r="G351" s="493">
        <v>23000</v>
      </c>
      <c r="H351" s="480"/>
    </row>
    <row r="352" spans="1:8" ht="15" customHeight="1" x14ac:dyDescent="0.2">
      <c r="C352" s="492" t="s">
        <v>416</v>
      </c>
      <c r="D352" s="489"/>
      <c r="E352" s="489"/>
      <c r="G352" s="493">
        <v>28200</v>
      </c>
      <c r="H352" s="480"/>
    </row>
    <row r="354" spans="1:8" ht="15.75" customHeight="1" x14ac:dyDescent="0.2">
      <c r="A354" s="486" t="s">
        <v>711</v>
      </c>
      <c r="B354" s="499"/>
      <c r="C354" s="499"/>
      <c r="D354" s="499"/>
      <c r="E354" s="499"/>
      <c r="F354" s="499"/>
      <c r="G354" s="499"/>
      <c r="H354" s="499"/>
    </row>
    <row r="355" spans="1:8" ht="15" customHeight="1" x14ac:dyDescent="0.2">
      <c r="A355" s="402"/>
      <c r="B355" s="402"/>
      <c r="C355" s="494" t="s">
        <v>314</v>
      </c>
      <c r="D355" s="499"/>
      <c r="E355" s="499"/>
      <c r="F355" s="402"/>
      <c r="G355" s="495">
        <v>3612263</v>
      </c>
      <c r="H355" s="500"/>
    </row>
    <row r="356" spans="1:8" ht="15" customHeight="1" x14ac:dyDescent="0.2">
      <c r="A356" s="402"/>
      <c r="B356" s="402"/>
      <c r="C356" s="494" t="s">
        <v>420</v>
      </c>
      <c r="D356" s="499"/>
      <c r="E356" s="499"/>
      <c r="F356" s="402"/>
      <c r="G356" s="495">
        <v>1478165</v>
      </c>
      <c r="H356" s="500"/>
    </row>
    <row r="357" spans="1:8" ht="15" customHeight="1" x14ac:dyDescent="0.2">
      <c r="A357" s="402"/>
      <c r="B357" s="402"/>
      <c r="C357" s="494" t="s">
        <v>419</v>
      </c>
      <c r="D357" s="499"/>
      <c r="E357" s="499"/>
      <c r="F357" s="402"/>
      <c r="G357" s="495">
        <v>1614815</v>
      </c>
      <c r="H357" s="500"/>
    </row>
    <row r="358" spans="1:8" ht="15" customHeight="1" x14ac:dyDescent="0.2">
      <c r="A358" s="402"/>
      <c r="B358" s="402"/>
      <c r="C358" s="494" t="s">
        <v>418</v>
      </c>
      <c r="D358" s="499"/>
      <c r="E358" s="499"/>
      <c r="F358" s="402"/>
      <c r="G358" s="495">
        <v>455518</v>
      </c>
      <c r="H358" s="500"/>
    </row>
    <row r="359" spans="1:8" ht="15" customHeight="1" x14ac:dyDescent="0.2">
      <c r="A359" s="402"/>
      <c r="B359" s="402"/>
      <c r="C359" s="494" t="s">
        <v>417</v>
      </c>
      <c r="D359" s="499"/>
      <c r="E359" s="499"/>
      <c r="F359" s="402"/>
      <c r="G359" s="495">
        <v>63765</v>
      </c>
      <c r="H359" s="500"/>
    </row>
    <row r="361" spans="1:8" ht="15.75" customHeight="1" x14ac:dyDescent="0.2">
      <c r="A361" s="488" t="s">
        <v>439</v>
      </c>
      <c r="B361" s="489"/>
      <c r="C361" s="489"/>
      <c r="D361" s="489"/>
      <c r="E361" s="489"/>
      <c r="F361" s="489"/>
      <c r="G361" s="489"/>
      <c r="H361" s="489"/>
    </row>
    <row r="362" spans="1:8" s="203" customFormat="1" ht="15" customHeight="1" x14ac:dyDescent="0.2">
      <c r="C362" s="490" t="s">
        <v>314</v>
      </c>
      <c r="D362" s="497"/>
      <c r="E362" s="497"/>
      <c r="G362" s="491">
        <v>615686</v>
      </c>
      <c r="H362" s="498"/>
    </row>
    <row r="363" spans="1:8" ht="15" customHeight="1" x14ac:dyDescent="0.2">
      <c r="C363" s="492" t="s">
        <v>420</v>
      </c>
      <c r="D363" s="489"/>
      <c r="E363" s="489"/>
      <c r="G363" s="493">
        <v>322531</v>
      </c>
      <c r="H363" s="480"/>
    </row>
    <row r="364" spans="1:8" ht="15" customHeight="1" x14ac:dyDescent="0.2">
      <c r="C364" s="492" t="s">
        <v>419</v>
      </c>
      <c r="D364" s="489"/>
      <c r="E364" s="489"/>
      <c r="G364" s="493">
        <v>238155</v>
      </c>
      <c r="H364" s="480"/>
    </row>
    <row r="365" spans="1:8" ht="15" customHeight="1" x14ac:dyDescent="0.2">
      <c r="C365" s="492" t="s">
        <v>417</v>
      </c>
      <c r="D365" s="489"/>
      <c r="E365" s="489"/>
      <c r="G365" s="493">
        <v>55000</v>
      </c>
      <c r="H365" s="480"/>
    </row>
    <row r="367" spans="1:8" ht="15.75" customHeight="1" x14ac:dyDescent="0.2">
      <c r="A367" s="488" t="s">
        <v>333</v>
      </c>
      <c r="B367" s="489"/>
      <c r="C367" s="489"/>
      <c r="D367" s="489"/>
      <c r="E367" s="489"/>
      <c r="F367" s="489"/>
      <c r="G367" s="489"/>
      <c r="H367" s="489"/>
    </row>
    <row r="368" spans="1:8" s="203" customFormat="1" ht="15" customHeight="1" x14ac:dyDescent="0.2">
      <c r="C368" s="490" t="s">
        <v>314</v>
      </c>
      <c r="D368" s="497"/>
      <c r="E368" s="497"/>
      <c r="G368" s="491">
        <v>674400</v>
      </c>
      <c r="H368" s="498"/>
    </row>
    <row r="369" spans="1:8" ht="15" customHeight="1" x14ac:dyDescent="0.2">
      <c r="C369" s="492" t="s">
        <v>420</v>
      </c>
      <c r="D369" s="489"/>
      <c r="E369" s="489"/>
      <c r="G369" s="493">
        <v>9777</v>
      </c>
      <c r="H369" s="480"/>
    </row>
    <row r="370" spans="1:8" ht="15" customHeight="1" x14ac:dyDescent="0.2">
      <c r="C370" s="492" t="s">
        <v>419</v>
      </c>
      <c r="D370" s="489"/>
      <c r="E370" s="489"/>
      <c r="G370" s="493">
        <v>204105</v>
      </c>
      <c r="H370" s="480"/>
    </row>
    <row r="371" spans="1:8" ht="15" customHeight="1" x14ac:dyDescent="0.2">
      <c r="C371" s="492" t="s">
        <v>418</v>
      </c>
      <c r="D371" s="489"/>
      <c r="E371" s="489"/>
      <c r="G371" s="493">
        <v>455518</v>
      </c>
      <c r="H371" s="480"/>
    </row>
    <row r="372" spans="1:8" ht="15" customHeight="1" x14ac:dyDescent="0.2">
      <c r="C372" s="492" t="s">
        <v>417</v>
      </c>
      <c r="D372" s="489"/>
      <c r="E372" s="489"/>
      <c r="G372" s="493">
        <v>5000</v>
      </c>
      <c r="H372" s="480"/>
    </row>
    <row r="374" spans="1:8" ht="15.75" customHeight="1" x14ac:dyDescent="0.2">
      <c r="A374" s="488" t="s">
        <v>368</v>
      </c>
      <c r="B374" s="489"/>
      <c r="C374" s="489"/>
      <c r="D374" s="489"/>
      <c r="E374" s="489"/>
      <c r="F374" s="489"/>
      <c r="G374" s="489"/>
      <c r="H374" s="489"/>
    </row>
    <row r="375" spans="1:8" s="203" customFormat="1" ht="15" customHeight="1" x14ac:dyDescent="0.2">
      <c r="C375" s="490" t="s">
        <v>314</v>
      </c>
      <c r="D375" s="497"/>
      <c r="E375" s="497"/>
      <c r="G375" s="491">
        <v>2322177</v>
      </c>
      <c r="H375" s="498"/>
    </row>
    <row r="376" spans="1:8" ht="15" customHeight="1" x14ac:dyDescent="0.2">
      <c r="C376" s="492" t="s">
        <v>420</v>
      </c>
      <c r="D376" s="489"/>
      <c r="E376" s="489"/>
      <c r="G376" s="493">
        <v>1145857</v>
      </c>
      <c r="H376" s="480"/>
    </row>
    <row r="377" spans="1:8" ht="15" customHeight="1" x14ac:dyDescent="0.2">
      <c r="C377" s="492" t="s">
        <v>419</v>
      </c>
      <c r="D377" s="489"/>
      <c r="E377" s="489"/>
      <c r="G377" s="493">
        <v>1172555</v>
      </c>
      <c r="H377" s="480"/>
    </row>
    <row r="378" spans="1:8" ht="15" customHeight="1" x14ac:dyDescent="0.2">
      <c r="C378" s="492" t="s">
        <v>417</v>
      </c>
      <c r="D378" s="489"/>
      <c r="E378" s="489"/>
      <c r="G378" s="493">
        <v>3765</v>
      </c>
      <c r="H378" s="480"/>
    </row>
    <row r="380" spans="1:8" ht="15.75" hidden="1" customHeight="1" x14ac:dyDescent="0.2">
      <c r="A380" s="488" t="s">
        <v>346</v>
      </c>
      <c r="B380" s="489"/>
      <c r="C380" s="489"/>
      <c r="D380" s="489"/>
      <c r="E380" s="489"/>
      <c r="F380" s="489"/>
      <c r="G380" s="489"/>
      <c r="H380" s="489"/>
    </row>
    <row r="381" spans="1:8" s="203" customFormat="1" ht="15" hidden="1" customHeight="1" x14ac:dyDescent="0.2">
      <c r="C381" s="490" t="s">
        <v>314</v>
      </c>
      <c r="D381" s="497"/>
      <c r="E381" s="497"/>
      <c r="G381" s="491">
        <v>1004657</v>
      </c>
      <c r="H381" s="498"/>
    </row>
    <row r="382" spans="1:8" ht="15" hidden="1" customHeight="1" x14ac:dyDescent="0.2">
      <c r="C382" s="492" t="s">
        <v>420</v>
      </c>
      <c r="D382" s="489"/>
      <c r="E382" s="489"/>
      <c r="G382" s="493">
        <v>625409</v>
      </c>
      <c r="H382" s="480"/>
    </row>
    <row r="383" spans="1:8" ht="15" hidden="1" customHeight="1" x14ac:dyDescent="0.2">
      <c r="C383" s="492" t="s">
        <v>419</v>
      </c>
      <c r="D383" s="489"/>
      <c r="E383" s="489"/>
      <c r="G383" s="493">
        <v>379248</v>
      </c>
      <c r="H383" s="480"/>
    </row>
    <row r="384" spans="1:8" hidden="1" x14ac:dyDescent="0.2">
      <c r="B384" s="203"/>
    </row>
    <row r="385" spans="1:8" ht="15.75" hidden="1" customHeight="1" x14ac:dyDescent="0.2">
      <c r="A385" s="488" t="s">
        <v>347</v>
      </c>
      <c r="B385" s="489"/>
      <c r="C385" s="489"/>
      <c r="D385" s="489"/>
      <c r="E385" s="489"/>
      <c r="F385" s="489"/>
      <c r="G385" s="489"/>
      <c r="H385" s="489"/>
    </row>
    <row r="386" spans="1:8" s="203" customFormat="1" ht="15" hidden="1" customHeight="1" x14ac:dyDescent="0.2">
      <c r="C386" s="490" t="s">
        <v>314</v>
      </c>
      <c r="D386" s="497"/>
      <c r="E386" s="497"/>
      <c r="G386" s="491">
        <v>471512</v>
      </c>
      <c r="H386" s="498"/>
    </row>
    <row r="387" spans="1:8" ht="15" hidden="1" customHeight="1" x14ac:dyDescent="0.2">
      <c r="C387" s="492" t="s">
        <v>420</v>
      </c>
      <c r="D387" s="489"/>
      <c r="E387" s="489"/>
      <c r="G387" s="493">
        <v>188177</v>
      </c>
      <c r="H387" s="480"/>
    </row>
    <row r="388" spans="1:8" ht="15" hidden="1" customHeight="1" x14ac:dyDescent="0.2">
      <c r="C388" s="492" t="s">
        <v>419</v>
      </c>
      <c r="D388" s="489"/>
      <c r="E388" s="489"/>
      <c r="G388" s="493">
        <v>283335</v>
      </c>
      <c r="H388" s="480"/>
    </row>
    <row r="389" spans="1:8" hidden="1" x14ac:dyDescent="0.2"/>
    <row r="390" spans="1:8" ht="15.75" hidden="1" customHeight="1" x14ac:dyDescent="0.2">
      <c r="A390" s="488" t="s">
        <v>348</v>
      </c>
      <c r="B390" s="489"/>
      <c r="C390" s="489"/>
      <c r="D390" s="489"/>
      <c r="E390" s="489"/>
      <c r="F390" s="489"/>
      <c r="G390" s="489"/>
      <c r="H390" s="489"/>
    </row>
    <row r="391" spans="1:8" s="203" customFormat="1" ht="15" hidden="1" customHeight="1" x14ac:dyDescent="0.2">
      <c r="C391" s="490" t="s">
        <v>314</v>
      </c>
      <c r="D391" s="497"/>
      <c r="E391" s="497"/>
      <c r="G391" s="491">
        <v>846008</v>
      </c>
      <c r="H391" s="498"/>
    </row>
    <row r="392" spans="1:8" ht="15" hidden="1" customHeight="1" x14ac:dyDescent="0.2">
      <c r="C392" s="492" t="s">
        <v>420</v>
      </c>
      <c r="D392" s="489"/>
      <c r="E392" s="489"/>
      <c r="G392" s="493">
        <v>332271</v>
      </c>
      <c r="H392" s="480"/>
    </row>
    <row r="393" spans="1:8" ht="15" hidden="1" customHeight="1" x14ac:dyDescent="0.2">
      <c r="C393" s="492" t="s">
        <v>419</v>
      </c>
      <c r="D393" s="489"/>
      <c r="E393" s="489"/>
      <c r="G393" s="493">
        <v>509972</v>
      </c>
      <c r="H393" s="480"/>
    </row>
    <row r="394" spans="1:8" ht="15" hidden="1" customHeight="1" x14ac:dyDescent="0.2">
      <c r="C394" s="492" t="s">
        <v>417</v>
      </c>
      <c r="D394" s="489"/>
      <c r="E394" s="489"/>
      <c r="G394" s="493">
        <v>3765</v>
      </c>
      <c r="H394" s="480"/>
    </row>
    <row r="395" spans="1:8" hidden="1" x14ac:dyDescent="0.2"/>
    <row r="396" spans="1:8" ht="31.5" customHeight="1" x14ac:dyDescent="0.2">
      <c r="A396" s="486" t="s">
        <v>712</v>
      </c>
      <c r="B396" s="499"/>
      <c r="C396" s="499"/>
      <c r="D396" s="499"/>
      <c r="E396" s="499"/>
      <c r="F396" s="499"/>
      <c r="G396" s="499"/>
      <c r="H396" s="499"/>
    </row>
    <row r="397" spans="1:8" ht="15" customHeight="1" x14ac:dyDescent="0.2">
      <c r="A397" s="402"/>
      <c r="B397" s="402"/>
      <c r="C397" s="494" t="s">
        <v>314</v>
      </c>
      <c r="D397" s="499"/>
      <c r="E397" s="499"/>
      <c r="F397" s="402"/>
      <c r="G397" s="495">
        <v>906773</v>
      </c>
      <c r="H397" s="500"/>
    </row>
    <row r="398" spans="1:8" ht="15" customHeight="1" x14ac:dyDescent="0.2">
      <c r="A398" s="402"/>
      <c r="B398" s="402"/>
      <c r="C398" s="494" t="s">
        <v>420</v>
      </c>
      <c r="D398" s="499"/>
      <c r="E398" s="499"/>
      <c r="F398" s="402"/>
      <c r="G398" s="495">
        <v>556843</v>
      </c>
      <c r="H398" s="500"/>
    </row>
    <row r="399" spans="1:8" ht="15" customHeight="1" x14ac:dyDescent="0.2">
      <c r="A399" s="402"/>
      <c r="B399" s="402"/>
      <c r="C399" s="494" t="s">
        <v>419</v>
      </c>
      <c r="D399" s="499"/>
      <c r="E399" s="499"/>
      <c r="F399" s="402"/>
      <c r="G399" s="495">
        <v>150895</v>
      </c>
      <c r="H399" s="500"/>
    </row>
    <row r="400" spans="1:8" ht="15" customHeight="1" x14ac:dyDescent="0.2">
      <c r="A400" s="402"/>
      <c r="B400" s="402"/>
      <c r="C400" s="494" t="s">
        <v>417</v>
      </c>
      <c r="D400" s="499"/>
      <c r="E400" s="499"/>
      <c r="F400" s="402"/>
      <c r="G400" s="495">
        <v>101538</v>
      </c>
      <c r="H400" s="500"/>
    </row>
    <row r="401" spans="1:8" ht="30" customHeight="1" x14ac:dyDescent="0.2">
      <c r="A401" s="402"/>
      <c r="B401" s="402"/>
      <c r="C401" s="494" t="s">
        <v>415</v>
      </c>
      <c r="D401" s="499"/>
      <c r="E401" s="499"/>
      <c r="F401" s="402"/>
      <c r="G401" s="495">
        <v>97497</v>
      </c>
      <c r="H401" s="500"/>
    </row>
    <row r="403" spans="1:8" ht="15.75" customHeight="1" x14ac:dyDescent="0.2">
      <c r="A403" s="488" t="s">
        <v>438</v>
      </c>
      <c r="B403" s="489"/>
      <c r="C403" s="489"/>
      <c r="D403" s="489"/>
      <c r="E403" s="489"/>
      <c r="F403" s="489"/>
      <c r="G403" s="489"/>
      <c r="H403" s="489"/>
    </row>
    <row r="404" spans="1:8" s="203" customFormat="1" ht="15" customHeight="1" x14ac:dyDescent="0.2">
      <c r="C404" s="490" t="s">
        <v>314</v>
      </c>
      <c r="D404" s="497"/>
      <c r="E404" s="497"/>
      <c r="G404" s="491">
        <v>806874</v>
      </c>
      <c r="H404" s="498"/>
    </row>
    <row r="405" spans="1:8" ht="15" customHeight="1" x14ac:dyDescent="0.2">
      <c r="C405" s="492" t="s">
        <v>420</v>
      </c>
      <c r="D405" s="489"/>
      <c r="E405" s="489"/>
      <c r="G405" s="493">
        <v>556843</v>
      </c>
      <c r="H405" s="480"/>
    </row>
    <row r="406" spans="1:8" ht="15" customHeight="1" x14ac:dyDescent="0.2">
      <c r="C406" s="492" t="s">
        <v>419</v>
      </c>
      <c r="D406" s="489"/>
      <c r="E406" s="489"/>
      <c r="G406" s="493">
        <v>148493</v>
      </c>
      <c r="H406" s="480"/>
    </row>
    <row r="407" spans="1:8" ht="15" customHeight="1" x14ac:dyDescent="0.2">
      <c r="C407" s="492" t="s">
        <v>417</v>
      </c>
      <c r="D407" s="489"/>
      <c r="E407" s="489"/>
      <c r="G407" s="493">
        <v>101538</v>
      </c>
      <c r="H407" s="480"/>
    </row>
    <row r="409" spans="1:8" ht="31.5" customHeight="1" x14ac:dyDescent="0.2">
      <c r="A409" s="488" t="s">
        <v>713</v>
      </c>
      <c r="B409" s="489"/>
      <c r="C409" s="489"/>
      <c r="D409" s="489"/>
      <c r="E409" s="489"/>
      <c r="F409" s="489"/>
      <c r="G409" s="489"/>
      <c r="H409" s="489"/>
    </row>
    <row r="410" spans="1:8" s="203" customFormat="1" ht="15" customHeight="1" x14ac:dyDescent="0.2">
      <c r="C410" s="490" t="s">
        <v>314</v>
      </c>
      <c r="D410" s="497"/>
      <c r="E410" s="497"/>
      <c r="G410" s="491">
        <v>99899</v>
      </c>
      <c r="H410" s="498"/>
    </row>
    <row r="411" spans="1:8" ht="15" customHeight="1" x14ac:dyDescent="0.2">
      <c r="C411" s="492" t="s">
        <v>419</v>
      </c>
      <c r="D411" s="489"/>
      <c r="E411" s="489"/>
      <c r="G411" s="493">
        <v>2402</v>
      </c>
      <c r="H411" s="480"/>
    </row>
    <row r="412" spans="1:8" ht="30" customHeight="1" x14ac:dyDescent="0.2">
      <c r="C412" s="492" t="s">
        <v>415</v>
      </c>
      <c r="D412" s="489"/>
      <c r="E412" s="489"/>
      <c r="G412" s="493">
        <v>97497</v>
      </c>
      <c r="H412" s="480"/>
    </row>
    <row r="414" spans="1:8" ht="31.5" customHeight="1" x14ac:dyDescent="0.2">
      <c r="A414" s="486" t="s">
        <v>714</v>
      </c>
      <c r="B414" s="499"/>
      <c r="C414" s="499"/>
      <c r="D414" s="499"/>
      <c r="E414" s="499"/>
      <c r="F414" s="499"/>
      <c r="G414" s="499"/>
      <c r="H414" s="499"/>
    </row>
    <row r="415" spans="1:8" ht="15" customHeight="1" x14ac:dyDescent="0.2">
      <c r="A415" s="402"/>
      <c r="B415" s="402"/>
      <c r="C415" s="494" t="s">
        <v>314</v>
      </c>
      <c r="D415" s="499"/>
      <c r="E415" s="499"/>
      <c r="F415" s="402"/>
      <c r="G415" s="495">
        <v>601342</v>
      </c>
      <c r="H415" s="500"/>
    </row>
    <row r="416" spans="1:8" ht="15" customHeight="1" x14ac:dyDescent="0.2">
      <c r="A416" s="402"/>
      <c r="B416" s="402"/>
      <c r="C416" s="494" t="s">
        <v>420</v>
      </c>
      <c r="D416" s="499"/>
      <c r="E416" s="499"/>
      <c r="F416" s="402"/>
      <c r="G416" s="495">
        <v>415678</v>
      </c>
      <c r="H416" s="500"/>
    </row>
    <row r="417" spans="1:8" ht="15" customHeight="1" x14ac:dyDescent="0.2">
      <c r="A417" s="402"/>
      <c r="B417" s="402"/>
      <c r="C417" s="494" t="s">
        <v>419</v>
      </c>
      <c r="D417" s="499"/>
      <c r="E417" s="499"/>
      <c r="F417" s="402"/>
      <c r="G417" s="495">
        <v>125664</v>
      </c>
      <c r="H417" s="500"/>
    </row>
    <row r="418" spans="1:8" ht="15" customHeight="1" x14ac:dyDescent="0.2">
      <c r="A418" s="402"/>
      <c r="B418" s="402"/>
      <c r="C418" s="494" t="s">
        <v>417</v>
      </c>
      <c r="D418" s="499"/>
      <c r="E418" s="499"/>
      <c r="F418" s="402"/>
      <c r="G418" s="495">
        <v>60000</v>
      </c>
      <c r="H418" s="500"/>
    </row>
    <row r="420" spans="1:8" ht="15.75" customHeight="1" x14ac:dyDescent="0.2">
      <c r="A420" s="488" t="s">
        <v>437</v>
      </c>
      <c r="B420" s="489"/>
      <c r="C420" s="489"/>
      <c r="D420" s="489"/>
      <c r="E420" s="489"/>
      <c r="F420" s="489"/>
      <c r="G420" s="489"/>
      <c r="H420" s="489"/>
    </row>
    <row r="421" spans="1:8" s="203" customFormat="1" ht="15" customHeight="1" x14ac:dyDescent="0.2">
      <c r="C421" s="490" t="s">
        <v>314</v>
      </c>
      <c r="D421" s="497"/>
      <c r="E421" s="497"/>
      <c r="G421" s="491">
        <v>601342</v>
      </c>
      <c r="H421" s="498"/>
    </row>
    <row r="422" spans="1:8" ht="15" customHeight="1" x14ac:dyDescent="0.2">
      <c r="C422" s="492" t="s">
        <v>420</v>
      </c>
      <c r="D422" s="489"/>
      <c r="E422" s="489"/>
      <c r="G422" s="493">
        <v>415678</v>
      </c>
      <c r="H422" s="480"/>
    </row>
    <row r="423" spans="1:8" ht="15" customHeight="1" x14ac:dyDescent="0.2">
      <c r="C423" s="492" t="s">
        <v>419</v>
      </c>
      <c r="D423" s="489"/>
      <c r="E423" s="489"/>
      <c r="G423" s="493">
        <v>125664</v>
      </c>
      <c r="H423" s="480"/>
    </row>
    <row r="424" spans="1:8" ht="15" customHeight="1" x14ac:dyDescent="0.2">
      <c r="C424" s="492" t="s">
        <v>417</v>
      </c>
      <c r="D424" s="489"/>
      <c r="E424" s="489"/>
      <c r="G424" s="493">
        <v>60000</v>
      </c>
      <c r="H424" s="480"/>
    </row>
    <row r="426" spans="1:8" ht="15.75" customHeight="1" x14ac:dyDescent="0.2">
      <c r="A426" s="486" t="s">
        <v>715</v>
      </c>
      <c r="B426" s="499"/>
      <c r="C426" s="499"/>
      <c r="D426" s="499"/>
      <c r="E426" s="499"/>
      <c r="F426" s="499"/>
      <c r="G426" s="499"/>
      <c r="H426" s="499"/>
    </row>
    <row r="427" spans="1:8" ht="15" customHeight="1" x14ac:dyDescent="0.2">
      <c r="A427" s="402"/>
      <c r="B427" s="402"/>
      <c r="C427" s="494" t="s">
        <v>314</v>
      </c>
      <c r="D427" s="499"/>
      <c r="E427" s="499"/>
      <c r="F427" s="402"/>
      <c r="G427" s="495">
        <v>3156072</v>
      </c>
      <c r="H427" s="500"/>
    </row>
    <row r="428" spans="1:8" ht="15" customHeight="1" x14ac:dyDescent="0.2">
      <c r="A428" s="402"/>
      <c r="B428" s="402"/>
      <c r="C428" s="494" t="s">
        <v>420</v>
      </c>
      <c r="D428" s="499"/>
      <c r="E428" s="499"/>
      <c r="F428" s="402"/>
      <c r="G428" s="495">
        <v>1646395</v>
      </c>
      <c r="H428" s="500"/>
    </row>
    <row r="429" spans="1:8" ht="15" customHeight="1" x14ac:dyDescent="0.2">
      <c r="A429" s="402"/>
      <c r="B429" s="402"/>
      <c r="C429" s="494" t="s">
        <v>419</v>
      </c>
      <c r="D429" s="499"/>
      <c r="E429" s="499"/>
      <c r="F429" s="402"/>
      <c r="G429" s="495">
        <v>1347040</v>
      </c>
      <c r="H429" s="500"/>
    </row>
    <row r="430" spans="1:8" ht="15" customHeight="1" x14ac:dyDescent="0.2">
      <c r="A430" s="402"/>
      <c r="B430" s="402"/>
      <c r="C430" s="494" t="s">
        <v>418</v>
      </c>
      <c r="D430" s="499"/>
      <c r="E430" s="499"/>
      <c r="F430" s="402"/>
      <c r="G430" s="495">
        <v>12450</v>
      </c>
      <c r="H430" s="500"/>
    </row>
    <row r="431" spans="1:8" ht="15" customHeight="1" x14ac:dyDescent="0.2">
      <c r="A431" s="402"/>
      <c r="B431" s="402"/>
      <c r="C431" s="494" t="s">
        <v>417</v>
      </c>
      <c r="D431" s="499"/>
      <c r="E431" s="499"/>
      <c r="F431" s="402"/>
      <c r="G431" s="495">
        <v>142259</v>
      </c>
      <c r="H431" s="500"/>
    </row>
    <row r="432" spans="1:8" ht="30" customHeight="1" x14ac:dyDescent="0.2">
      <c r="A432" s="402"/>
      <c r="B432" s="402"/>
      <c r="C432" s="494" t="s">
        <v>415</v>
      </c>
      <c r="D432" s="499"/>
      <c r="E432" s="499"/>
      <c r="F432" s="402"/>
      <c r="G432" s="495">
        <v>7928</v>
      </c>
      <c r="H432" s="500"/>
    </row>
    <row r="434" spans="1:8" ht="15.75" customHeight="1" x14ac:dyDescent="0.2">
      <c r="A434" s="488" t="s">
        <v>436</v>
      </c>
      <c r="B434" s="489"/>
      <c r="C434" s="489"/>
      <c r="D434" s="489"/>
      <c r="E434" s="489"/>
      <c r="F434" s="489"/>
      <c r="G434" s="489"/>
      <c r="H434" s="489"/>
    </row>
    <row r="435" spans="1:8" s="203" customFormat="1" ht="15" customHeight="1" x14ac:dyDescent="0.2">
      <c r="C435" s="490" t="s">
        <v>314</v>
      </c>
      <c r="D435" s="497"/>
      <c r="E435" s="497"/>
      <c r="G435" s="491">
        <v>1694317</v>
      </c>
      <c r="H435" s="498"/>
    </row>
    <row r="436" spans="1:8" ht="15" customHeight="1" x14ac:dyDescent="0.2">
      <c r="C436" s="492" t="s">
        <v>420</v>
      </c>
      <c r="D436" s="489"/>
      <c r="E436" s="489"/>
      <c r="G436" s="493">
        <v>971375</v>
      </c>
      <c r="H436" s="480"/>
    </row>
    <row r="437" spans="1:8" ht="15" customHeight="1" x14ac:dyDescent="0.2">
      <c r="C437" s="492" t="s">
        <v>419</v>
      </c>
      <c r="D437" s="489"/>
      <c r="E437" s="489"/>
      <c r="G437" s="493">
        <v>595338</v>
      </c>
      <c r="H437" s="480"/>
    </row>
    <row r="438" spans="1:8" ht="15" customHeight="1" x14ac:dyDescent="0.2">
      <c r="C438" s="492" t="s">
        <v>417</v>
      </c>
      <c r="D438" s="489"/>
      <c r="E438" s="489"/>
      <c r="G438" s="493">
        <v>127604</v>
      </c>
      <c r="H438" s="480"/>
    </row>
    <row r="440" spans="1:8" ht="15.75" customHeight="1" x14ac:dyDescent="0.2">
      <c r="A440" s="488" t="s">
        <v>435</v>
      </c>
      <c r="B440" s="489"/>
      <c r="C440" s="489"/>
      <c r="D440" s="489"/>
      <c r="E440" s="489"/>
      <c r="F440" s="489"/>
      <c r="G440" s="489"/>
      <c r="H440" s="489"/>
    </row>
    <row r="441" spans="1:8" s="203" customFormat="1" ht="15" customHeight="1" x14ac:dyDescent="0.2">
      <c r="C441" s="490" t="s">
        <v>314</v>
      </c>
      <c r="D441" s="497"/>
      <c r="E441" s="497"/>
      <c r="G441" s="491">
        <v>769013</v>
      </c>
      <c r="H441" s="498"/>
    </row>
    <row r="442" spans="1:8" ht="15" customHeight="1" x14ac:dyDescent="0.2">
      <c r="C442" s="492" t="s">
        <v>420</v>
      </c>
      <c r="D442" s="489"/>
      <c r="E442" s="489"/>
      <c r="G442" s="493">
        <v>90327</v>
      </c>
      <c r="H442" s="480"/>
    </row>
    <row r="443" spans="1:8" ht="15" customHeight="1" x14ac:dyDescent="0.2">
      <c r="C443" s="492" t="s">
        <v>419</v>
      </c>
      <c r="D443" s="489"/>
      <c r="E443" s="489"/>
      <c r="G443" s="493">
        <v>665686</v>
      </c>
      <c r="H443" s="480"/>
    </row>
    <row r="444" spans="1:8" ht="15" customHeight="1" x14ac:dyDescent="0.2">
      <c r="C444" s="492" t="s">
        <v>417</v>
      </c>
      <c r="D444" s="489"/>
      <c r="E444" s="489"/>
      <c r="G444" s="493">
        <v>13000</v>
      </c>
      <c r="H444" s="480"/>
    </row>
    <row r="446" spans="1:8" ht="15.75" customHeight="1" x14ac:dyDescent="0.2">
      <c r="A446" s="488" t="s">
        <v>334</v>
      </c>
      <c r="B446" s="489"/>
      <c r="C446" s="489"/>
      <c r="D446" s="489"/>
      <c r="E446" s="489"/>
      <c r="F446" s="489"/>
      <c r="G446" s="489"/>
      <c r="H446" s="489"/>
    </row>
    <row r="447" spans="1:8" s="203" customFormat="1" ht="15" customHeight="1" x14ac:dyDescent="0.2">
      <c r="C447" s="490" t="s">
        <v>314</v>
      </c>
      <c r="D447" s="497"/>
      <c r="E447" s="497"/>
      <c r="G447" s="491">
        <v>98212</v>
      </c>
      <c r="H447" s="498"/>
    </row>
    <row r="448" spans="1:8" ht="15" customHeight="1" x14ac:dyDescent="0.2">
      <c r="C448" s="492" t="s">
        <v>420</v>
      </c>
      <c r="D448" s="489"/>
      <c r="E448" s="489"/>
      <c r="G448" s="493">
        <v>96212</v>
      </c>
      <c r="H448" s="480"/>
    </row>
    <row r="449" spans="1:8" ht="15" customHeight="1" x14ac:dyDescent="0.2">
      <c r="C449" s="492" t="s">
        <v>419</v>
      </c>
      <c r="D449" s="489"/>
      <c r="E449" s="489"/>
      <c r="G449" s="493">
        <v>2000</v>
      </c>
      <c r="H449" s="480"/>
    </row>
    <row r="451" spans="1:8" ht="15.75" customHeight="1" x14ac:dyDescent="0.2">
      <c r="A451" s="488" t="s">
        <v>335</v>
      </c>
      <c r="B451" s="489"/>
      <c r="C451" s="489"/>
      <c r="D451" s="489"/>
      <c r="E451" s="489"/>
      <c r="F451" s="489"/>
      <c r="G451" s="489"/>
      <c r="H451" s="489"/>
    </row>
    <row r="452" spans="1:8" s="203" customFormat="1" ht="15" customHeight="1" x14ac:dyDescent="0.2">
      <c r="C452" s="490" t="s">
        <v>314</v>
      </c>
      <c r="D452" s="497"/>
      <c r="E452" s="497"/>
      <c r="G452" s="491">
        <v>83253</v>
      </c>
      <c r="H452" s="498"/>
    </row>
    <row r="453" spans="1:8" ht="15" customHeight="1" x14ac:dyDescent="0.2">
      <c r="C453" s="492" t="s">
        <v>420</v>
      </c>
      <c r="D453" s="489"/>
      <c r="E453" s="489"/>
      <c r="G453" s="493">
        <v>75398</v>
      </c>
      <c r="H453" s="480"/>
    </row>
    <row r="454" spans="1:8" ht="15" customHeight="1" x14ac:dyDescent="0.2">
      <c r="C454" s="492" t="s">
        <v>419</v>
      </c>
      <c r="D454" s="489"/>
      <c r="E454" s="489"/>
      <c r="G454" s="493">
        <v>7855</v>
      </c>
      <c r="H454" s="480"/>
    </row>
    <row r="456" spans="1:8" ht="15.75" customHeight="1" x14ac:dyDescent="0.2">
      <c r="A456" s="488" t="s">
        <v>336</v>
      </c>
      <c r="B456" s="489"/>
      <c r="C456" s="489"/>
      <c r="D456" s="489"/>
      <c r="E456" s="489"/>
      <c r="F456" s="489"/>
      <c r="G456" s="489"/>
      <c r="H456" s="489"/>
    </row>
    <row r="457" spans="1:8" s="203" customFormat="1" ht="15" customHeight="1" x14ac:dyDescent="0.2">
      <c r="C457" s="490" t="s">
        <v>314</v>
      </c>
      <c r="D457" s="497"/>
      <c r="E457" s="497"/>
      <c r="G457" s="491">
        <v>21310</v>
      </c>
      <c r="H457" s="498"/>
    </row>
    <row r="458" spans="1:8" ht="15" customHeight="1" x14ac:dyDescent="0.2">
      <c r="C458" s="492" t="s">
        <v>420</v>
      </c>
      <c r="D458" s="489"/>
      <c r="E458" s="489"/>
      <c r="G458" s="493">
        <v>15599</v>
      </c>
      <c r="H458" s="480"/>
    </row>
    <row r="459" spans="1:8" ht="15" customHeight="1" x14ac:dyDescent="0.2">
      <c r="C459" s="492" t="s">
        <v>419</v>
      </c>
      <c r="D459" s="489"/>
      <c r="E459" s="489"/>
      <c r="G459" s="493">
        <v>5711</v>
      </c>
      <c r="H459" s="480"/>
    </row>
    <row r="461" spans="1:8" ht="15.75" customHeight="1" x14ac:dyDescent="0.2">
      <c r="A461" s="488" t="s">
        <v>337</v>
      </c>
      <c r="B461" s="489"/>
      <c r="C461" s="489"/>
      <c r="D461" s="489"/>
      <c r="E461" s="489"/>
      <c r="F461" s="489"/>
      <c r="G461" s="489"/>
      <c r="H461" s="489"/>
    </row>
    <row r="462" spans="1:8" s="203" customFormat="1" ht="15" customHeight="1" x14ac:dyDescent="0.2">
      <c r="C462" s="490" t="s">
        <v>314</v>
      </c>
      <c r="D462" s="497"/>
      <c r="E462" s="497"/>
      <c r="G462" s="491">
        <v>458706</v>
      </c>
      <c r="H462" s="498"/>
    </row>
    <row r="463" spans="1:8" ht="15" customHeight="1" x14ac:dyDescent="0.2">
      <c r="C463" s="492" t="s">
        <v>420</v>
      </c>
      <c r="D463" s="489"/>
      <c r="E463" s="489"/>
      <c r="G463" s="493">
        <v>389974</v>
      </c>
      <c r="H463" s="480"/>
    </row>
    <row r="464" spans="1:8" ht="15" customHeight="1" x14ac:dyDescent="0.2">
      <c r="C464" s="492" t="s">
        <v>419</v>
      </c>
      <c r="D464" s="489"/>
      <c r="E464" s="489"/>
      <c r="G464" s="493">
        <v>59149</v>
      </c>
      <c r="H464" s="480"/>
    </row>
    <row r="465" spans="1:8" ht="15" customHeight="1" x14ac:dyDescent="0.2">
      <c r="C465" s="492" t="s">
        <v>417</v>
      </c>
      <c r="D465" s="489"/>
      <c r="E465" s="489"/>
      <c r="G465" s="493">
        <v>1655</v>
      </c>
      <c r="H465" s="480"/>
    </row>
    <row r="466" spans="1:8" ht="30" customHeight="1" x14ac:dyDescent="0.2">
      <c r="C466" s="492" t="s">
        <v>415</v>
      </c>
      <c r="D466" s="489"/>
      <c r="E466" s="489"/>
      <c r="G466" s="493">
        <v>7928</v>
      </c>
      <c r="H466" s="480"/>
    </row>
    <row r="468" spans="1:8" ht="15.75" customHeight="1" x14ac:dyDescent="0.2">
      <c r="A468" s="488" t="s">
        <v>340</v>
      </c>
      <c r="B468" s="489"/>
      <c r="C468" s="489"/>
      <c r="D468" s="489"/>
      <c r="E468" s="489"/>
      <c r="F468" s="489"/>
      <c r="G468" s="489"/>
      <c r="H468" s="489"/>
    </row>
    <row r="469" spans="1:8" s="203" customFormat="1" ht="15" customHeight="1" x14ac:dyDescent="0.2">
      <c r="C469" s="490" t="s">
        <v>314</v>
      </c>
      <c r="D469" s="497"/>
      <c r="E469" s="497"/>
      <c r="G469" s="491">
        <v>31261</v>
      </c>
      <c r="H469" s="498"/>
    </row>
    <row r="470" spans="1:8" ht="15" customHeight="1" x14ac:dyDescent="0.2">
      <c r="C470" s="492" t="s">
        <v>420</v>
      </c>
      <c r="D470" s="489"/>
      <c r="E470" s="489"/>
      <c r="G470" s="493">
        <v>7510</v>
      </c>
      <c r="H470" s="480"/>
    </row>
    <row r="471" spans="1:8" ht="15" customHeight="1" x14ac:dyDescent="0.2">
      <c r="C471" s="492" t="s">
        <v>419</v>
      </c>
      <c r="D471" s="489"/>
      <c r="E471" s="489"/>
      <c r="G471" s="493">
        <v>11301</v>
      </c>
      <c r="H471" s="480"/>
    </row>
    <row r="472" spans="1:8" ht="15" customHeight="1" x14ac:dyDescent="0.2">
      <c r="C472" s="492" t="s">
        <v>418</v>
      </c>
      <c r="D472" s="489"/>
      <c r="E472" s="489"/>
      <c r="G472" s="493">
        <v>12450</v>
      </c>
      <c r="H472" s="480"/>
    </row>
    <row r="474" spans="1:8" ht="31.5" customHeight="1" x14ac:dyDescent="0.2">
      <c r="A474" s="486" t="s">
        <v>814</v>
      </c>
      <c r="B474" s="499"/>
      <c r="C474" s="499"/>
      <c r="D474" s="499"/>
      <c r="E474" s="499"/>
      <c r="F474" s="499"/>
      <c r="G474" s="499"/>
      <c r="H474" s="499"/>
    </row>
    <row r="475" spans="1:8" ht="15" customHeight="1" x14ac:dyDescent="0.2">
      <c r="A475" s="402"/>
      <c r="B475" s="402"/>
      <c r="C475" s="494" t="s">
        <v>314</v>
      </c>
      <c r="D475" s="499"/>
      <c r="E475" s="499"/>
      <c r="F475" s="402"/>
      <c r="G475" s="495">
        <v>1257875</v>
      </c>
      <c r="H475" s="500"/>
    </row>
    <row r="476" spans="1:8" ht="15" customHeight="1" x14ac:dyDescent="0.2">
      <c r="A476" s="402"/>
      <c r="B476" s="402"/>
      <c r="C476" s="494" t="s">
        <v>420</v>
      </c>
      <c r="D476" s="499"/>
      <c r="E476" s="499"/>
      <c r="F476" s="402"/>
      <c r="G476" s="495">
        <v>748633</v>
      </c>
      <c r="H476" s="500"/>
    </row>
    <row r="477" spans="1:8" ht="15" customHeight="1" x14ac:dyDescent="0.2">
      <c r="A477" s="402"/>
      <c r="B477" s="402"/>
      <c r="C477" s="494" t="s">
        <v>419</v>
      </c>
      <c r="D477" s="499"/>
      <c r="E477" s="499"/>
      <c r="F477" s="402"/>
      <c r="G477" s="495">
        <v>448990</v>
      </c>
      <c r="H477" s="500"/>
    </row>
    <row r="478" spans="1:8" ht="15" customHeight="1" x14ac:dyDescent="0.2">
      <c r="A478" s="402"/>
      <c r="B478" s="402"/>
      <c r="C478" s="494" t="s">
        <v>417</v>
      </c>
      <c r="D478" s="499"/>
      <c r="E478" s="499"/>
      <c r="F478" s="402"/>
      <c r="G478" s="495">
        <v>2000</v>
      </c>
      <c r="H478" s="500"/>
    </row>
    <row r="479" spans="1:8" ht="15" customHeight="1" x14ac:dyDescent="0.2">
      <c r="A479" s="402"/>
      <c r="B479" s="402"/>
      <c r="C479" s="494" t="s">
        <v>416</v>
      </c>
      <c r="D479" s="499"/>
      <c r="E479" s="499"/>
      <c r="F479" s="402"/>
      <c r="G479" s="495">
        <v>15681</v>
      </c>
      <c r="H479" s="500"/>
    </row>
    <row r="480" spans="1:8" ht="30" customHeight="1" x14ac:dyDescent="0.2">
      <c r="A480" s="402"/>
      <c r="B480" s="402"/>
      <c r="C480" s="494" t="s">
        <v>415</v>
      </c>
      <c r="D480" s="499"/>
      <c r="E480" s="499"/>
      <c r="F480" s="402"/>
      <c r="G480" s="495">
        <v>42571</v>
      </c>
      <c r="H480" s="500"/>
    </row>
    <row r="482" spans="1:8" ht="15.75" customHeight="1" x14ac:dyDescent="0.2">
      <c r="A482" s="488" t="s">
        <v>430</v>
      </c>
      <c r="B482" s="489"/>
      <c r="C482" s="489"/>
      <c r="D482" s="489"/>
      <c r="E482" s="489"/>
      <c r="F482" s="489"/>
      <c r="G482" s="489"/>
      <c r="H482" s="489"/>
    </row>
    <row r="483" spans="1:8" s="203" customFormat="1" ht="15" customHeight="1" x14ac:dyDescent="0.2">
      <c r="C483" s="490" t="s">
        <v>314</v>
      </c>
      <c r="D483" s="497"/>
      <c r="E483" s="497"/>
      <c r="G483" s="491">
        <v>1071614</v>
      </c>
      <c r="H483" s="498"/>
    </row>
    <row r="484" spans="1:8" ht="15" customHeight="1" x14ac:dyDescent="0.2">
      <c r="C484" s="492" t="s">
        <v>420</v>
      </c>
      <c r="D484" s="489"/>
      <c r="E484" s="489"/>
      <c r="G484" s="493">
        <v>705544</v>
      </c>
      <c r="H484" s="480"/>
    </row>
    <row r="485" spans="1:8" ht="15" customHeight="1" x14ac:dyDescent="0.2">
      <c r="C485" s="492" t="s">
        <v>419</v>
      </c>
      <c r="D485" s="489"/>
      <c r="E485" s="489"/>
      <c r="G485" s="493">
        <v>358670</v>
      </c>
      <c r="H485" s="480"/>
    </row>
    <row r="486" spans="1:8" ht="15" customHeight="1" x14ac:dyDescent="0.2">
      <c r="C486" s="492" t="s">
        <v>417</v>
      </c>
      <c r="D486" s="489"/>
      <c r="E486" s="489"/>
      <c r="G486" s="493">
        <v>2000</v>
      </c>
      <c r="H486" s="480"/>
    </row>
    <row r="487" spans="1:8" ht="15" customHeight="1" x14ac:dyDescent="0.2">
      <c r="C487" s="492" t="s">
        <v>416</v>
      </c>
      <c r="D487" s="489"/>
      <c r="E487" s="489"/>
      <c r="G487" s="493">
        <v>5400</v>
      </c>
      <c r="H487" s="480"/>
    </row>
    <row r="489" spans="1:8" ht="15.75" customHeight="1" x14ac:dyDescent="0.2">
      <c r="A489" s="488" t="s">
        <v>429</v>
      </c>
      <c r="B489" s="489"/>
      <c r="C489" s="489"/>
      <c r="D489" s="489"/>
      <c r="E489" s="489"/>
      <c r="F489" s="489"/>
      <c r="G489" s="489"/>
      <c r="H489" s="489"/>
    </row>
    <row r="490" spans="1:8" s="203" customFormat="1" ht="15" customHeight="1" x14ac:dyDescent="0.2">
      <c r="C490" s="490" t="s">
        <v>314</v>
      </c>
      <c r="D490" s="497"/>
      <c r="E490" s="497"/>
      <c r="G490" s="491">
        <v>186261</v>
      </c>
      <c r="H490" s="498"/>
    </row>
    <row r="491" spans="1:8" ht="15" customHeight="1" x14ac:dyDescent="0.2">
      <c r="C491" s="492" t="s">
        <v>420</v>
      </c>
      <c r="D491" s="489"/>
      <c r="E491" s="489"/>
      <c r="G491" s="493">
        <v>43089</v>
      </c>
      <c r="H491" s="480"/>
    </row>
    <row r="492" spans="1:8" ht="15" customHeight="1" x14ac:dyDescent="0.2">
      <c r="C492" s="492" t="s">
        <v>419</v>
      </c>
      <c r="D492" s="489"/>
      <c r="E492" s="489"/>
      <c r="G492" s="493">
        <v>90320</v>
      </c>
      <c r="H492" s="480"/>
    </row>
    <row r="493" spans="1:8" ht="15" customHeight="1" x14ac:dyDescent="0.2">
      <c r="C493" s="492" t="s">
        <v>416</v>
      </c>
      <c r="D493" s="489"/>
      <c r="E493" s="489"/>
      <c r="G493" s="493">
        <v>10281</v>
      </c>
      <c r="H493" s="480"/>
    </row>
    <row r="494" spans="1:8" ht="30" customHeight="1" x14ac:dyDescent="0.2">
      <c r="C494" s="492" t="s">
        <v>415</v>
      </c>
      <c r="D494" s="489"/>
      <c r="E494" s="489"/>
      <c r="G494" s="493">
        <v>42571</v>
      </c>
      <c r="H494" s="480"/>
    </row>
    <row r="496" spans="1:8" ht="31.5" customHeight="1" x14ac:dyDescent="0.2">
      <c r="A496" s="486" t="s">
        <v>815</v>
      </c>
      <c r="B496" s="499"/>
      <c r="C496" s="499"/>
      <c r="D496" s="499"/>
      <c r="E496" s="499"/>
      <c r="F496" s="499"/>
      <c r="G496" s="499"/>
      <c r="H496" s="499"/>
    </row>
    <row r="497" spans="1:8" ht="15" customHeight="1" x14ac:dyDescent="0.2">
      <c r="A497" s="402"/>
      <c r="B497" s="402"/>
      <c r="C497" s="494" t="s">
        <v>314</v>
      </c>
      <c r="D497" s="499"/>
      <c r="E497" s="499"/>
      <c r="F497" s="402"/>
      <c r="G497" s="495">
        <f>26635812+56000+60000+36000</f>
        <v>26787812</v>
      </c>
      <c r="H497" s="500"/>
    </row>
    <row r="498" spans="1:8" ht="15" customHeight="1" x14ac:dyDescent="0.2">
      <c r="A498" s="402"/>
      <c r="B498" s="402"/>
      <c r="C498" s="494" t="s">
        <v>420</v>
      </c>
      <c r="D498" s="499"/>
      <c r="E498" s="499"/>
      <c r="F498" s="402"/>
      <c r="G498" s="495">
        <v>16829978</v>
      </c>
      <c r="H498" s="500"/>
    </row>
    <row r="499" spans="1:8" ht="15" customHeight="1" x14ac:dyDescent="0.2">
      <c r="A499" s="402"/>
      <c r="B499" s="402"/>
      <c r="C499" s="494" t="s">
        <v>419</v>
      </c>
      <c r="D499" s="499"/>
      <c r="E499" s="499"/>
      <c r="F499" s="402"/>
      <c r="G499" s="495">
        <v>4952156</v>
      </c>
      <c r="H499" s="500"/>
    </row>
    <row r="500" spans="1:8" ht="15" customHeight="1" x14ac:dyDescent="0.2">
      <c r="A500" s="402"/>
      <c r="B500" s="402"/>
      <c r="C500" s="494" t="s">
        <v>418</v>
      </c>
      <c r="D500" s="499"/>
      <c r="E500" s="499"/>
      <c r="F500" s="402"/>
      <c r="G500" s="495">
        <f>2539259+56000+36000</f>
        <v>2631259</v>
      </c>
      <c r="H500" s="500"/>
    </row>
    <row r="501" spans="1:8" ht="15" customHeight="1" x14ac:dyDescent="0.2">
      <c r="A501" s="402"/>
      <c r="B501" s="402"/>
      <c r="C501" s="494" t="s">
        <v>417</v>
      </c>
      <c r="D501" s="499"/>
      <c r="E501" s="499"/>
      <c r="F501" s="402"/>
      <c r="G501" s="495">
        <f>991371+60000</f>
        <v>1051371</v>
      </c>
      <c r="H501" s="500"/>
    </row>
    <row r="502" spans="1:8" ht="15" customHeight="1" x14ac:dyDescent="0.2">
      <c r="A502" s="402"/>
      <c r="B502" s="402"/>
      <c r="C502" s="494" t="s">
        <v>416</v>
      </c>
      <c r="D502" s="499"/>
      <c r="E502" s="499"/>
      <c r="F502" s="402"/>
      <c r="G502" s="495">
        <v>463346</v>
      </c>
      <c r="H502" s="500"/>
    </row>
    <row r="503" spans="1:8" ht="30" customHeight="1" x14ac:dyDescent="0.2">
      <c r="A503" s="402"/>
      <c r="B503" s="402"/>
      <c r="C503" s="494" t="s">
        <v>415</v>
      </c>
      <c r="D503" s="499"/>
      <c r="E503" s="499"/>
      <c r="F503" s="402"/>
      <c r="G503" s="495">
        <v>859702</v>
      </c>
      <c r="H503" s="500"/>
    </row>
    <row r="505" spans="1:8" ht="15.75" customHeight="1" x14ac:dyDescent="0.2">
      <c r="A505" s="488" t="s">
        <v>317</v>
      </c>
      <c r="B505" s="489"/>
      <c r="C505" s="489"/>
      <c r="D505" s="489"/>
      <c r="E505" s="489"/>
      <c r="F505" s="489"/>
      <c r="G505" s="489"/>
      <c r="H505" s="489"/>
    </row>
    <row r="506" spans="1:8" s="203" customFormat="1" ht="15" customHeight="1" x14ac:dyDescent="0.2">
      <c r="C506" s="490" t="s">
        <v>314</v>
      </c>
      <c r="D506" s="497"/>
      <c r="E506" s="497"/>
      <c r="G506" s="491">
        <v>858909</v>
      </c>
      <c r="H506" s="498"/>
    </row>
    <row r="507" spans="1:8" ht="15" customHeight="1" x14ac:dyDescent="0.2">
      <c r="C507" s="492" t="s">
        <v>419</v>
      </c>
      <c r="D507" s="489"/>
      <c r="E507" s="489"/>
      <c r="G507" s="493">
        <v>100</v>
      </c>
      <c r="H507" s="480"/>
    </row>
    <row r="508" spans="1:8" ht="29.25" customHeight="1" x14ac:dyDescent="0.2">
      <c r="C508" s="492" t="s">
        <v>415</v>
      </c>
      <c r="D508" s="489"/>
      <c r="E508" s="489"/>
      <c r="G508" s="493">
        <v>858809</v>
      </c>
      <c r="H508" s="480"/>
    </row>
    <row r="509" spans="1:8" ht="12" customHeight="1" x14ac:dyDescent="0.2"/>
    <row r="510" spans="1:8" ht="15.75" customHeight="1" x14ac:dyDescent="0.2">
      <c r="A510" s="488" t="s">
        <v>341</v>
      </c>
      <c r="B510" s="489"/>
      <c r="C510" s="489"/>
      <c r="D510" s="489"/>
      <c r="E510" s="489"/>
      <c r="F510" s="489"/>
      <c r="G510" s="489"/>
      <c r="H510" s="489"/>
    </row>
    <row r="511" spans="1:8" s="203" customFormat="1" ht="15" customHeight="1" x14ac:dyDescent="0.2">
      <c r="C511" s="490" t="s">
        <v>314</v>
      </c>
      <c r="D511" s="497"/>
      <c r="E511" s="497"/>
      <c r="G511" s="491">
        <f>8571210+83250</f>
        <v>8654460</v>
      </c>
      <c r="H511" s="498"/>
    </row>
    <row r="512" spans="1:8" ht="15" customHeight="1" x14ac:dyDescent="0.2">
      <c r="C512" s="492" t="s">
        <v>420</v>
      </c>
      <c r="D512" s="489"/>
      <c r="E512" s="489"/>
      <c r="G512" s="493">
        <v>4683457</v>
      </c>
      <c r="H512" s="480"/>
    </row>
    <row r="513" spans="1:8" ht="15" customHeight="1" x14ac:dyDescent="0.2">
      <c r="C513" s="492" t="s">
        <v>419</v>
      </c>
      <c r="D513" s="489"/>
      <c r="E513" s="489"/>
      <c r="G513" s="493">
        <v>925453</v>
      </c>
      <c r="H513" s="480"/>
    </row>
    <row r="514" spans="1:8" ht="15" customHeight="1" x14ac:dyDescent="0.2">
      <c r="C514" s="492" t="s">
        <v>418</v>
      </c>
      <c r="D514" s="489"/>
      <c r="E514" s="489"/>
      <c r="G514" s="493">
        <f>2292600+83250</f>
        <v>2375850</v>
      </c>
      <c r="H514" s="480"/>
    </row>
    <row r="515" spans="1:8" ht="15" customHeight="1" x14ac:dyDescent="0.2">
      <c r="C515" s="492" t="s">
        <v>417</v>
      </c>
      <c r="D515" s="489"/>
      <c r="E515" s="489"/>
      <c r="G515" s="493">
        <v>669700</v>
      </c>
      <c r="H515" s="480"/>
    </row>
    <row r="516" spans="1:8" ht="8.25" customHeight="1" x14ac:dyDescent="0.2"/>
    <row r="517" spans="1:8" ht="15.75" customHeight="1" x14ac:dyDescent="0.2">
      <c r="A517" s="488" t="s">
        <v>342</v>
      </c>
      <c r="B517" s="489"/>
      <c r="C517" s="489"/>
      <c r="D517" s="489"/>
      <c r="E517" s="489"/>
      <c r="F517" s="489"/>
      <c r="G517" s="489"/>
      <c r="H517" s="489"/>
    </row>
    <row r="518" spans="1:8" s="203" customFormat="1" ht="15" customHeight="1" x14ac:dyDescent="0.2">
      <c r="C518" s="490" t="s">
        <v>314</v>
      </c>
      <c r="D518" s="497"/>
      <c r="E518" s="497"/>
      <c r="G518" s="491">
        <f>10924039+8750+60000</f>
        <v>10992789</v>
      </c>
      <c r="H518" s="498"/>
    </row>
    <row r="519" spans="1:8" ht="15" customHeight="1" x14ac:dyDescent="0.2">
      <c r="C519" s="492" t="s">
        <v>420</v>
      </c>
      <c r="D519" s="489"/>
      <c r="E519" s="489"/>
      <c r="G519" s="493">
        <v>7865875</v>
      </c>
      <c r="H519" s="480"/>
    </row>
    <row r="520" spans="1:8" ht="15" customHeight="1" x14ac:dyDescent="0.2">
      <c r="C520" s="492" t="s">
        <v>419</v>
      </c>
      <c r="D520" s="489"/>
      <c r="E520" s="489"/>
      <c r="G520" s="493">
        <v>2545688</v>
      </c>
      <c r="H520" s="480"/>
    </row>
    <row r="521" spans="1:8" ht="15" customHeight="1" x14ac:dyDescent="0.2">
      <c r="C521" s="492" t="s">
        <v>418</v>
      </c>
      <c r="D521" s="489"/>
      <c r="E521" s="489"/>
      <c r="G521" s="493">
        <f>231431+8750</f>
        <v>240181</v>
      </c>
      <c r="H521" s="480"/>
    </row>
    <row r="522" spans="1:8" ht="15" customHeight="1" x14ac:dyDescent="0.2">
      <c r="C522" s="492" t="s">
        <v>417</v>
      </c>
      <c r="D522" s="489"/>
      <c r="E522" s="489"/>
      <c r="G522" s="493">
        <f>250145+60000</f>
        <v>310145</v>
      </c>
      <c r="H522" s="480"/>
    </row>
    <row r="523" spans="1:8" ht="15" customHeight="1" x14ac:dyDescent="0.2">
      <c r="C523" s="492" t="s">
        <v>416</v>
      </c>
      <c r="D523" s="489"/>
      <c r="E523" s="489"/>
      <c r="G523" s="493">
        <v>30900</v>
      </c>
      <c r="H523" s="480"/>
    </row>
    <row r="524" spans="1:8" ht="9" customHeight="1" x14ac:dyDescent="0.2"/>
    <row r="525" spans="1:8" ht="31.5" customHeight="1" x14ac:dyDescent="0.2">
      <c r="A525" s="488" t="s">
        <v>810</v>
      </c>
      <c r="B525" s="489"/>
      <c r="C525" s="489"/>
      <c r="D525" s="489"/>
      <c r="E525" s="489"/>
      <c r="F525" s="489"/>
      <c r="G525" s="489"/>
      <c r="H525" s="489"/>
    </row>
    <row r="526" spans="1:8" s="203" customFormat="1" ht="15" customHeight="1" x14ac:dyDescent="0.2">
      <c r="C526" s="490" t="s">
        <v>314</v>
      </c>
      <c r="D526" s="497"/>
      <c r="E526" s="497"/>
      <c r="G526" s="491">
        <v>1583152</v>
      </c>
      <c r="H526" s="498"/>
    </row>
    <row r="527" spans="1:8" ht="15" customHeight="1" x14ac:dyDescent="0.2">
      <c r="C527" s="492" t="s">
        <v>420</v>
      </c>
      <c r="D527" s="489"/>
      <c r="E527" s="489"/>
      <c r="G527" s="493">
        <v>1209440</v>
      </c>
      <c r="H527" s="480"/>
    </row>
    <row r="528" spans="1:8" ht="15" customHeight="1" x14ac:dyDescent="0.2">
      <c r="C528" s="492" t="s">
        <v>419</v>
      </c>
      <c r="D528" s="489"/>
      <c r="E528" s="489"/>
      <c r="G528" s="493">
        <v>312907</v>
      </c>
      <c r="H528" s="480"/>
    </row>
    <row r="529" spans="1:8" ht="15" customHeight="1" x14ac:dyDescent="0.2">
      <c r="C529" s="492" t="s">
        <v>417</v>
      </c>
      <c r="D529" s="489"/>
      <c r="E529" s="489"/>
      <c r="G529" s="493">
        <v>60805</v>
      </c>
      <c r="H529" s="480"/>
    </row>
    <row r="530" spans="1:8" ht="9.75" customHeight="1" x14ac:dyDescent="0.2"/>
    <row r="531" spans="1:8" ht="15.75" customHeight="1" x14ac:dyDescent="0.2">
      <c r="A531" s="488" t="s">
        <v>343</v>
      </c>
      <c r="B531" s="489"/>
      <c r="C531" s="489"/>
      <c r="D531" s="489"/>
      <c r="E531" s="489"/>
      <c r="F531" s="489"/>
      <c r="G531" s="489"/>
      <c r="H531" s="489"/>
    </row>
    <row r="532" spans="1:8" s="203" customFormat="1" ht="15" customHeight="1" x14ac:dyDescent="0.2">
      <c r="C532" s="490" t="s">
        <v>314</v>
      </c>
      <c r="D532" s="497"/>
      <c r="E532" s="497"/>
      <c r="G532" s="491">
        <v>174058</v>
      </c>
      <c r="H532" s="498"/>
    </row>
    <row r="533" spans="1:8" ht="15" customHeight="1" x14ac:dyDescent="0.2">
      <c r="C533" s="492" t="s">
        <v>420</v>
      </c>
      <c r="D533" s="489"/>
      <c r="E533" s="489"/>
      <c r="G533" s="493">
        <v>450</v>
      </c>
      <c r="H533" s="480"/>
    </row>
    <row r="534" spans="1:8" ht="15" customHeight="1" x14ac:dyDescent="0.2">
      <c r="C534" s="492" t="s">
        <v>419</v>
      </c>
      <c r="D534" s="489"/>
      <c r="E534" s="489"/>
      <c r="G534" s="493">
        <v>172640</v>
      </c>
      <c r="H534" s="480"/>
    </row>
    <row r="535" spans="1:8" ht="15" customHeight="1" x14ac:dyDescent="0.2">
      <c r="C535" s="492" t="s">
        <v>417</v>
      </c>
      <c r="D535" s="489"/>
      <c r="E535" s="489"/>
      <c r="G535" s="493">
        <v>800</v>
      </c>
      <c r="H535" s="480"/>
    </row>
    <row r="536" spans="1:8" ht="30" customHeight="1" x14ac:dyDescent="0.2">
      <c r="C536" s="492" t="s">
        <v>415</v>
      </c>
      <c r="D536" s="489"/>
      <c r="E536" s="489"/>
      <c r="G536" s="493">
        <v>168</v>
      </c>
      <c r="H536" s="480"/>
    </row>
    <row r="538" spans="1:8" ht="15.75" customHeight="1" x14ac:dyDescent="0.2">
      <c r="A538" s="488" t="s">
        <v>344</v>
      </c>
      <c r="B538" s="489"/>
      <c r="C538" s="489"/>
      <c r="D538" s="489"/>
      <c r="E538" s="489"/>
      <c r="F538" s="489"/>
      <c r="G538" s="489"/>
      <c r="H538" s="489"/>
    </row>
    <row r="539" spans="1:8" s="203" customFormat="1" ht="15" customHeight="1" x14ac:dyDescent="0.2">
      <c r="C539" s="490" t="s">
        <v>314</v>
      </c>
      <c r="D539" s="497"/>
      <c r="E539" s="497"/>
      <c r="G539" s="491">
        <v>893785</v>
      </c>
      <c r="H539" s="498"/>
    </row>
    <row r="540" spans="1:8" ht="15" customHeight="1" x14ac:dyDescent="0.2">
      <c r="C540" s="492" t="s">
        <v>420</v>
      </c>
      <c r="D540" s="489"/>
      <c r="E540" s="489"/>
      <c r="G540" s="493">
        <v>641330</v>
      </c>
      <c r="H540" s="480"/>
    </row>
    <row r="541" spans="1:8" ht="15" customHeight="1" x14ac:dyDescent="0.2">
      <c r="C541" s="492" t="s">
        <v>419</v>
      </c>
      <c r="D541" s="489"/>
      <c r="E541" s="489"/>
      <c r="G541" s="493">
        <v>189189</v>
      </c>
      <c r="H541" s="480"/>
    </row>
    <row r="542" spans="1:8" ht="15" customHeight="1" x14ac:dyDescent="0.2">
      <c r="C542" s="492" t="s">
        <v>417</v>
      </c>
      <c r="D542" s="489"/>
      <c r="E542" s="489"/>
      <c r="G542" s="493">
        <v>3810</v>
      </c>
      <c r="H542" s="480"/>
    </row>
    <row r="543" spans="1:8" ht="15" customHeight="1" x14ac:dyDescent="0.2">
      <c r="C543" s="492" t="s">
        <v>416</v>
      </c>
      <c r="D543" s="489"/>
      <c r="E543" s="489"/>
      <c r="G543" s="493">
        <v>59456</v>
      </c>
      <c r="H543" s="480"/>
    </row>
    <row r="545" spans="1:8" ht="15.75" customHeight="1" x14ac:dyDescent="0.2">
      <c r="A545" s="488" t="s">
        <v>716</v>
      </c>
      <c r="B545" s="489"/>
      <c r="C545" s="489"/>
      <c r="D545" s="489"/>
      <c r="E545" s="489"/>
      <c r="F545" s="489"/>
      <c r="G545" s="489"/>
      <c r="H545" s="489"/>
    </row>
    <row r="546" spans="1:8" s="203" customFormat="1" ht="15" customHeight="1" x14ac:dyDescent="0.2">
      <c r="C546" s="490" t="s">
        <v>314</v>
      </c>
      <c r="D546" s="497"/>
      <c r="E546" s="497"/>
      <c r="G546" s="491">
        <v>742748</v>
      </c>
      <c r="H546" s="498"/>
    </row>
    <row r="547" spans="1:8" ht="15" customHeight="1" x14ac:dyDescent="0.2">
      <c r="C547" s="492" t="s">
        <v>420</v>
      </c>
      <c r="D547" s="489"/>
      <c r="E547" s="489"/>
      <c r="G547" s="493">
        <v>320091</v>
      </c>
      <c r="H547" s="480"/>
    </row>
    <row r="548" spans="1:8" ht="15" customHeight="1" x14ac:dyDescent="0.2">
      <c r="C548" s="492" t="s">
        <v>419</v>
      </c>
      <c r="D548" s="489"/>
      <c r="E548" s="489"/>
      <c r="G548" s="493">
        <v>323917</v>
      </c>
      <c r="H548" s="480"/>
    </row>
    <row r="549" spans="1:8" ht="15" customHeight="1" x14ac:dyDescent="0.2">
      <c r="C549" s="492" t="s">
        <v>416</v>
      </c>
      <c r="D549" s="489"/>
      <c r="E549" s="489"/>
      <c r="G549" s="493">
        <v>98740</v>
      </c>
      <c r="H549" s="480"/>
    </row>
    <row r="551" spans="1:8" ht="15.75" customHeight="1" x14ac:dyDescent="0.2">
      <c r="A551" s="488" t="s">
        <v>434</v>
      </c>
      <c r="B551" s="489"/>
      <c r="C551" s="489"/>
      <c r="D551" s="489"/>
      <c r="E551" s="489"/>
      <c r="F551" s="489"/>
      <c r="G551" s="489"/>
      <c r="H551" s="489"/>
    </row>
    <row r="552" spans="1:8" s="203" customFormat="1" ht="15" customHeight="1" x14ac:dyDescent="0.2">
      <c r="C552" s="490" t="s">
        <v>314</v>
      </c>
      <c r="D552" s="497"/>
      <c r="E552" s="497"/>
      <c r="G552" s="491">
        <v>922078</v>
      </c>
      <c r="H552" s="498"/>
    </row>
    <row r="553" spans="1:8" ht="15" customHeight="1" x14ac:dyDescent="0.2">
      <c r="C553" s="492" t="s">
        <v>420</v>
      </c>
      <c r="D553" s="489"/>
      <c r="E553" s="489"/>
      <c r="G553" s="493">
        <v>657265</v>
      </c>
      <c r="H553" s="480"/>
    </row>
    <row r="554" spans="1:8" ht="15" customHeight="1" x14ac:dyDescent="0.2">
      <c r="C554" s="492" t="s">
        <v>419</v>
      </c>
      <c r="D554" s="489"/>
      <c r="E554" s="489"/>
      <c r="G554" s="493">
        <v>247314</v>
      </c>
      <c r="H554" s="480"/>
    </row>
    <row r="555" spans="1:8" ht="15" customHeight="1" x14ac:dyDescent="0.2">
      <c r="C555" s="492" t="s">
        <v>418</v>
      </c>
      <c r="D555" s="489"/>
      <c r="E555" s="489"/>
      <c r="G555" s="493">
        <v>14588</v>
      </c>
      <c r="H555" s="480"/>
    </row>
    <row r="556" spans="1:8" ht="15" customHeight="1" x14ac:dyDescent="0.2">
      <c r="C556" s="492" t="s">
        <v>417</v>
      </c>
      <c r="D556" s="489"/>
      <c r="E556" s="489"/>
      <c r="G556" s="493">
        <v>2911</v>
      </c>
      <c r="H556" s="480"/>
    </row>
    <row r="558" spans="1:8" ht="15.75" customHeight="1" x14ac:dyDescent="0.2">
      <c r="A558" s="488" t="s">
        <v>345</v>
      </c>
      <c r="B558" s="489"/>
      <c r="C558" s="489"/>
      <c r="D558" s="489"/>
      <c r="E558" s="489"/>
      <c r="F558" s="489"/>
      <c r="G558" s="489"/>
      <c r="H558" s="489"/>
    </row>
    <row r="559" spans="1:8" s="203" customFormat="1" ht="15" customHeight="1" x14ac:dyDescent="0.2">
      <c r="C559" s="490" t="s">
        <v>314</v>
      </c>
      <c r="D559" s="497"/>
      <c r="E559" s="497"/>
      <c r="G559" s="491">
        <v>252348</v>
      </c>
      <c r="H559" s="498"/>
    </row>
    <row r="560" spans="1:8" ht="15" customHeight="1" x14ac:dyDescent="0.2">
      <c r="C560" s="492" t="s">
        <v>420</v>
      </c>
      <c r="D560" s="489"/>
      <c r="E560" s="489"/>
      <c r="G560" s="493">
        <v>203750</v>
      </c>
      <c r="H560" s="480"/>
    </row>
    <row r="561" spans="1:8" ht="15" customHeight="1" x14ac:dyDescent="0.2">
      <c r="C561" s="492" t="s">
        <v>419</v>
      </c>
      <c r="D561" s="489"/>
      <c r="E561" s="489"/>
      <c r="G561" s="493">
        <v>47873</v>
      </c>
      <c r="H561" s="480"/>
    </row>
    <row r="562" spans="1:8" ht="30" customHeight="1" x14ac:dyDescent="0.2">
      <c r="C562" s="492" t="s">
        <v>415</v>
      </c>
      <c r="D562" s="489"/>
      <c r="E562" s="489"/>
      <c r="G562" s="493">
        <v>725</v>
      </c>
      <c r="H562" s="480"/>
    </row>
    <row r="564" spans="1:8" ht="15.75" customHeight="1" x14ac:dyDescent="0.2">
      <c r="A564" s="488" t="s">
        <v>433</v>
      </c>
      <c r="B564" s="489"/>
      <c r="C564" s="489"/>
      <c r="D564" s="489"/>
      <c r="E564" s="489"/>
      <c r="F564" s="489"/>
      <c r="G564" s="489"/>
      <c r="H564" s="489"/>
    </row>
    <row r="565" spans="1:8" s="203" customFormat="1" ht="15" customHeight="1" x14ac:dyDescent="0.2">
      <c r="C565" s="490" t="s">
        <v>314</v>
      </c>
      <c r="D565" s="497"/>
      <c r="E565" s="497"/>
      <c r="G565" s="491">
        <v>728166</v>
      </c>
      <c r="H565" s="498"/>
    </row>
    <row r="566" spans="1:8" ht="15" customHeight="1" x14ac:dyDescent="0.2">
      <c r="C566" s="492" t="s">
        <v>420</v>
      </c>
      <c r="D566" s="489"/>
      <c r="E566" s="489"/>
      <c r="G566" s="493">
        <v>628456</v>
      </c>
      <c r="H566" s="480"/>
    </row>
    <row r="567" spans="1:8" ht="15" customHeight="1" x14ac:dyDescent="0.2">
      <c r="C567" s="492" t="s">
        <v>419</v>
      </c>
      <c r="D567" s="489"/>
      <c r="E567" s="489"/>
      <c r="G567" s="493">
        <v>94710</v>
      </c>
      <c r="H567" s="480"/>
    </row>
    <row r="568" spans="1:8" ht="15" customHeight="1" x14ac:dyDescent="0.2">
      <c r="C568" s="492" t="s">
        <v>416</v>
      </c>
      <c r="D568" s="489"/>
      <c r="E568" s="489"/>
      <c r="G568" s="493">
        <v>5000</v>
      </c>
      <c r="H568" s="480"/>
    </row>
    <row r="570" spans="1:8" ht="15.75" customHeight="1" x14ac:dyDescent="0.2">
      <c r="A570" s="488" t="s">
        <v>432</v>
      </c>
      <c r="B570" s="489"/>
      <c r="C570" s="489"/>
      <c r="D570" s="489"/>
      <c r="E570" s="489"/>
      <c r="F570" s="489"/>
      <c r="G570" s="489"/>
      <c r="H570" s="489"/>
    </row>
    <row r="571" spans="1:8" s="203" customFormat="1" ht="15" customHeight="1" x14ac:dyDescent="0.2">
      <c r="C571" s="490" t="s">
        <v>314</v>
      </c>
      <c r="D571" s="497"/>
      <c r="E571" s="497"/>
      <c r="G571" s="491">
        <v>639339</v>
      </c>
      <c r="H571" s="498"/>
    </row>
    <row r="572" spans="1:8" ht="15" customHeight="1" x14ac:dyDescent="0.2">
      <c r="C572" s="492" t="s">
        <v>420</v>
      </c>
      <c r="D572" s="489"/>
      <c r="E572" s="489"/>
      <c r="G572" s="493">
        <v>549119</v>
      </c>
      <c r="H572" s="480"/>
    </row>
    <row r="573" spans="1:8" ht="15" customHeight="1" x14ac:dyDescent="0.2">
      <c r="C573" s="492" t="s">
        <v>419</v>
      </c>
      <c r="D573" s="489"/>
      <c r="E573" s="489"/>
      <c r="G573" s="493">
        <v>86380</v>
      </c>
      <c r="H573" s="480"/>
    </row>
    <row r="574" spans="1:8" ht="15" customHeight="1" x14ac:dyDescent="0.2">
      <c r="C574" s="492" t="s">
        <v>418</v>
      </c>
      <c r="D574" s="489"/>
      <c r="E574" s="489"/>
      <c r="G574" s="493">
        <v>640</v>
      </c>
      <c r="H574" s="480"/>
    </row>
    <row r="575" spans="1:8" ht="15" customHeight="1" x14ac:dyDescent="0.2">
      <c r="C575" s="492" t="s">
        <v>417</v>
      </c>
      <c r="D575" s="489"/>
      <c r="E575" s="489"/>
      <c r="G575" s="493">
        <v>3200</v>
      </c>
      <c r="H575" s="480"/>
    </row>
    <row r="577" spans="1:8" ht="15.75" customHeight="1" x14ac:dyDescent="0.2">
      <c r="A577" s="488" t="s">
        <v>431</v>
      </c>
      <c r="B577" s="489"/>
      <c r="C577" s="489"/>
      <c r="D577" s="489"/>
      <c r="E577" s="489"/>
      <c r="F577" s="489"/>
      <c r="G577" s="489"/>
      <c r="H577" s="489"/>
    </row>
    <row r="578" spans="1:8" s="203" customFormat="1" ht="15" customHeight="1" x14ac:dyDescent="0.2">
      <c r="C578" s="490" t="s">
        <v>314</v>
      </c>
      <c r="D578" s="497"/>
      <c r="E578" s="497"/>
      <c r="G578" s="491">
        <v>76730</v>
      </c>
      <c r="H578" s="498"/>
    </row>
    <row r="579" spans="1:8" ht="15" customHeight="1" x14ac:dyDescent="0.2">
      <c r="C579" s="492" t="s">
        <v>420</v>
      </c>
      <c r="D579" s="489"/>
      <c r="E579" s="489"/>
      <c r="G579" s="493">
        <v>70745</v>
      </c>
      <c r="H579" s="480"/>
    </row>
    <row r="580" spans="1:8" ht="15" customHeight="1" x14ac:dyDescent="0.2">
      <c r="C580" s="492" t="s">
        <v>419</v>
      </c>
      <c r="D580" s="489"/>
      <c r="E580" s="489"/>
      <c r="G580" s="493">
        <v>5985</v>
      </c>
      <c r="H580" s="480"/>
    </row>
    <row r="582" spans="1:8" ht="15.75" customHeight="1" x14ac:dyDescent="0.2">
      <c r="A582" s="488" t="s">
        <v>357</v>
      </c>
      <c r="B582" s="489"/>
      <c r="C582" s="489"/>
      <c r="D582" s="489"/>
      <c r="E582" s="489"/>
      <c r="F582" s="489"/>
      <c r="G582" s="489"/>
      <c r="H582" s="489"/>
    </row>
    <row r="583" spans="1:8" s="203" customFormat="1" ht="15" customHeight="1" x14ac:dyDescent="0.2">
      <c r="C583" s="490" t="s">
        <v>314</v>
      </c>
      <c r="D583" s="497"/>
      <c r="E583" s="497"/>
      <c r="G583" s="491">
        <v>269250</v>
      </c>
      <c r="H583" s="498"/>
    </row>
    <row r="584" spans="1:8" ht="15" customHeight="1" x14ac:dyDescent="0.2">
      <c r="C584" s="492" t="s">
        <v>416</v>
      </c>
      <c r="D584" s="489"/>
      <c r="E584" s="489"/>
      <c r="G584" s="493">
        <v>269250</v>
      </c>
      <c r="H584" s="480"/>
    </row>
    <row r="586" spans="1:8" ht="31.5" customHeight="1" x14ac:dyDescent="0.2">
      <c r="A586" s="486" t="s">
        <v>816</v>
      </c>
      <c r="B586" s="499"/>
      <c r="C586" s="499"/>
      <c r="D586" s="499"/>
      <c r="E586" s="499"/>
      <c r="F586" s="499"/>
      <c r="G586" s="499"/>
      <c r="H586" s="499"/>
    </row>
    <row r="587" spans="1:8" ht="15" customHeight="1" x14ac:dyDescent="0.2">
      <c r="A587" s="402"/>
      <c r="B587" s="402"/>
      <c r="C587" s="494" t="s">
        <v>314</v>
      </c>
      <c r="D587" s="499"/>
      <c r="E587" s="499"/>
      <c r="F587" s="402"/>
      <c r="G587" s="495">
        <v>194725</v>
      </c>
      <c r="H587" s="500"/>
    </row>
    <row r="588" spans="1:8" ht="15" customHeight="1" x14ac:dyDescent="0.2">
      <c r="A588" s="402"/>
      <c r="B588" s="402"/>
      <c r="C588" s="494" t="s">
        <v>420</v>
      </c>
      <c r="D588" s="499"/>
      <c r="E588" s="499"/>
      <c r="F588" s="402"/>
      <c r="G588" s="495">
        <v>168854</v>
      </c>
      <c r="H588" s="500"/>
    </row>
    <row r="589" spans="1:8" ht="15" customHeight="1" x14ac:dyDescent="0.2">
      <c r="A589" s="402"/>
      <c r="B589" s="402"/>
      <c r="C589" s="494" t="s">
        <v>419</v>
      </c>
      <c r="D589" s="499"/>
      <c r="E589" s="499"/>
      <c r="F589" s="402"/>
      <c r="G589" s="495">
        <v>25871</v>
      </c>
      <c r="H589" s="500"/>
    </row>
    <row r="591" spans="1:8" ht="15.75" customHeight="1" x14ac:dyDescent="0.2">
      <c r="A591" s="488" t="s">
        <v>428</v>
      </c>
      <c r="B591" s="489"/>
      <c r="C591" s="489"/>
      <c r="D591" s="489"/>
      <c r="E591" s="489"/>
      <c r="F591" s="489"/>
      <c r="G591" s="489"/>
      <c r="H591" s="489"/>
    </row>
    <row r="592" spans="1:8" s="203" customFormat="1" ht="15" customHeight="1" x14ac:dyDescent="0.2">
      <c r="C592" s="490" t="s">
        <v>314</v>
      </c>
      <c r="D592" s="497"/>
      <c r="E592" s="497"/>
      <c r="G592" s="491">
        <v>194725</v>
      </c>
      <c r="H592" s="498"/>
    </row>
    <row r="593" spans="1:8" ht="15" customHeight="1" x14ac:dyDescent="0.2">
      <c r="C593" s="492" t="s">
        <v>420</v>
      </c>
      <c r="D593" s="489"/>
      <c r="E593" s="489"/>
      <c r="G593" s="493">
        <v>168854</v>
      </c>
      <c r="H593" s="480"/>
    </row>
    <row r="594" spans="1:8" ht="15" customHeight="1" x14ac:dyDescent="0.2">
      <c r="C594" s="492" t="s">
        <v>419</v>
      </c>
      <c r="D594" s="489"/>
      <c r="E594" s="489"/>
      <c r="G594" s="493">
        <v>25871</v>
      </c>
      <c r="H594" s="480"/>
    </row>
    <row r="596" spans="1:8" ht="31.5" customHeight="1" x14ac:dyDescent="0.2">
      <c r="A596" s="486" t="s">
        <v>817</v>
      </c>
      <c r="B596" s="499"/>
      <c r="C596" s="499"/>
      <c r="D596" s="499"/>
      <c r="E596" s="499"/>
      <c r="F596" s="499"/>
      <c r="G596" s="499"/>
      <c r="H596" s="499"/>
    </row>
    <row r="597" spans="1:8" ht="15" customHeight="1" x14ac:dyDescent="0.2">
      <c r="A597" s="402"/>
      <c r="B597" s="402"/>
      <c r="C597" s="494" t="s">
        <v>314</v>
      </c>
      <c r="D597" s="499"/>
      <c r="E597" s="499"/>
      <c r="F597" s="402"/>
      <c r="G597" s="495">
        <v>5170757</v>
      </c>
      <c r="H597" s="500"/>
    </row>
    <row r="598" spans="1:8" ht="15" customHeight="1" x14ac:dyDescent="0.2">
      <c r="A598" s="402"/>
      <c r="B598" s="402"/>
      <c r="C598" s="494" t="s">
        <v>420</v>
      </c>
      <c r="D598" s="499"/>
      <c r="E598" s="499"/>
      <c r="F598" s="402"/>
      <c r="G598" s="495">
        <v>1921581</v>
      </c>
      <c r="H598" s="500"/>
    </row>
    <row r="599" spans="1:8" ht="15" customHeight="1" x14ac:dyDescent="0.2">
      <c r="A599" s="402"/>
      <c r="B599" s="402"/>
      <c r="C599" s="494" t="s">
        <v>419</v>
      </c>
      <c r="D599" s="499"/>
      <c r="E599" s="499"/>
      <c r="F599" s="402"/>
      <c r="G599" s="495">
        <v>409335</v>
      </c>
      <c r="H599" s="500"/>
    </row>
    <row r="600" spans="1:8" ht="15" customHeight="1" x14ac:dyDescent="0.2">
      <c r="A600" s="402"/>
      <c r="B600" s="402"/>
      <c r="C600" s="494" t="s">
        <v>418</v>
      </c>
      <c r="D600" s="499"/>
      <c r="E600" s="499"/>
      <c r="F600" s="402"/>
      <c r="G600" s="495">
        <v>928</v>
      </c>
      <c r="H600" s="500"/>
    </row>
    <row r="601" spans="1:8" ht="15" customHeight="1" x14ac:dyDescent="0.2">
      <c r="A601" s="402"/>
      <c r="B601" s="402"/>
      <c r="C601" s="494" t="s">
        <v>417</v>
      </c>
      <c r="D601" s="499"/>
      <c r="E601" s="499"/>
      <c r="F601" s="402"/>
      <c r="G601" s="495">
        <v>9100</v>
      </c>
      <c r="H601" s="500"/>
    </row>
    <row r="602" spans="1:8" ht="15" customHeight="1" x14ac:dyDescent="0.2">
      <c r="A602" s="402"/>
      <c r="B602" s="402"/>
      <c r="C602" s="494" t="s">
        <v>416</v>
      </c>
      <c r="D602" s="499"/>
      <c r="E602" s="499"/>
      <c r="F602" s="402"/>
      <c r="G602" s="495">
        <v>2176778</v>
      </c>
      <c r="H602" s="500"/>
    </row>
    <row r="603" spans="1:8" ht="30" customHeight="1" x14ac:dyDescent="0.2">
      <c r="A603" s="402"/>
      <c r="B603" s="402"/>
      <c r="C603" s="494" t="s">
        <v>415</v>
      </c>
      <c r="D603" s="499"/>
      <c r="E603" s="499"/>
      <c r="F603" s="402"/>
      <c r="G603" s="495">
        <v>653035</v>
      </c>
      <c r="H603" s="500"/>
    </row>
    <row r="605" spans="1:8" ht="15.75" customHeight="1" x14ac:dyDescent="0.2">
      <c r="A605" s="488" t="s">
        <v>318</v>
      </c>
      <c r="B605" s="489"/>
      <c r="C605" s="489"/>
      <c r="D605" s="489"/>
      <c r="E605" s="489"/>
      <c r="F605" s="489"/>
      <c r="G605" s="489"/>
      <c r="H605" s="489"/>
    </row>
    <row r="606" spans="1:8" s="203" customFormat="1" ht="15" customHeight="1" x14ac:dyDescent="0.2">
      <c r="C606" s="490" t="s">
        <v>314</v>
      </c>
      <c r="D606" s="497"/>
      <c r="E606" s="497"/>
      <c r="G606" s="491">
        <v>650157</v>
      </c>
      <c r="H606" s="498"/>
    </row>
    <row r="607" spans="1:8" ht="30" customHeight="1" x14ac:dyDescent="0.2">
      <c r="C607" s="492" t="s">
        <v>415</v>
      </c>
      <c r="D607" s="489"/>
      <c r="E607" s="489"/>
      <c r="G607" s="493">
        <v>650157</v>
      </c>
      <c r="H607" s="480"/>
    </row>
    <row r="609" spans="1:8" ht="15.75" customHeight="1" x14ac:dyDescent="0.2">
      <c r="A609" s="488" t="s">
        <v>329</v>
      </c>
      <c r="B609" s="489"/>
      <c r="C609" s="489"/>
      <c r="D609" s="489"/>
      <c r="E609" s="489"/>
      <c r="F609" s="489"/>
      <c r="G609" s="489"/>
      <c r="H609" s="489"/>
    </row>
    <row r="610" spans="1:8" s="203" customFormat="1" ht="15" customHeight="1" x14ac:dyDescent="0.2">
      <c r="C610" s="490" t="s">
        <v>314</v>
      </c>
      <c r="D610" s="497"/>
      <c r="E610" s="497"/>
      <c r="G610" s="491">
        <v>67600</v>
      </c>
      <c r="H610" s="498"/>
    </row>
    <row r="611" spans="1:8" ht="15" customHeight="1" x14ac:dyDescent="0.2">
      <c r="C611" s="492" t="s">
        <v>416</v>
      </c>
      <c r="D611" s="489"/>
      <c r="E611" s="489"/>
      <c r="G611" s="493">
        <v>67600</v>
      </c>
      <c r="H611" s="480"/>
    </row>
    <row r="613" spans="1:8" ht="15.75" customHeight="1" x14ac:dyDescent="0.2">
      <c r="A613" s="488" t="s">
        <v>330</v>
      </c>
      <c r="B613" s="489"/>
      <c r="C613" s="489"/>
      <c r="D613" s="489"/>
      <c r="E613" s="489"/>
      <c r="F613" s="489"/>
      <c r="G613" s="489"/>
      <c r="H613" s="489"/>
    </row>
    <row r="614" spans="1:8" s="203" customFormat="1" ht="15" customHeight="1" x14ac:dyDescent="0.2">
      <c r="C614" s="490" t="s">
        <v>314</v>
      </c>
      <c r="D614" s="497"/>
      <c r="E614" s="497"/>
      <c r="G614" s="491">
        <v>12400</v>
      </c>
      <c r="H614" s="498"/>
    </row>
    <row r="615" spans="1:8" ht="15" customHeight="1" x14ac:dyDescent="0.2">
      <c r="C615" s="492" t="s">
        <v>416</v>
      </c>
      <c r="D615" s="489"/>
      <c r="E615" s="489"/>
      <c r="G615" s="493">
        <v>12400</v>
      </c>
      <c r="H615" s="480"/>
    </row>
    <row r="617" spans="1:8" ht="15.75" customHeight="1" x14ac:dyDescent="0.2">
      <c r="A617" s="488" t="s">
        <v>331</v>
      </c>
      <c r="B617" s="489"/>
      <c r="C617" s="489"/>
      <c r="D617" s="489"/>
      <c r="E617" s="489"/>
      <c r="F617" s="489"/>
      <c r="G617" s="489"/>
      <c r="H617" s="489"/>
    </row>
    <row r="618" spans="1:8" s="203" customFormat="1" ht="15" customHeight="1" x14ac:dyDescent="0.2">
      <c r="C618" s="490" t="s">
        <v>314</v>
      </c>
      <c r="D618" s="497"/>
      <c r="E618" s="497"/>
      <c r="G618" s="491">
        <v>37500</v>
      </c>
      <c r="H618" s="498"/>
    </row>
    <row r="619" spans="1:8" ht="15" customHeight="1" x14ac:dyDescent="0.2">
      <c r="C619" s="492" t="s">
        <v>416</v>
      </c>
      <c r="D619" s="489"/>
      <c r="E619" s="489"/>
      <c r="G619" s="493">
        <v>37500</v>
      </c>
      <c r="H619" s="480"/>
    </row>
    <row r="621" spans="1:8" ht="15.75" customHeight="1" x14ac:dyDescent="0.2">
      <c r="A621" s="488" t="s">
        <v>332</v>
      </c>
      <c r="B621" s="489"/>
      <c r="C621" s="489"/>
      <c r="D621" s="489"/>
      <c r="E621" s="489"/>
      <c r="F621" s="489"/>
      <c r="G621" s="489"/>
      <c r="H621" s="489"/>
    </row>
    <row r="622" spans="1:8" s="203" customFormat="1" ht="15" customHeight="1" x14ac:dyDescent="0.2">
      <c r="C622" s="490" t="s">
        <v>314</v>
      </c>
      <c r="D622" s="497"/>
      <c r="E622" s="497"/>
      <c r="G622" s="491">
        <v>4750</v>
      </c>
      <c r="H622" s="498"/>
    </row>
    <row r="623" spans="1:8" ht="15" customHeight="1" x14ac:dyDescent="0.2">
      <c r="C623" s="492" t="s">
        <v>419</v>
      </c>
      <c r="D623" s="489"/>
      <c r="E623" s="489"/>
      <c r="G623" s="493">
        <v>4750</v>
      </c>
      <c r="H623" s="480"/>
    </row>
    <row r="625" spans="1:8" ht="15.75" customHeight="1" x14ac:dyDescent="0.2">
      <c r="A625" s="488" t="s">
        <v>427</v>
      </c>
      <c r="B625" s="489"/>
      <c r="C625" s="489"/>
      <c r="D625" s="489"/>
      <c r="E625" s="489"/>
      <c r="F625" s="489"/>
      <c r="G625" s="489"/>
      <c r="H625" s="489"/>
    </row>
    <row r="626" spans="1:8" s="203" customFormat="1" ht="15" customHeight="1" x14ac:dyDescent="0.2">
      <c r="C626" s="490" t="s">
        <v>314</v>
      </c>
      <c r="D626" s="497"/>
      <c r="E626" s="497"/>
      <c r="G626" s="491">
        <v>460677</v>
      </c>
      <c r="H626" s="498"/>
    </row>
    <row r="627" spans="1:8" ht="15" customHeight="1" x14ac:dyDescent="0.2">
      <c r="C627" s="492" t="s">
        <v>420</v>
      </c>
      <c r="D627" s="489"/>
      <c r="E627" s="489"/>
      <c r="G627" s="493">
        <v>318913</v>
      </c>
      <c r="H627" s="480"/>
    </row>
    <row r="628" spans="1:8" ht="15" customHeight="1" x14ac:dyDescent="0.2">
      <c r="C628" s="492" t="s">
        <v>419</v>
      </c>
      <c r="D628" s="489"/>
      <c r="E628" s="489"/>
      <c r="G628" s="493">
        <v>7521</v>
      </c>
      <c r="H628" s="480"/>
    </row>
    <row r="629" spans="1:8" ht="15" customHeight="1" x14ac:dyDescent="0.2">
      <c r="C629" s="492" t="s">
        <v>416</v>
      </c>
      <c r="D629" s="489"/>
      <c r="E629" s="489"/>
      <c r="G629" s="493">
        <v>134243</v>
      </c>
      <c r="H629" s="480"/>
    </row>
    <row r="631" spans="1:8" ht="15.75" customHeight="1" x14ac:dyDescent="0.2">
      <c r="A631" s="488" t="s">
        <v>717</v>
      </c>
      <c r="B631" s="489"/>
      <c r="C631" s="489"/>
      <c r="D631" s="489"/>
      <c r="E631" s="489"/>
      <c r="F631" s="489"/>
      <c r="G631" s="489"/>
      <c r="H631" s="489"/>
    </row>
    <row r="632" spans="1:8" s="203" customFormat="1" ht="15" customHeight="1" x14ac:dyDescent="0.2">
      <c r="C632" s="490" t="s">
        <v>314</v>
      </c>
      <c r="D632" s="497"/>
      <c r="E632" s="497"/>
      <c r="G632" s="491">
        <v>93264</v>
      </c>
      <c r="H632" s="498"/>
    </row>
    <row r="633" spans="1:8" ht="15" customHeight="1" x14ac:dyDescent="0.2">
      <c r="C633" s="492" t="s">
        <v>420</v>
      </c>
      <c r="D633" s="489"/>
      <c r="E633" s="489"/>
      <c r="G633" s="493">
        <v>74291</v>
      </c>
      <c r="H633" s="480"/>
    </row>
    <row r="634" spans="1:8" ht="15" customHeight="1" x14ac:dyDescent="0.2">
      <c r="C634" s="492" t="s">
        <v>419</v>
      </c>
      <c r="D634" s="489"/>
      <c r="E634" s="489"/>
      <c r="G634" s="493">
        <v>18973</v>
      </c>
      <c r="H634" s="480"/>
    </row>
    <row r="636" spans="1:8" ht="15.75" customHeight="1" x14ac:dyDescent="0.2">
      <c r="A636" s="488" t="s">
        <v>426</v>
      </c>
      <c r="B636" s="489"/>
      <c r="C636" s="489"/>
      <c r="D636" s="489"/>
      <c r="E636" s="489"/>
      <c r="F636" s="489"/>
      <c r="G636" s="489"/>
      <c r="H636" s="489"/>
    </row>
    <row r="637" spans="1:8" s="203" customFormat="1" ht="15" customHeight="1" x14ac:dyDescent="0.2">
      <c r="C637" s="490" t="s">
        <v>314</v>
      </c>
      <c r="D637" s="497"/>
      <c r="E637" s="497"/>
      <c r="G637" s="491">
        <v>88426</v>
      </c>
      <c r="H637" s="498"/>
    </row>
    <row r="638" spans="1:8" ht="15" customHeight="1" x14ac:dyDescent="0.2">
      <c r="C638" s="492" t="s">
        <v>420</v>
      </c>
      <c r="D638" s="489"/>
      <c r="E638" s="489"/>
      <c r="G638" s="493">
        <v>70312</v>
      </c>
      <c r="H638" s="480"/>
    </row>
    <row r="639" spans="1:8" ht="15" customHeight="1" x14ac:dyDescent="0.2">
      <c r="C639" s="492" t="s">
        <v>419</v>
      </c>
      <c r="D639" s="489"/>
      <c r="E639" s="489"/>
      <c r="G639" s="493">
        <v>18114</v>
      </c>
      <c r="H639" s="480"/>
    </row>
    <row r="641" spans="1:8" ht="15.75" customHeight="1" x14ac:dyDescent="0.2">
      <c r="A641" s="488" t="s">
        <v>425</v>
      </c>
      <c r="B641" s="489"/>
      <c r="C641" s="489"/>
      <c r="D641" s="489"/>
      <c r="E641" s="489"/>
      <c r="F641" s="489"/>
      <c r="G641" s="489"/>
      <c r="H641" s="489"/>
    </row>
    <row r="642" spans="1:8" s="203" customFormat="1" ht="15" customHeight="1" x14ac:dyDescent="0.2">
      <c r="C642" s="490" t="s">
        <v>314</v>
      </c>
      <c r="D642" s="497"/>
      <c r="E642" s="497"/>
      <c r="G642" s="491">
        <v>67806</v>
      </c>
      <c r="H642" s="498"/>
    </row>
    <row r="643" spans="1:8" ht="15" customHeight="1" x14ac:dyDescent="0.2">
      <c r="C643" s="492" t="s">
        <v>420</v>
      </c>
      <c r="D643" s="489"/>
      <c r="E643" s="489"/>
      <c r="G643" s="493">
        <v>45928</v>
      </c>
      <c r="H643" s="480"/>
    </row>
    <row r="644" spans="1:8" ht="15" customHeight="1" x14ac:dyDescent="0.2">
      <c r="C644" s="492" t="s">
        <v>419</v>
      </c>
      <c r="D644" s="489"/>
      <c r="E644" s="489"/>
      <c r="G644" s="493">
        <v>21878</v>
      </c>
      <c r="H644" s="480"/>
    </row>
    <row r="646" spans="1:8" ht="15.75" customHeight="1" x14ac:dyDescent="0.2">
      <c r="A646" s="488" t="s">
        <v>349</v>
      </c>
      <c r="B646" s="489"/>
      <c r="C646" s="489"/>
      <c r="D646" s="489"/>
      <c r="E646" s="489"/>
      <c r="F646" s="489"/>
      <c r="G646" s="489"/>
      <c r="H646" s="489"/>
    </row>
    <row r="647" spans="1:8" s="203" customFormat="1" ht="15" customHeight="1" x14ac:dyDescent="0.2">
      <c r="C647" s="490" t="s">
        <v>314</v>
      </c>
      <c r="D647" s="497"/>
      <c r="E647" s="497"/>
      <c r="G647" s="491">
        <v>117176</v>
      </c>
      <c r="H647" s="498"/>
    </row>
    <row r="648" spans="1:8" ht="15" customHeight="1" x14ac:dyDescent="0.2">
      <c r="C648" s="492" t="s">
        <v>420</v>
      </c>
      <c r="D648" s="489"/>
      <c r="E648" s="489"/>
      <c r="G648" s="493">
        <v>87831</v>
      </c>
      <c r="H648" s="480"/>
    </row>
    <row r="649" spans="1:8" ht="15" customHeight="1" x14ac:dyDescent="0.2">
      <c r="C649" s="492" t="s">
        <v>419</v>
      </c>
      <c r="D649" s="489"/>
      <c r="E649" s="489"/>
      <c r="G649" s="493">
        <v>28045</v>
      </c>
      <c r="H649" s="480"/>
    </row>
    <row r="650" spans="1:8" ht="15" customHeight="1" x14ac:dyDescent="0.2">
      <c r="C650" s="492" t="s">
        <v>417</v>
      </c>
      <c r="D650" s="489"/>
      <c r="E650" s="489"/>
      <c r="G650" s="493">
        <v>1300</v>
      </c>
      <c r="H650" s="480"/>
    </row>
    <row r="652" spans="1:8" ht="31.5" customHeight="1" x14ac:dyDescent="0.2">
      <c r="A652" s="488" t="s">
        <v>811</v>
      </c>
      <c r="B652" s="489"/>
      <c r="C652" s="489"/>
      <c r="D652" s="489"/>
      <c r="E652" s="489"/>
      <c r="F652" s="489"/>
      <c r="G652" s="489"/>
      <c r="H652" s="489"/>
    </row>
    <row r="653" spans="1:8" s="203" customFormat="1" ht="15" customHeight="1" x14ac:dyDescent="0.2">
      <c r="C653" s="490" t="s">
        <v>314</v>
      </c>
      <c r="D653" s="497"/>
      <c r="E653" s="497"/>
      <c r="G653" s="491">
        <v>146523</v>
      </c>
      <c r="H653" s="498"/>
    </row>
    <row r="654" spans="1:8" ht="15" customHeight="1" x14ac:dyDescent="0.2">
      <c r="C654" s="492" t="s">
        <v>420</v>
      </c>
      <c r="D654" s="489"/>
      <c r="E654" s="489"/>
      <c r="G654" s="493">
        <v>23935</v>
      </c>
      <c r="H654" s="480"/>
    </row>
    <row r="655" spans="1:8" ht="15" customHeight="1" x14ac:dyDescent="0.2">
      <c r="C655" s="492" t="s">
        <v>419</v>
      </c>
      <c r="D655" s="489"/>
      <c r="E655" s="489"/>
      <c r="G655" s="493">
        <v>5019</v>
      </c>
      <c r="H655" s="480"/>
    </row>
    <row r="656" spans="1:8" ht="15" customHeight="1" x14ac:dyDescent="0.2">
      <c r="C656" s="492" t="s">
        <v>416</v>
      </c>
      <c r="D656" s="489"/>
      <c r="E656" s="489"/>
      <c r="G656" s="493">
        <v>114791</v>
      </c>
      <c r="H656" s="480"/>
    </row>
    <row r="657" spans="1:8" ht="30" customHeight="1" x14ac:dyDescent="0.2">
      <c r="C657" s="492" t="s">
        <v>415</v>
      </c>
      <c r="D657" s="489"/>
      <c r="E657" s="489"/>
      <c r="G657" s="493">
        <v>2778</v>
      </c>
      <c r="H657" s="480"/>
    </row>
    <row r="659" spans="1:8" ht="15.75" customHeight="1" x14ac:dyDescent="0.2">
      <c r="A659" s="488" t="s">
        <v>371</v>
      </c>
      <c r="B659" s="489"/>
      <c r="C659" s="489"/>
      <c r="D659" s="489"/>
      <c r="E659" s="489"/>
      <c r="F659" s="489"/>
      <c r="G659" s="489"/>
      <c r="H659" s="489"/>
    </row>
    <row r="660" spans="1:8" s="203" customFormat="1" ht="15" customHeight="1" x14ac:dyDescent="0.2">
      <c r="C660" s="490" t="s">
        <v>314</v>
      </c>
      <c r="D660" s="497"/>
      <c r="E660" s="497"/>
      <c r="G660" s="491">
        <v>234291</v>
      </c>
      <c r="H660" s="498"/>
    </row>
    <row r="661" spans="1:8" ht="15" customHeight="1" x14ac:dyDescent="0.2">
      <c r="C661" s="492" t="s">
        <v>420</v>
      </c>
      <c r="D661" s="489"/>
      <c r="E661" s="489"/>
      <c r="G661" s="493">
        <v>95245</v>
      </c>
      <c r="H661" s="480"/>
    </row>
    <row r="662" spans="1:8" ht="15" customHeight="1" x14ac:dyDescent="0.2">
      <c r="C662" s="492" t="s">
        <v>419</v>
      </c>
      <c r="D662" s="489"/>
      <c r="E662" s="489"/>
      <c r="G662" s="493">
        <v>9822</v>
      </c>
      <c r="H662" s="480"/>
    </row>
    <row r="663" spans="1:8" ht="15" customHeight="1" x14ac:dyDescent="0.2">
      <c r="C663" s="492" t="s">
        <v>416</v>
      </c>
      <c r="D663" s="489"/>
      <c r="E663" s="489"/>
      <c r="G663" s="493">
        <v>129224</v>
      </c>
      <c r="H663" s="480"/>
    </row>
    <row r="665" spans="1:8" ht="15.75" customHeight="1" x14ac:dyDescent="0.2">
      <c r="A665" s="488" t="s">
        <v>350</v>
      </c>
      <c r="B665" s="489"/>
      <c r="C665" s="489"/>
      <c r="D665" s="489"/>
      <c r="E665" s="489"/>
      <c r="F665" s="489"/>
      <c r="G665" s="489"/>
      <c r="H665" s="489"/>
    </row>
    <row r="666" spans="1:8" s="203" customFormat="1" ht="15" customHeight="1" x14ac:dyDescent="0.2">
      <c r="C666" s="490" t="s">
        <v>314</v>
      </c>
      <c r="D666" s="497"/>
      <c r="E666" s="497"/>
      <c r="G666" s="491">
        <v>289216</v>
      </c>
      <c r="H666" s="498"/>
    </row>
    <row r="667" spans="1:8" ht="15" customHeight="1" x14ac:dyDescent="0.2">
      <c r="C667" s="492" t="s">
        <v>416</v>
      </c>
      <c r="D667" s="489"/>
      <c r="E667" s="489"/>
      <c r="G667" s="493">
        <v>289216</v>
      </c>
      <c r="H667" s="480"/>
    </row>
    <row r="669" spans="1:8" ht="15.75" customHeight="1" x14ac:dyDescent="0.2">
      <c r="A669" s="488" t="s">
        <v>370</v>
      </c>
      <c r="B669" s="489"/>
      <c r="C669" s="489"/>
      <c r="D669" s="489"/>
      <c r="E669" s="489"/>
      <c r="F669" s="489"/>
      <c r="G669" s="489"/>
      <c r="H669" s="489"/>
    </row>
    <row r="670" spans="1:8" s="203" customFormat="1" ht="15" customHeight="1" x14ac:dyDescent="0.2">
      <c r="C670" s="490" t="s">
        <v>314</v>
      </c>
      <c r="D670" s="497"/>
      <c r="E670" s="497"/>
      <c r="G670" s="491">
        <v>982574</v>
      </c>
      <c r="H670" s="498"/>
    </row>
    <row r="671" spans="1:8" ht="15" customHeight="1" x14ac:dyDescent="0.2">
      <c r="C671" s="492" t="s">
        <v>420</v>
      </c>
      <c r="D671" s="489"/>
      <c r="E671" s="489"/>
      <c r="G671" s="493">
        <v>8425</v>
      </c>
      <c r="H671" s="480"/>
    </row>
    <row r="672" spans="1:8" ht="15" customHeight="1" x14ac:dyDescent="0.2">
      <c r="C672" s="492" t="s">
        <v>416</v>
      </c>
      <c r="D672" s="489"/>
      <c r="E672" s="489"/>
      <c r="G672" s="493">
        <v>974149</v>
      </c>
      <c r="H672" s="480"/>
    </row>
    <row r="674" spans="1:8" ht="15.75" customHeight="1" x14ac:dyDescent="0.2">
      <c r="A674" s="488" t="s">
        <v>352</v>
      </c>
      <c r="B674" s="489"/>
      <c r="C674" s="489"/>
      <c r="D674" s="489"/>
      <c r="E674" s="489"/>
      <c r="F674" s="489"/>
      <c r="G674" s="489"/>
      <c r="H674" s="489"/>
    </row>
    <row r="675" spans="1:8" s="203" customFormat="1" ht="15" customHeight="1" x14ac:dyDescent="0.2">
      <c r="C675" s="490" t="s">
        <v>314</v>
      </c>
      <c r="D675" s="497"/>
      <c r="E675" s="497"/>
      <c r="G675" s="491">
        <v>335040</v>
      </c>
      <c r="H675" s="498"/>
    </row>
    <row r="676" spans="1:8" ht="15" customHeight="1" x14ac:dyDescent="0.2">
      <c r="C676" s="492" t="s">
        <v>416</v>
      </c>
      <c r="D676" s="489"/>
      <c r="E676" s="489"/>
      <c r="G676" s="493">
        <v>335040</v>
      </c>
      <c r="H676" s="480"/>
    </row>
    <row r="678" spans="1:8" ht="15.75" customHeight="1" x14ac:dyDescent="0.2">
      <c r="A678" s="488" t="s">
        <v>353</v>
      </c>
      <c r="B678" s="489"/>
      <c r="C678" s="489"/>
      <c r="D678" s="489"/>
      <c r="E678" s="489"/>
      <c r="F678" s="489"/>
      <c r="G678" s="489"/>
      <c r="H678" s="489"/>
    </row>
    <row r="679" spans="1:8" s="203" customFormat="1" ht="15" customHeight="1" x14ac:dyDescent="0.2">
      <c r="C679" s="490" t="s">
        <v>314</v>
      </c>
      <c r="D679" s="497"/>
      <c r="E679" s="497"/>
      <c r="G679" s="491">
        <v>9175</v>
      </c>
      <c r="H679" s="498"/>
    </row>
    <row r="680" spans="1:8" ht="15" customHeight="1" x14ac:dyDescent="0.2">
      <c r="C680" s="492" t="s">
        <v>419</v>
      </c>
      <c r="D680" s="489"/>
      <c r="E680" s="489"/>
      <c r="G680" s="493">
        <v>1890</v>
      </c>
      <c r="H680" s="480"/>
    </row>
    <row r="681" spans="1:8" ht="15" customHeight="1" x14ac:dyDescent="0.2">
      <c r="C681" s="492" t="s">
        <v>416</v>
      </c>
      <c r="D681" s="489"/>
      <c r="E681" s="489"/>
      <c r="G681" s="493">
        <v>7285</v>
      </c>
      <c r="H681" s="480"/>
    </row>
    <row r="683" spans="1:8" ht="31.5" customHeight="1" x14ac:dyDescent="0.2">
      <c r="A683" s="488" t="s">
        <v>424</v>
      </c>
      <c r="B683" s="489"/>
      <c r="C683" s="489"/>
      <c r="D683" s="489"/>
      <c r="E683" s="489"/>
      <c r="F683" s="489"/>
      <c r="G683" s="489"/>
      <c r="H683" s="489"/>
    </row>
    <row r="684" spans="1:8" s="203" customFormat="1" ht="15" customHeight="1" x14ac:dyDescent="0.2">
      <c r="C684" s="490" t="s">
        <v>314</v>
      </c>
      <c r="D684" s="497"/>
      <c r="E684" s="497"/>
      <c r="G684" s="491">
        <v>67899</v>
      </c>
      <c r="H684" s="498"/>
    </row>
    <row r="685" spans="1:8" ht="15" customHeight="1" x14ac:dyDescent="0.2">
      <c r="C685" s="492" t="s">
        <v>416</v>
      </c>
      <c r="D685" s="489"/>
      <c r="E685" s="489"/>
      <c r="G685" s="493">
        <v>67899</v>
      </c>
      <c r="H685" s="480"/>
    </row>
    <row r="687" spans="1:8" ht="15.75" customHeight="1" x14ac:dyDescent="0.2">
      <c r="A687" s="488" t="s">
        <v>354</v>
      </c>
      <c r="B687" s="489"/>
      <c r="C687" s="489"/>
      <c r="D687" s="489"/>
      <c r="E687" s="489"/>
      <c r="F687" s="489"/>
      <c r="G687" s="489"/>
      <c r="H687" s="489"/>
    </row>
    <row r="688" spans="1:8" s="203" customFormat="1" ht="15" customHeight="1" x14ac:dyDescent="0.2">
      <c r="C688" s="490" t="s">
        <v>314</v>
      </c>
      <c r="D688" s="497"/>
      <c r="E688" s="497"/>
      <c r="G688" s="491">
        <v>92135</v>
      </c>
      <c r="H688" s="498"/>
    </row>
    <row r="689" spans="1:8" ht="15" customHeight="1" x14ac:dyDescent="0.2">
      <c r="C689" s="492" t="s">
        <v>420</v>
      </c>
      <c r="D689" s="489"/>
      <c r="E689" s="489"/>
      <c r="G689" s="493">
        <v>47064</v>
      </c>
      <c r="H689" s="480"/>
    </row>
    <row r="690" spans="1:8" ht="15" customHeight="1" x14ac:dyDescent="0.2">
      <c r="C690" s="492" t="s">
        <v>419</v>
      </c>
      <c r="D690" s="489"/>
      <c r="E690" s="489"/>
      <c r="G690" s="493">
        <v>45071</v>
      </c>
      <c r="H690" s="480"/>
    </row>
    <row r="692" spans="1:8" ht="15.75" customHeight="1" x14ac:dyDescent="0.2">
      <c r="A692" s="488" t="s">
        <v>355</v>
      </c>
      <c r="B692" s="489"/>
      <c r="C692" s="489"/>
      <c r="D692" s="489"/>
      <c r="E692" s="489"/>
      <c r="F692" s="489"/>
      <c r="G692" s="489"/>
      <c r="H692" s="489"/>
    </row>
    <row r="693" spans="1:8" s="203" customFormat="1" ht="15" customHeight="1" x14ac:dyDescent="0.2">
      <c r="C693" s="490" t="s">
        <v>314</v>
      </c>
      <c r="D693" s="497"/>
      <c r="E693" s="497"/>
      <c r="G693" s="491">
        <v>15673</v>
      </c>
      <c r="H693" s="498"/>
    </row>
    <row r="694" spans="1:8" ht="15" customHeight="1" x14ac:dyDescent="0.2">
      <c r="C694" s="492" t="s">
        <v>420</v>
      </c>
      <c r="D694" s="489"/>
      <c r="E694" s="489"/>
      <c r="G694" s="493">
        <v>8280</v>
      </c>
      <c r="H694" s="480"/>
    </row>
    <row r="695" spans="1:8" ht="15" customHeight="1" x14ac:dyDescent="0.2">
      <c r="C695" s="492" t="s">
        <v>419</v>
      </c>
      <c r="D695" s="489"/>
      <c r="E695" s="489"/>
      <c r="G695" s="493">
        <v>7393</v>
      </c>
      <c r="H695" s="480"/>
    </row>
    <row r="697" spans="1:8" ht="15.75" customHeight="1" x14ac:dyDescent="0.2">
      <c r="A697" s="488" t="s">
        <v>718</v>
      </c>
      <c r="B697" s="489"/>
      <c r="C697" s="489"/>
      <c r="D697" s="489"/>
      <c r="E697" s="489"/>
      <c r="F697" s="489"/>
      <c r="G697" s="489"/>
      <c r="H697" s="489"/>
    </row>
    <row r="698" spans="1:8" s="203" customFormat="1" ht="15" customHeight="1" x14ac:dyDescent="0.2">
      <c r="C698" s="490" t="s">
        <v>314</v>
      </c>
      <c r="D698" s="497"/>
      <c r="E698" s="497"/>
      <c r="G698" s="491">
        <v>263674</v>
      </c>
      <c r="H698" s="498"/>
    </row>
    <row r="699" spans="1:8" ht="15" customHeight="1" x14ac:dyDescent="0.2">
      <c r="C699" s="492" t="s">
        <v>420</v>
      </c>
      <c r="D699" s="489"/>
      <c r="E699" s="489"/>
      <c r="G699" s="493">
        <v>179787</v>
      </c>
      <c r="H699" s="480"/>
    </row>
    <row r="700" spans="1:8" ht="15" customHeight="1" x14ac:dyDescent="0.2">
      <c r="C700" s="492" t="s">
        <v>419</v>
      </c>
      <c r="D700" s="489"/>
      <c r="E700" s="489"/>
      <c r="G700" s="493">
        <v>83656</v>
      </c>
      <c r="H700" s="480"/>
    </row>
    <row r="701" spans="1:8" ht="15" customHeight="1" x14ac:dyDescent="0.2">
      <c r="C701" s="492" t="s">
        <v>416</v>
      </c>
      <c r="D701" s="489"/>
      <c r="E701" s="489"/>
      <c r="G701" s="493">
        <v>231</v>
      </c>
      <c r="H701" s="480"/>
    </row>
    <row r="703" spans="1:8" ht="15.75" customHeight="1" x14ac:dyDescent="0.2">
      <c r="A703" s="488" t="s">
        <v>423</v>
      </c>
      <c r="B703" s="489"/>
      <c r="C703" s="489"/>
      <c r="D703" s="489"/>
      <c r="E703" s="489"/>
      <c r="F703" s="489"/>
      <c r="G703" s="489"/>
      <c r="H703" s="489"/>
    </row>
    <row r="704" spans="1:8" s="203" customFormat="1" ht="15" customHeight="1" x14ac:dyDescent="0.2">
      <c r="C704" s="490" t="s">
        <v>314</v>
      </c>
      <c r="D704" s="497"/>
      <c r="E704" s="497"/>
      <c r="G704" s="491">
        <v>1127601</v>
      </c>
      <c r="H704" s="498"/>
    </row>
    <row r="705" spans="1:8" ht="15" customHeight="1" x14ac:dyDescent="0.2">
      <c r="C705" s="492" t="s">
        <v>420</v>
      </c>
      <c r="D705" s="489"/>
      <c r="E705" s="489"/>
      <c r="G705" s="493">
        <v>961570</v>
      </c>
      <c r="H705" s="480"/>
    </row>
    <row r="706" spans="1:8" ht="15" customHeight="1" x14ac:dyDescent="0.2">
      <c r="C706" s="492" t="s">
        <v>419</v>
      </c>
      <c r="D706" s="489"/>
      <c r="E706" s="489"/>
      <c r="G706" s="493">
        <v>157203</v>
      </c>
      <c r="H706" s="480"/>
    </row>
    <row r="707" spans="1:8" ht="15" customHeight="1" x14ac:dyDescent="0.2">
      <c r="C707" s="492" t="s">
        <v>418</v>
      </c>
      <c r="D707" s="489"/>
      <c r="E707" s="489"/>
      <c r="G707" s="493">
        <v>928</v>
      </c>
      <c r="H707" s="480"/>
    </row>
    <row r="708" spans="1:8" ht="15" customHeight="1" x14ac:dyDescent="0.2">
      <c r="C708" s="492" t="s">
        <v>417</v>
      </c>
      <c r="D708" s="489"/>
      <c r="E708" s="489"/>
      <c r="G708" s="493">
        <v>7800</v>
      </c>
      <c r="H708" s="480"/>
    </row>
    <row r="709" spans="1:8" ht="30" customHeight="1" x14ac:dyDescent="0.2">
      <c r="C709" s="492" t="s">
        <v>415</v>
      </c>
      <c r="D709" s="489"/>
      <c r="E709" s="489"/>
      <c r="G709" s="493">
        <v>100</v>
      </c>
      <c r="H709" s="480"/>
    </row>
    <row r="711" spans="1:8" ht="15.75" customHeight="1" x14ac:dyDescent="0.2">
      <c r="A711" s="488" t="s">
        <v>356</v>
      </c>
      <c r="B711" s="489"/>
      <c r="C711" s="489"/>
      <c r="D711" s="489"/>
      <c r="E711" s="489"/>
      <c r="F711" s="489"/>
      <c r="G711" s="489"/>
      <c r="H711" s="489"/>
    </row>
    <row r="712" spans="1:8" s="203" customFormat="1" ht="15" customHeight="1" x14ac:dyDescent="0.2">
      <c r="C712" s="490" t="s">
        <v>314</v>
      </c>
      <c r="D712" s="497"/>
      <c r="E712" s="497"/>
      <c r="G712" s="491">
        <v>7200</v>
      </c>
      <c r="H712" s="498"/>
    </row>
    <row r="713" spans="1:8" ht="15" customHeight="1" x14ac:dyDescent="0.2">
      <c r="C713" s="492" t="s">
        <v>416</v>
      </c>
      <c r="D713" s="489"/>
      <c r="E713" s="489"/>
      <c r="G713" s="493">
        <v>7200</v>
      </c>
      <c r="H713" s="480"/>
    </row>
    <row r="715" spans="1:8" ht="15.75" customHeight="1" x14ac:dyDescent="0.2">
      <c r="A715" s="486" t="s">
        <v>818</v>
      </c>
      <c r="B715" s="499"/>
      <c r="C715" s="499"/>
      <c r="D715" s="499"/>
      <c r="E715" s="499"/>
      <c r="F715" s="499"/>
      <c r="G715" s="499"/>
      <c r="H715" s="499"/>
    </row>
    <row r="716" spans="1:8" ht="15" customHeight="1" x14ac:dyDescent="0.2">
      <c r="A716" s="402"/>
      <c r="B716" s="402"/>
      <c r="C716" s="494" t="s">
        <v>314</v>
      </c>
      <c r="D716" s="499"/>
      <c r="E716" s="499"/>
      <c r="F716" s="402"/>
      <c r="G716" s="495">
        <f>9317492-152000</f>
        <v>9165492</v>
      </c>
      <c r="H716" s="500"/>
    </row>
    <row r="717" spans="1:8" ht="15" customHeight="1" x14ac:dyDescent="0.2">
      <c r="A717" s="402"/>
      <c r="B717" s="402"/>
      <c r="C717" s="494" t="s">
        <v>358</v>
      </c>
      <c r="D717" s="499"/>
      <c r="E717" s="499"/>
      <c r="F717" s="402"/>
      <c r="G717" s="495">
        <v>6845149</v>
      </c>
      <c r="H717" s="500"/>
    </row>
    <row r="718" spans="1:8" ht="15" customHeight="1" x14ac:dyDescent="0.2">
      <c r="A718" s="402"/>
      <c r="B718" s="402"/>
      <c r="C718" s="494" t="s">
        <v>719</v>
      </c>
      <c r="D718" s="499"/>
      <c r="E718" s="499"/>
      <c r="F718" s="402"/>
      <c r="G718" s="495">
        <v>698055</v>
      </c>
      <c r="H718" s="500"/>
    </row>
    <row r="719" spans="1:8" ht="15" customHeight="1" x14ac:dyDescent="0.2">
      <c r="A719" s="402"/>
      <c r="B719" s="402"/>
      <c r="C719" s="494" t="s">
        <v>359</v>
      </c>
      <c r="D719" s="499"/>
      <c r="E719" s="499"/>
      <c r="F719" s="402"/>
      <c r="G719" s="495">
        <f>1774288-152000</f>
        <v>1622288</v>
      </c>
      <c r="H719" s="500"/>
    </row>
    <row r="721" spans="1:8" ht="15.75" customHeight="1" x14ac:dyDescent="0.2">
      <c r="A721" s="488" t="s">
        <v>422</v>
      </c>
      <c r="B721" s="489"/>
      <c r="C721" s="489"/>
      <c r="D721" s="489"/>
      <c r="E721" s="489"/>
      <c r="F721" s="489"/>
      <c r="G721" s="489"/>
      <c r="H721" s="489"/>
    </row>
    <row r="722" spans="1:8" s="203" customFormat="1" ht="15" customHeight="1" x14ac:dyDescent="0.2">
      <c r="C722" s="490" t="s">
        <v>314</v>
      </c>
      <c r="D722" s="497"/>
      <c r="E722" s="497"/>
      <c r="G722" s="491">
        <v>6845149</v>
      </c>
      <c r="H722" s="498"/>
    </row>
    <row r="723" spans="1:8" ht="15" customHeight="1" x14ac:dyDescent="0.2">
      <c r="C723" s="492" t="s">
        <v>358</v>
      </c>
      <c r="D723" s="489"/>
      <c r="E723" s="489"/>
      <c r="G723" s="493">
        <v>6845149</v>
      </c>
      <c r="H723" s="480"/>
    </row>
    <row r="725" spans="1:8" ht="15.75" customHeight="1" x14ac:dyDescent="0.2">
      <c r="A725" s="488" t="s">
        <v>421</v>
      </c>
      <c r="B725" s="489"/>
      <c r="C725" s="489"/>
      <c r="D725" s="489"/>
      <c r="E725" s="489"/>
      <c r="F725" s="489"/>
      <c r="G725" s="489"/>
      <c r="H725" s="489"/>
    </row>
    <row r="726" spans="1:8" s="203" customFormat="1" ht="15" customHeight="1" x14ac:dyDescent="0.2">
      <c r="C726" s="490" t="s">
        <v>314</v>
      </c>
      <c r="D726" s="497"/>
      <c r="E726" s="497"/>
      <c r="G726" s="491">
        <v>698055</v>
      </c>
      <c r="H726" s="498"/>
    </row>
    <row r="727" spans="1:8" ht="15" customHeight="1" x14ac:dyDescent="0.2">
      <c r="C727" s="492" t="s">
        <v>719</v>
      </c>
      <c r="D727" s="489"/>
      <c r="E727" s="489"/>
      <c r="G727" s="493">
        <v>698055</v>
      </c>
      <c r="H727" s="480"/>
    </row>
    <row r="729" spans="1:8" ht="15.75" customHeight="1" x14ac:dyDescent="0.2">
      <c r="A729" s="488" t="s">
        <v>312</v>
      </c>
      <c r="B729" s="489"/>
      <c r="C729" s="489"/>
      <c r="D729" s="489"/>
      <c r="E729" s="489"/>
      <c r="F729" s="489"/>
      <c r="G729" s="489"/>
      <c r="H729" s="489"/>
    </row>
    <row r="730" spans="1:8" s="203" customFormat="1" ht="15" customHeight="1" x14ac:dyDescent="0.2">
      <c r="C730" s="490" t="s">
        <v>314</v>
      </c>
      <c r="D730" s="497"/>
      <c r="E730" s="497"/>
      <c r="G730" s="491">
        <v>104876692</v>
      </c>
      <c r="H730" s="498"/>
    </row>
    <row r="731" spans="1:8" ht="15" customHeight="1" x14ac:dyDescent="0.2">
      <c r="C731" s="490" t="s">
        <v>420</v>
      </c>
      <c r="D731" s="497"/>
      <c r="E731" s="497"/>
      <c r="F731" s="203"/>
      <c r="G731" s="491">
        <v>32204315</v>
      </c>
      <c r="H731" s="498"/>
    </row>
    <row r="732" spans="1:8" ht="15" customHeight="1" x14ac:dyDescent="0.2">
      <c r="C732" s="490" t="s">
        <v>419</v>
      </c>
      <c r="D732" s="497"/>
      <c r="E732" s="497"/>
      <c r="F732" s="203"/>
      <c r="G732" s="491">
        <v>17805659</v>
      </c>
      <c r="H732" s="498"/>
    </row>
    <row r="733" spans="1:8" ht="15" customHeight="1" x14ac:dyDescent="0.2">
      <c r="C733" s="490" t="s">
        <v>418</v>
      </c>
      <c r="D733" s="497"/>
      <c r="E733" s="497"/>
      <c r="F733" s="203"/>
      <c r="G733" s="491">
        <f>6681062+8750+47250+36000</f>
        <v>6773062</v>
      </c>
      <c r="H733" s="498"/>
    </row>
    <row r="734" spans="1:8" ht="15" customHeight="1" x14ac:dyDescent="0.2">
      <c r="C734" s="490" t="s">
        <v>809</v>
      </c>
      <c r="D734" s="497"/>
      <c r="E734" s="497"/>
      <c r="F734" s="203"/>
      <c r="G734" s="491">
        <v>50600</v>
      </c>
      <c r="H734" s="498"/>
    </row>
    <row r="735" spans="1:8" ht="15" customHeight="1" x14ac:dyDescent="0.2">
      <c r="C735" s="490" t="s">
        <v>417</v>
      </c>
      <c r="D735" s="497"/>
      <c r="E735" s="497"/>
      <c r="F735" s="203"/>
      <c r="G735" s="491">
        <f>33096002+60000</f>
        <v>33156002</v>
      </c>
      <c r="H735" s="498"/>
    </row>
    <row r="736" spans="1:8" ht="15" customHeight="1" x14ac:dyDescent="0.2">
      <c r="C736" s="490" t="s">
        <v>416</v>
      </c>
      <c r="D736" s="497"/>
      <c r="E736" s="497"/>
      <c r="F736" s="203"/>
      <c r="G736" s="491">
        <v>2684005</v>
      </c>
      <c r="H736" s="498"/>
    </row>
    <row r="737" spans="2:8" ht="30" customHeight="1" x14ac:dyDescent="0.2">
      <c r="C737" s="490" t="s">
        <v>415</v>
      </c>
      <c r="D737" s="497"/>
      <c r="E737" s="497"/>
      <c r="F737" s="203"/>
      <c r="G737" s="491">
        <v>3037557</v>
      </c>
      <c r="H737" s="498"/>
    </row>
    <row r="738" spans="2:8" ht="15" customHeight="1" x14ac:dyDescent="0.2">
      <c r="C738" s="490" t="s">
        <v>358</v>
      </c>
      <c r="D738" s="497"/>
      <c r="E738" s="497"/>
      <c r="F738" s="203"/>
      <c r="G738" s="491">
        <v>6845149</v>
      </c>
      <c r="H738" s="498"/>
    </row>
    <row r="739" spans="2:8" ht="15" customHeight="1" x14ac:dyDescent="0.2">
      <c r="C739" s="490" t="s">
        <v>719</v>
      </c>
      <c r="D739" s="497"/>
      <c r="E739" s="497"/>
      <c r="F739" s="203"/>
      <c r="G739" s="491">
        <v>698055</v>
      </c>
      <c r="H739" s="498"/>
    </row>
    <row r="740" spans="2:8" ht="15" customHeight="1" x14ac:dyDescent="0.2">
      <c r="C740" s="490" t="s">
        <v>819</v>
      </c>
      <c r="D740" s="497"/>
      <c r="E740" s="497"/>
      <c r="F740" s="203"/>
      <c r="G740" s="491">
        <v>1622288</v>
      </c>
      <c r="H740" s="498"/>
    </row>
    <row r="741" spans="2:8" ht="12.75" customHeight="1" x14ac:dyDescent="0.2">
      <c r="E741" s="502"/>
      <c r="F741" s="480"/>
      <c r="G741" s="480"/>
      <c r="H741" s="480"/>
    </row>
    <row r="744" spans="2:8" ht="15.75" x14ac:dyDescent="0.25">
      <c r="B744" s="135" t="s">
        <v>25</v>
      </c>
      <c r="C744" s="135"/>
      <c r="D744" s="204"/>
      <c r="E744" s="204"/>
      <c r="F744" s="205" t="s">
        <v>26</v>
      </c>
      <c r="G744" s="204"/>
    </row>
    <row r="750" spans="2:8" ht="15" x14ac:dyDescent="0.25">
      <c r="C750" s="596"/>
    </row>
  </sheetData>
  <mergeCells count="1065">
    <mergeCell ref="C739:E739"/>
    <mergeCell ref="G739:H739"/>
    <mergeCell ref="C740:E740"/>
    <mergeCell ref="G740:H740"/>
    <mergeCell ref="E741:H741"/>
    <mergeCell ref="C736:E736"/>
    <mergeCell ref="G736:H736"/>
    <mergeCell ref="C737:E737"/>
    <mergeCell ref="G737:H737"/>
    <mergeCell ref="C738:E738"/>
    <mergeCell ref="G738:H738"/>
    <mergeCell ref="C733:E733"/>
    <mergeCell ref="G733:H733"/>
    <mergeCell ref="C734:E734"/>
    <mergeCell ref="G734:H734"/>
    <mergeCell ref="C735:E735"/>
    <mergeCell ref="G735:H735"/>
    <mergeCell ref="A729:H729"/>
    <mergeCell ref="C730:E730"/>
    <mergeCell ref="G730:H730"/>
    <mergeCell ref="C731:E731"/>
    <mergeCell ref="G731:H731"/>
    <mergeCell ref="C732:E732"/>
    <mergeCell ref="G732:H732"/>
    <mergeCell ref="C723:E723"/>
    <mergeCell ref="G723:H723"/>
    <mergeCell ref="A725:H725"/>
    <mergeCell ref="C726:E726"/>
    <mergeCell ref="G726:H726"/>
    <mergeCell ref="C727:E727"/>
    <mergeCell ref="G727:H727"/>
    <mergeCell ref="C718:E718"/>
    <mergeCell ref="G718:H718"/>
    <mergeCell ref="C719:E719"/>
    <mergeCell ref="G719:H719"/>
    <mergeCell ref="A721:H721"/>
    <mergeCell ref="C722:E722"/>
    <mergeCell ref="G722:H722"/>
    <mergeCell ref="A715:H715"/>
    <mergeCell ref="C716:E716"/>
    <mergeCell ref="G716:H716"/>
    <mergeCell ref="C717:E717"/>
    <mergeCell ref="G717:H717"/>
    <mergeCell ref="C709:E709"/>
    <mergeCell ref="G709:H709"/>
    <mergeCell ref="A711:H711"/>
    <mergeCell ref="C712:E712"/>
    <mergeCell ref="G712:H712"/>
    <mergeCell ref="C713:E713"/>
    <mergeCell ref="G713:H713"/>
    <mergeCell ref="C706:E706"/>
    <mergeCell ref="G706:H706"/>
    <mergeCell ref="C707:E707"/>
    <mergeCell ref="G707:H707"/>
    <mergeCell ref="C708:E708"/>
    <mergeCell ref="G708:H708"/>
    <mergeCell ref="C701:E701"/>
    <mergeCell ref="G701:H701"/>
    <mergeCell ref="A703:H703"/>
    <mergeCell ref="C704:E704"/>
    <mergeCell ref="G704:H704"/>
    <mergeCell ref="C705:E705"/>
    <mergeCell ref="G705:H705"/>
    <mergeCell ref="A697:H697"/>
    <mergeCell ref="C698:E698"/>
    <mergeCell ref="G698:H698"/>
    <mergeCell ref="C699:E699"/>
    <mergeCell ref="G699:H699"/>
    <mergeCell ref="C700:E700"/>
    <mergeCell ref="G700:H700"/>
    <mergeCell ref="A692:H692"/>
    <mergeCell ref="C693:E693"/>
    <mergeCell ref="G693:H693"/>
    <mergeCell ref="C694:E694"/>
    <mergeCell ref="G694:H694"/>
    <mergeCell ref="C695:E695"/>
    <mergeCell ref="G695:H695"/>
    <mergeCell ref="C688:E688"/>
    <mergeCell ref="G688:H688"/>
    <mergeCell ref="C689:E689"/>
    <mergeCell ref="G689:H689"/>
    <mergeCell ref="C690:E690"/>
    <mergeCell ref="G690:H690"/>
    <mergeCell ref="A683:H683"/>
    <mergeCell ref="C684:E684"/>
    <mergeCell ref="G684:H684"/>
    <mergeCell ref="C685:E685"/>
    <mergeCell ref="G685:H685"/>
    <mergeCell ref="A687:H687"/>
    <mergeCell ref="A678:H678"/>
    <mergeCell ref="C679:E679"/>
    <mergeCell ref="G679:H679"/>
    <mergeCell ref="C680:E680"/>
    <mergeCell ref="G680:H680"/>
    <mergeCell ref="C681:E681"/>
    <mergeCell ref="G681:H681"/>
    <mergeCell ref="C672:E672"/>
    <mergeCell ref="G672:H672"/>
    <mergeCell ref="A674:H674"/>
    <mergeCell ref="C675:E675"/>
    <mergeCell ref="G675:H675"/>
    <mergeCell ref="C676:E676"/>
    <mergeCell ref="G676:H676"/>
    <mergeCell ref="C667:E667"/>
    <mergeCell ref="G667:H667"/>
    <mergeCell ref="A669:H669"/>
    <mergeCell ref="C670:E670"/>
    <mergeCell ref="G670:H670"/>
    <mergeCell ref="C671:E671"/>
    <mergeCell ref="G671:H671"/>
    <mergeCell ref="C662:E662"/>
    <mergeCell ref="G662:H662"/>
    <mergeCell ref="C663:E663"/>
    <mergeCell ref="G663:H663"/>
    <mergeCell ref="A665:H665"/>
    <mergeCell ref="C666:E666"/>
    <mergeCell ref="G666:H666"/>
    <mergeCell ref="C657:E657"/>
    <mergeCell ref="G657:H657"/>
    <mergeCell ref="A659:H659"/>
    <mergeCell ref="C660:E660"/>
    <mergeCell ref="G660:H660"/>
    <mergeCell ref="C661:E661"/>
    <mergeCell ref="G661:H661"/>
    <mergeCell ref="C654:E654"/>
    <mergeCell ref="G654:H654"/>
    <mergeCell ref="C655:E655"/>
    <mergeCell ref="G655:H655"/>
    <mergeCell ref="C656:E656"/>
    <mergeCell ref="G656:H656"/>
    <mergeCell ref="C649:E649"/>
    <mergeCell ref="G649:H649"/>
    <mergeCell ref="C650:E650"/>
    <mergeCell ref="G650:H650"/>
    <mergeCell ref="A652:H652"/>
    <mergeCell ref="C653:E653"/>
    <mergeCell ref="G653:H653"/>
    <mergeCell ref="C644:E644"/>
    <mergeCell ref="G644:H644"/>
    <mergeCell ref="A646:H646"/>
    <mergeCell ref="C647:E647"/>
    <mergeCell ref="G647:H647"/>
    <mergeCell ref="C648:E648"/>
    <mergeCell ref="G648:H648"/>
    <mergeCell ref="C639:E639"/>
    <mergeCell ref="G639:H639"/>
    <mergeCell ref="A641:H641"/>
    <mergeCell ref="C642:E642"/>
    <mergeCell ref="G642:H642"/>
    <mergeCell ref="C643:E643"/>
    <mergeCell ref="G643:H643"/>
    <mergeCell ref="C634:E634"/>
    <mergeCell ref="G634:H634"/>
    <mergeCell ref="A636:H636"/>
    <mergeCell ref="C637:E637"/>
    <mergeCell ref="G637:H637"/>
    <mergeCell ref="C638:E638"/>
    <mergeCell ref="G638:H638"/>
    <mergeCell ref="C629:E629"/>
    <mergeCell ref="G629:H629"/>
    <mergeCell ref="A631:H631"/>
    <mergeCell ref="C632:E632"/>
    <mergeCell ref="G632:H632"/>
    <mergeCell ref="C633:E633"/>
    <mergeCell ref="G633:H633"/>
    <mergeCell ref="A625:H625"/>
    <mergeCell ref="C626:E626"/>
    <mergeCell ref="G626:H626"/>
    <mergeCell ref="C627:E627"/>
    <mergeCell ref="G627:H627"/>
    <mergeCell ref="C628:E628"/>
    <mergeCell ref="G628:H628"/>
    <mergeCell ref="C619:E619"/>
    <mergeCell ref="G619:H619"/>
    <mergeCell ref="A621:H621"/>
    <mergeCell ref="C622:E622"/>
    <mergeCell ref="G622:H622"/>
    <mergeCell ref="C623:E623"/>
    <mergeCell ref="G623:H623"/>
    <mergeCell ref="C614:E614"/>
    <mergeCell ref="G614:H614"/>
    <mergeCell ref="C615:E615"/>
    <mergeCell ref="G615:H615"/>
    <mergeCell ref="A617:H617"/>
    <mergeCell ref="C618:E618"/>
    <mergeCell ref="G618:H618"/>
    <mergeCell ref="A609:H609"/>
    <mergeCell ref="C610:E610"/>
    <mergeCell ref="G610:H610"/>
    <mergeCell ref="C611:E611"/>
    <mergeCell ref="G611:H611"/>
    <mergeCell ref="A613:H613"/>
    <mergeCell ref="C603:E603"/>
    <mergeCell ref="G603:H603"/>
    <mergeCell ref="A605:H605"/>
    <mergeCell ref="C606:E606"/>
    <mergeCell ref="G606:H606"/>
    <mergeCell ref="C607:E607"/>
    <mergeCell ref="G607:H607"/>
    <mergeCell ref="C600:E600"/>
    <mergeCell ref="G600:H600"/>
    <mergeCell ref="C601:E601"/>
    <mergeCell ref="G601:H601"/>
    <mergeCell ref="C602:E602"/>
    <mergeCell ref="G602:H602"/>
    <mergeCell ref="A596:H596"/>
    <mergeCell ref="C597:E597"/>
    <mergeCell ref="G597:H597"/>
    <mergeCell ref="C598:E598"/>
    <mergeCell ref="G598:H598"/>
    <mergeCell ref="C599:E599"/>
    <mergeCell ref="G599:H599"/>
    <mergeCell ref="A591:H591"/>
    <mergeCell ref="C592:E592"/>
    <mergeCell ref="G592:H592"/>
    <mergeCell ref="C593:E593"/>
    <mergeCell ref="G593:H593"/>
    <mergeCell ref="C594:E594"/>
    <mergeCell ref="G594:H594"/>
    <mergeCell ref="A586:H586"/>
    <mergeCell ref="C587:E587"/>
    <mergeCell ref="G587:H587"/>
    <mergeCell ref="C588:E588"/>
    <mergeCell ref="G588:H588"/>
    <mergeCell ref="C589:E589"/>
    <mergeCell ref="G589:H589"/>
    <mergeCell ref="C580:E580"/>
    <mergeCell ref="G580:H580"/>
    <mergeCell ref="A582:H582"/>
    <mergeCell ref="C583:E583"/>
    <mergeCell ref="G583:H583"/>
    <mergeCell ref="C584:E584"/>
    <mergeCell ref="G584:H584"/>
    <mergeCell ref="C575:E575"/>
    <mergeCell ref="G575:H575"/>
    <mergeCell ref="A577:H577"/>
    <mergeCell ref="C578:E578"/>
    <mergeCell ref="G578:H578"/>
    <mergeCell ref="C579:E579"/>
    <mergeCell ref="G579:H579"/>
    <mergeCell ref="C572:E572"/>
    <mergeCell ref="G572:H572"/>
    <mergeCell ref="C573:E573"/>
    <mergeCell ref="G573:H573"/>
    <mergeCell ref="C574:E574"/>
    <mergeCell ref="G574:H574"/>
    <mergeCell ref="C567:E567"/>
    <mergeCell ref="G567:H567"/>
    <mergeCell ref="C568:E568"/>
    <mergeCell ref="G568:H568"/>
    <mergeCell ref="A570:H570"/>
    <mergeCell ref="C571:E571"/>
    <mergeCell ref="G571:H571"/>
    <mergeCell ref="C562:E562"/>
    <mergeCell ref="G562:H562"/>
    <mergeCell ref="A564:H564"/>
    <mergeCell ref="C565:E565"/>
    <mergeCell ref="G565:H565"/>
    <mergeCell ref="C566:E566"/>
    <mergeCell ref="G566:H566"/>
    <mergeCell ref="A558:H558"/>
    <mergeCell ref="C559:E559"/>
    <mergeCell ref="G559:H559"/>
    <mergeCell ref="C560:E560"/>
    <mergeCell ref="G560:H560"/>
    <mergeCell ref="C561:E561"/>
    <mergeCell ref="G561:H561"/>
    <mergeCell ref="C554:E554"/>
    <mergeCell ref="G554:H554"/>
    <mergeCell ref="C555:E555"/>
    <mergeCell ref="G555:H555"/>
    <mergeCell ref="C556:E556"/>
    <mergeCell ref="G556:H556"/>
    <mergeCell ref="C549:E549"/>
    <mergeCell ref="G549:H549"/>
    <mergeCell ref="A551:H551"/>
    <mergeCell ref="C552:E552"/>
    <mergeCell ref="G552:H552"/>
    <mergeCell ref="C553:E553"/>
    <mergeCell ref="G553:H553"/>
    <mergeCell ref="A545:H545"/>
    <mergeCell ref="C546:E546"/>
    <mergeCell ref="G546:H546"/>
    <mergeCell ref="C547:E547"/>
    <mergeCell ref="G547:H547"/>
    <mergeCell ref="C548:E548"/>
    <mergeCell ref="G548:H548"/>
    <mergeCell ref="C541:E541"/>
    <mergeCell ref="G541:H541"/>
    <mergeCell ref="C542:E542"/>
    <mergeCell ref="G542:H542"/>
    <mergeCell ref="C543:E543"/>
    <mergeCell ref="G543:H543"/>
    <mergeCell ref="C536:E536"/>
    <mergeCell ref="G536:H536"/>
    <mergeCell ref="A538:H538"/>
    <mergeCell ref="C539:E539"/>
    <mergeCell ref="G539:H539"/>
    <mergeCell ref="C540:E540"/>
    <mergeCell ref="G540:H540"/>
    <mergeCell ref="C533:E533"/>
    <mergeCell ref="G533:H533"/>
    <mergeCell ref="C534:E534"/>
    <mergeCell ref="G534:H534"/>
    <mergeCell ref="C535:E535"/>
    <mergeCell ref="G535:H535"/>
    <mergeCell ref="C528:E528"/>
    <mergeCell ref="G528:H528"/>
    <mergeCell ref="C529:E529"/>
    <mergeCell ref="G529:H529"/>
    <mergeCell ref="A531:H531"/>
    <mergeCell ref="C532:E532"/>
    <mergeCell ref="G532:H532"/>
    <mergeCell ref="C523:E523"/>
    <mergeCell ref="G523:H523"/>
    <mergeCell ref="A525:H525"/>
    <mergeCell ref="C526:E526"/>
    <mergeCell ref="G526:H526"/>
    <mergeCell ref="C527:E527"/>
    <mergeCell ref="G527:H527"/>
    <mergeCell ref="C520:E520"/>
    <mergeCell ref="G520:H520"/>
    <mergeCell ref="C521:E521"/>
    <mergeCell ref="G521:H521"/>
    <mergeCell ref="C522:E522"/>
    <mergeCell ref="G522:H522"/>
    <mergeCell ref="C515:E515"/>
    <mergeCell ref="G515:H515"/>
    <mergeCell ref="A517:H517"/>
    <mergeCell ref="C518:E518"/>
    <mergeCell ref="G518:H518"/>
    <mergeCell ref="C519:E519"/>
    <mergeCell ref="G519:H519"/>
    <mergeCell ref="C512:E512"/>
    <mergeCell ref="G512:H512"/>
    <mergeCell ref="C513:E513"/>
    <mergeCell ref="G513:H513"/>
    <mergeCell ref="C514:E514"/>
    <mergeCell ref="G514:H514"/>
    <mergeCell ref="C507:E507"/>
    <mergeCell ref="G507:H507"/>
    <mergeCell ref="C508:E508"/>
    <mergeCell ref="G508:H508"/>
    <mergeCell ref="A510:H510"/>
    <mergeCell ref="C511:E511"/>
    <mergeCell ref="G511:H511"/>
    <mergeCell ref="C502:E502"/>
    <mergeCell ref="G502:H502"/>
    <mergeCell ref="C503:E503"/>
    <mergeCell ref="G503:H503"/>
    <mergeCell ref="A505:H505"/>
    <mergeCell ref="C506:E506"/>
    <mergeCell ref="G506:H506"/>
    <mergeCell ref="C499:E499"/>
    <mergeCell ref="G499:H499"/>
    <mergeCell ref="C500:E500"/>
    <mergeCell ref="G500:H500"/>
    <mergeCell ref="C501:E501"/>
    <mergeCell ref="G501:H501"/>
    <mergeCell ref="C494:E494"/>
    <mergeCell ref="G494:H494"/>
    <mergeCell ref="A496:H496"/>
    <mergeCell ref="C497:E497"/>
    <mergeCell ref="G497:H497"/>
    <mergeCell ref="C498:E498"/>
    <mergeCell ref="G498:H498"/>
    <mergeCell ref="C491:E491"/>
    <mergeCell ref="G491:H491"/>
    <mergeCell ref="C492:E492"/>
    <mergeCell ref="G492:H492"/>
    <mergeCell ref="C493:E493"/>
    <mergeCell ref="G493:H493"/>
    <mergeCell ref="C486:E486"/>
    <mergeCell ref="G486:H486"/>
    <mergeCell ref="C487:E487"/>
    <mergeCell ref="G487:H487"/>
    <mergeCell ref="A489:H489"/>
    <mergeCell ref="C490:E490"/>
    <mergeCell ref="G490:H490"/>
    <mergeCell ref="A482:H482"/>
    <mergeCell ref="C483:E483"/>
    <mergeCell ref="G483:H483"/>
    <mergeCell ref="C484:E484"/>
    <mergeCell ref="G484:H484"/>
    <mergeCell ref="C485:E485"/>
    <mergeCell ref="G485:H485"/>
    <mergeCell ref="C478:E478"/>
    <mergeCell ref="G478:H478"/>
    <mergeCell ref="C479:E479"/>
    <mergeCell ref="G479:H479"/>
    <mergeCell ref="C480:E480"/>
    <mergeCell ref="G480:H480"/>
    <mergeCell ref="A474:H474"/>
    <mergeCell ref="C475:E475"/>
    <mergeCell ref="G475:H475"/>
    <mergeCell ref="C476:E476"/>
    <mergeCell ref="G476:H476"/>
    <mergeCell ref="C477:E477"/>
    <mergeCell ref="G477:H477"/>
    <mergeCell ref="C470:E470"/>
    <mergeCell ref="G470:H470"/>
    <mergeCell ref="C471:E471"/>
    <mergeCell ref="G471:H471"/>
    <mergeCell ref="C472:E472"/>
    <mergeCell ref="G472:H472"/>
    <mergeCell ref="C465:E465"/>
    <mergeCell ref="G465:H465"/>
    <mergeCell ref="C466:E466"/>
    <mergeCell ref="G466:H466"/>
    <mergeCell ref="A468:H468"/>
    <mergeCell ref="C469:E469"/>
    <mergeCell ref="G469:H469"/>
    <mergeCell ref="A461:H461"/>
    <mergeCell ref="C462:E462"/>
    <mergeCell ref="G462:H462"/>
    <mergeCell ref="C463:E463"/>
    <mergeCell ref="G463:H463"/>
    <mergeCell ref="C464:E464"/>
    <mergeCell ref="G464:H464"/>
    <mergeCell ref="A456:H456"/>
    <mergeCell ref="C457:E457"/>
    <mergeCell ref="G457:H457"/>
    <mergeCell ref="C458:E458"/>
    <mergeCell ref="G458:H458"/>
    <mergeCell ref="C459:E459"/>
    <mergeCell ref="G459:H459"/>
    <mergeCell ref="A451:H451"/>
    <mergeCell ref="C452:E452"/>
    <mergeCell ref="G452:H452"/>
    <mergeCell ref="C453:E453"/>
    <mergeCell ref="G453:H453"/>
    <mergeCell ref="C454:E454"/>
    <mergeCell ref="G454:H454"/>
    <mergeCell ref="A446:H446"/>
    <mergeCell ref="C447:E447"/>
    <mergeCell ref="G447:H447"/>
    <mergeCell ref="C448:E448"/>
    <mergeCell ref="G448:H448"/>
    <mergeCell ref="C449:E449"/>
    <mergeCell ref="G449:H449"/>
    <mergeCell ref="C442:E442"/>
    <mergeCell ref="G442:H442"/>
    <mergeCell ref="C443:E443"/>
    <mergeCell ref="G443:H443"/>
    <mergeCell ref="C444:E444"/>
    <mergeCell ref="G444:H444"/>
    <mergeCell ref="C437:E437"/>
    <mergeCell ref="G437:H437"/>
    <mergeCell ref="C438:E438"/>
    <mergeCell ref="G438:H438"/>
    <mergeCell ref="A440:H440"/>
    <mergeCell ref="C441:E441"/>
    <mergeCell ref="G441:H441"/>
    <mergeCell ref="C432:E432"/>
    <mergeCell ref="G432:H432"/>
    <mergeCell ref="A434:H434"/>
    <mergeCell ref="C435:E435"/>
    <mergeCell ref="G435:H435"/>
    <mergeCell ref="C436:E436"/>
    <mergeCell ref="G436:H436"/>
    <mergeCell ref="C429:E429"/>
    <mergeCell ref="G429:H429"/>
    <mergeCell ref="C430:E430"/>
    <mergeCell ref="G430:H430"/>
    <mergeCell ref="C431:E431"/>
    <mergeCell ref="G431:H431"/>
    <mergeCell ref="C424:E424"/>
    <mergeCell ref="G424:H424"/>
    <mergeCell ref="A426:H426"/>
    <mergeCell ref="C427:E427"/>
    <mergeCell ref="G427:H427"/>
    <mergeCell ref="C428:E428"/>
    <mergeCell ref="G428:H428"/>
    <mergeCell ref="A420:H420"/>
    <mergeCell ref="C421:E421"/>
    <mergeCell ref="G421:H421"/>
    <mergeCell ref="C422:E422"/>
    <mergeCell ref="G422:H422"/>
    <mergeCell ref="C423:E423"/>
    <mergeCell ref="G423:H423"/>
    <mergeCell ref="C416:E416"/>
    <mergeCell ref="G416:H416"/>
    <mergeCell ref="C417:E417"/>
    <mergeCell ref="G417:H417"/>
    <mergeCell ref="C418:E418"/>
    <mergeCell ref="G418:H418"/>
    <mergeCell ref="C411:E411"/>
    <mergeCell ref="G411:H411"/>
    <mergeCell ref="C412:E412"/>
    <mergeCell ref="G412:H412"/>
    <mergeCell ref="A414:H414"/>
    <mergeCell ref="C415:E415"/>
    <mergeCell ref="G415:H415"/>
    <mergeCell ref="C406:E406"/>
    <mergeCell ref="G406:H406"/>
    <mergeCell ref="C407:E407"/>
    <mergeCell ref="G407:H407"/>
    <mergeCell ref="A409:H409"/>
    <mergeCell ref="C410:E410"/>
    <mergeCell ref="G410:H410"/>
    <mergeCell ref="C401:E401"/>
    <mergeCell ref="G401:H401"/>
    <mergeCell ref="A403:H403"/>
    <mergeCell ref="C404:E404"/>
    <mergeCell ref="G404:H404"/>
    <mergeCell ref="C405:E405"/>
    <mergeCell ref="G405:H405"/>
    <mergeCell ref="C398:E398"/>
    <mergeCell ref="G398:H398"/>
    <mergeCell ref="C399:E399"/>
    <mergeCell ref="G399:H399"/>
    <mergeCell ref="C400:E400"/>
    <mergeCell ref="G400:H400"/>
    <mergeCell ref="C393:E393"/>
    <mergeCell ref="G393:H393"/>
    <mergeCell ref="C394:E394"/>
    <mergeCell ref="G394:H394"/>
    <mergeCell ref="A396:H396"/>
    <mergeCell ref="C397:E397"/>
    <mergeCell ref="G397:H397"/>
    <mergeCell ref="C388:E388"/>
    <mergeCell ref="G388:H388"/>
    <mergeCell ref="A390:H390"/>
    <mergeCell ref="C391:E391"/>
    <mergeCell ref="G391:H391"/>
    <mergeCell ref="C392:E392"/>
    <mergeCell ref="G392:H392"/>
    <mergeCell ref="C383:E383"/>
    <mergeCell ref="G383:H383"/>
    <mergeCell ref="A385:H385"/>
    <mergeCell ref="C386:E386"/>
    <mergeCell ref="G386:H386"/>
    <mergeCell ref="C387:E387"/>
    <mergeCell ref="G387:H387"/>
    <mergeCell ref="C378:E378"/>
    <mergeCell ref="G378:H378"/>
    <mergeCell ref="A380:H380"/>
    <mergeCell ref="C381:E381"/>
    <mergeCell ref="G381:H381"/>
    <mergeCell ref="C382:E382"/>
    <mergeCell ref="G382:H382"/>
    <mergeCell ref="A374:H374"/>
    <mergeCell ref="C375:E375"/>
    <mergeCell ref="G375:H375"/>
    <mergeCell ref="C376:E376"/>
    <mergeCell ref="G376:H376"/>
    <mergeCell ref="C377:E377"/>
    <mergeCell ref="G377:H377"/>
    <mergeCell ref="C370:E370"/>
    <mergeCell ref="G370:H370"/>
    <mergeCell ref="C371:E371"/>
    <mergeCell ref="G371:H371"/>
    <mergeCell ref="C372:E372"/>
    <mergeCell ref="G372:H372"/>
    <mergeCell ref="C365:E365"/>
    <mergeCell ref="G365:H365"/>
    <mergeCell ref="A367:H367"/>
    <mergeCell ref="C368:E368"/>
    <mergeCell ref="G368:H368"/>
    <mergeCell ref="C369:E369"/>
    <mergeCell ref="G369:H369"/>
    <mergeCell ref="A361:H361"/>
    <mergeCell ref="C362:E362"/>
    <mergeCell ref="G362:H362"/>
    <mergeCell ref="C363:E363"/>
    <mergeCell ref="G363:H363"/>
    <mergeCell ref="C364:E364"/>
    <mergeCell ref="G364:H364"/>
    <mergeCell ref="C357:E357"/>
    <mergeCell ref="G357:H357"/>
    <mergeCell ref="C358:E358"/>
    <mergeCell ref="G358:H358"/>
    <mergeCell ref="C359:E359"/>
    <mergeCell ref="G359:H359"/>
    <mergeCell ref="C352:E352"/>
    <mergeCell ref="G352:H352"/>
    <mergeCell ref="A354:H354"/>
    <mergeCell ref="C355:E355"/>
    <mergeCell ref="G355:H355"/>
    <mergeCell ref="C356:E356"/>
    <mergeCell ref="G356:H356"/>
    <mergeCell ref="A348:H348"/>
    <mergeCell ref="C349:E349"/>
    <mergeCell ref="G349:H349"/>
    <mergeCell ref="C350:E350"/>
    <mergeCell ref="G350:H350"/>
    <mergeCell ref="C351:E351"/>
    <mergeCell ref="G351:H351"/>
    <mergeCell ref="C344:E344"/>
    <mergeCell ref="G344:H344"/>
    <mergeCell ref="C345:E345"/>
    <mergeCell ref="G345:H345"/>
    <mergeCell ref="C346:E346"/>
    <mergeCell ref="G346:H346"/>
    <mergeCell ref="C339:E339"/>
    <mergeCell ref="G339:H339"/>
    <mergeCell ref="C340:E340"/>
    <mergeCell ref="G340:H340"/>
    <mergeCell ref="A342:H342"/>
    <mergeCell ref="C343:E343"/>
    <mergeCell ref="G343:H343"/>
    <mergeCell ref="C334:E334"/>
    <mergeCell ref="G334:H334"/>
    <mergeCell ref="A336:H336"/>
    <mergeCell ref="C337:E337"/>
    <mergeCell ref="G337:H337"/>
    <mergeCell ref="C338:E338"/>
    <mergeCell ref="G338:H338"/>
    <mergeCell ref="C329:E329"/>
    <mergeCell ref="G329:H329"/>
    <mergeCell ref="C330:E330"/>
    <mergeCell ref="G330:H330"/>
    <mergeCell ref="A332:H332"/>
    <mergeCell ref="C333:E333"/>
    <mergeCell ref="G333:H333"/>
    <mergeCell ref="C324:E324"/>
    <mergeCell ref="G324:H324"/>
    <mergeCell ref="C325:E325"/>
    <mergeCell ref="G325:H325"/>
    <mergeCell ref="A327:H327"/>
    <mergeCell ref="C328:E328"/>
    <mergeCell ref="G328:H328"/>
    <mergeCell ref="C319:E319"/>
    <mergeCell ref="G319:H319"/>
    <mergeCell ref="C320:E320"/>
    <mergeCell ref="G320:H320"/>
    <mergeCell ref="A322:H322"/>
    <mergeCell ref="C323:E323"/>
    <mergeCell ref="G323:H323"/>
    <mergeCell ref="A314:H314"/>
    <mergeCell ref="C315:E315"/>
    <mergeCell ref="G315:H315"/>
    <mergeCell ref="C316:E316"/>
    <mergeCell ref="G316:H316"/>
    <mergeCell ref="A318:H318"/>
    <mergeCell ref="C308:E308"/>
    <mergeCell ref="G308:H308"/>
    <mergeCell ref="A310:H310"/>
    <mergeCell ref="C311:E311"/>
    <mergeCell ref="G311:H311"/>
    <mergeCell ref="C312:E312"/>
    <mergeCell ref="G312:H312"/>
    <mergeCell ref="A304:H304"/>
    <mergeCell ref="C305:E305"/>
    <mergeCell ref="G305:H305"/>
    <mergeCell ref="C306:E306"/>
    <mergeCell ref="G306:H306"/>
    <mergeCell ref="C307:E307"/>
    <mergeCell ref="G307:H307"/>
    <mergeCell ref="C300:E300"/>
    <mergeCell ref="G300:H300"/>
    <mergeCell ref="C301:E301"/>
    <mergeCell ref="G301:H301"/>
    <mergeCell ref="C302:E302"/>
    <mergeCell ref="G302:H302"/>
    <mergeCell ref="A296:H296"/>
    <mergeCell ref="C297:E297"/>
    <mergeCell ref="G297:H297"/>
    <mergeCell ref="C298:E298"/>
    <mergeCell ref="G298:H298"/>
    <mergeCell ref="C299:E299"/>
    <mergeCell ref="G299:H299"/>
    <mergeCell ref="C292:E292"/>
    <mergeCell ref="G292:H292"/>
    <mergeCell ref="C293:E293"/>
    <mergeCell ref="G293:H293"/>
    <mergeCell ref="C294:E294"/>
    <mergeCell ref="G294:H294"/>
    <mergeCell ref="C287:E287"/>
    <mergeCell ref="G287:H287"/>
    <mergeCell ref="C288:E288"/>
    <mergeCell ref="G288:H288"/>
    <mergeCell ref="A290:H290"/>
    <mergeCell ref="C291:E291"/>
    <mergeCell ref="G291:H291"/>
    <mergeCell ref="C282:E282"/>
    <mergeCell ref="G282:H282"/>
    <mergeCell ref="A284:H284"/>
    <mergeCell ref="C285:E285"/>
    <mergeCell ref="G285:H285"/>
    <mergeCell ref="C286:E286"/>
    <mergeCell ref="G286:H286"/>
    <mergeCell ref="C277:E277"/>
    <mergeCell ref="G277:H277"/>
    <mergeCell ref="A279:H279"/>
    <mergeCell ref="C280:E280"/>
    <mergeCell ref="G280:H280"/>
    <mergeCell ref="C281:E281"/>
    <mergeCell ref="G281:H281"/>
    <mergeCell ref="A273:H273"/>
    <mergeCell ref="C274:E274"/>
    <mergeCell ref="G274:H274"/>
    <mergeCell ref="C275:E275"/>
    <mergeCell ref="G275:H275"/>
    <mergeCell ref="C276:E276"/>
    <mergeCell ref="G276:H276"/>
    <mergeCell ref="C269:E269"/>
    <mergeCell ref="G269:H269"/>
    <mergeCell ref="C270:E270"/>
    <mergeCell ref="G270:H270"/>
    <mergeCell ref="C271:E271"/>
    <mergeCell ref="G271:H271"/>
    <mergeCell ref="C264:E264"/>
    <mergeCell ref="G264:H264"/>
    <mergeCell ref="C265:E265"/>
    <mergeCell ref="G265:H265"/>
    <mergeCell ref="A267:H267"/>
    <mergeCell ref="C268:E268"/>
    <mergeCell ref="G268:H268"/>
    <mergeCell ref="C259:E259"/>
    <mergeCell ref="G259:H259"/>
    <mergeCell ref="A261:H261"/>
    <mergeCell ref="C262:E262"/>
    <mergeCell ref="G262:H262"/>
    <mergeCell ref="C263:E263"/>
    <mergeCell ref="G263:H263"/>
    <mergeCell ref="A255:H255"/>
    <mergeCell ref="C256:E256"/>
    <mergeCell ref="G256:H256"/>
    <mergeCell ref="C257:E257"/>
    <mergeCell ref="G257:H257"/>
    <mergeCell ref="C258:E258"/>
    <mergeCell ref="G258:H258"/>
    <mergeCell ref="C251:E251"/>
    <mergeCell ref="G251:H251"/>
    <mergeCell ref="C252:E252"/>
    <mergeCell ref="G252:H252"/>
    <mergeCell ref="C253:E253"/>
    <mergeCell ref="G253:H253"/>
    <mergeCell ref="C246:E246"/>
    <mergeCell ref="G246:H246"/>
    <mergeCell ref="C247:E247"/>
    <mergeCell ref="G247:H247"/>
    <mergeCell ref="A249:H249"/>
    <mergeCell ref="C250:E250"/>
    <mergeCell ref="G250:H250"/>
    <mergeCell ref="C241:E241"/>
    <mergeCell ref="G241:H241"/>
    <mergeCell ref="A243:H243"/>
    <mergeCell ref="C244:E244"/>
    <mergeCell ref="G244:H244"/>
    <mergeCell ref="C245:E245"/>
    <mergeCell ref="G245:H245"/>
    <mergeCell ref="C236:E236"/>
    <mergeCell ref="G236:H236"/>
    <mergeCell ref="C237:E237"/>
    <mergeCell ref="G237:H237"/>
    <mergeCell ref="A239:H239"/>
    <mergeCell ref="C240:E240"/>
    <mergeCell ref="G240:H240"/>
    <mergeCell ref="A231:H231"/>
    <mergeCell ref="C232:E232"/>
    <mergeCell ref="G232:H232"/>
    <mergeCell ref="C233:E233"/>
    <mergeCell ref="G233:H233"/>
    <mergeCell ref="A235:H235"/>
    <mergeCell ref="C225:E225"/>
    <mergeCell ref="G225:H225"/>
    <mergeCell ref="A227:H227"/>
    <mergeCell ref="C228:E228"/>
    <mergeCell ref="G228:H228"/>
    <mergeCell ref="C229:E229"/>
    <mergeCell ref="G229:H229"/>
    <mergeCell ref="C220:E220"/>
    <mergeCell ref="G220:H220"/>
    <mergeCell ref="C221:E221"/>
    <mergeCell ref="G221:H221"/>
    <mergeCell ref="A223:H223"/>
    <mergeCell ref="C224:E224"/>
    <mergeCell ref="G224:H224"/>
    <mergeCell ref="A215:H215"/>
    <mergeCell ref="C216:E216"/>
    <mergeCell ref="G216:H216"/>
    <mergeCell ref="C217:E217"/>
    <mergeCell ref="G217:H217"/>
    <mergeCell ref="A219:H219"/>
    <mergeCell ref="C209:E209"/>
    <mergeCell ref="G209:H209"/>
    <mergeCell ref="A211:H211"/>
    <mergeCell ref="C212:E212"/>
    <mergeCell ref="G212:H212"/>
    <mergeCell ref="C213:E213"/>
    <mergeCell ref="G213:H213"/>
    <mergeCell ref="C204:E204"/>
    <mergeCell ref="G204:H204"/>
    <mergeCell ref="A206:H206"/>
    <mergeCell ref="C207:E207"/>
    <mergeCell ref="G207:H207"/>
    <mergeCell ref="C208:E208"/>
    <mergeCell ref="G208:H208"/>
    <mergeCell ref="C199:E199"/>
    <mergeCell ref="G199:H199"/>
    <mergeCell ref="C200:E200"/>
    <mergeCell ref="G200:H200"/>
    <mergeCell ref="A202:H202"/>
    <mergeCell ref="C203:E203"/>
    <mergeCell ref="G203:H203"/>
    <mergeCell ref="A194:H194"/>
    <mergeCell ref="C195:E195"/>
    <mergeCell ref="G195:H195"/>
    <mergeCell ref="C196:E196"/>
    <mergeCell ref="G196:H196"/>
    <mergeCell ref="A198:H198"/>
    <mergeCell ref="C188:E188"/>
    <mergeCell ref="G188:H188"/>
    <mergeCell ref="A190:H190"/>
    <mergeCell ref="C191:E191"/>
    <mergeCell ref="G191:H191"/>
    <mergeCell ref="C192:E192"/>
    <mergeCell ref="G192:H192"/>
    <mergeCell ref="C183:E183"/>
    <mergeCell ref="G183:H183"/>
    <mergeCell ref="A185:H185"/>
    <mergeCell ref="C186:E186"/>
    <mergeCell ref="G186:H186"/>
    <mergeCell ref="C187:E187"/>
    <mergeCell ref="G187:H187"/>
    <mergeCell ref="C178:E178"/>
    <mergeCell ref="G178:H178"/>
    <mergeCell ref="C179:E179"/>
    <mergeCell ref="G179:H179"/>
    <mergeCell ref="A181:H181"/>
    <mergeCell ref="C182:E182"/>
    <mergeCell ref="G182:H182"/>
    <mergeCell ref="C175:E175"/>
    <mergeCell ref="G175:H175"/>
    <mergeCell ref="C176:E176"/>
    <mergeCell ref="G176:H176"/>
    <mergeCell ref="C177:E177"/>
    <mergeCell ref="G177:H177"/>
    <mergeCell ref="A170:H170"/>
    <mergeCell ref="C171:E171"/>
    <mergeCell ref="G171:H171"/>
    <mergeCell ref="C172:E172"/>
    <mergeCell ref="G172:H172"/>
    <mergeCell ref="A174:H174"/>
    <mergeCell ref="C166:E166"/>
    <mergeCell ref="G166:H166"/>
    <mergeCell ref="C167:E167"/>
    <mergeCell ref="G167:H167"/>
    <mergeCell ref="C168:E168"/>
    <mergeCell ref="G168:H168"/>
    <mergeCell ref="C161:E161"/>
    <mergeCell ref="G161:H161"/>
    <mergeCell ref="C162:E162"/>
    <mergeCell ref="G162:H162"/>
    <mergeCell ref="A164:H164"/>
    <mergeCell ref="C165:E165"/>
    <mergeCell ref="G165:H165"/>
    <mergeCell ref="C156:E156"/>
    <mergeCell ref="G156:H156"/>
    <mergeCell ref="C157:E157"/>
    <mergeCell ref="G157:H157"/>
    <mergeCell ref="A159:H159"/>
    <mergeCell ref="C160:E160"/>
    <mergeCell ref="G160:H160"/>
    <mergeCell ref="A154:H154"/>
    <mergeCell ref="C155:E155"/>
    <mergeCell ref="G155:H155"/>
    <mergeCell ref="A150:H150"/>
    <mergeCell ref="C151:E151"/>
    <mergeCell ref="G151:H151"/>
    <mergeCell ref="C152:E152"/>
    <mergeCell ref="G152:H152"/>
    <mergeCell ref="C144:E144"/>
    <mergeCell ref="G144:H144"/>
    <mergeCell ref="A146:H146"/>
    <mergeCell ref="C147:E147"/>
    <mergeCell ref="G147:H147"/>
    <mergeCell ref="C148:E148"/>
    <mergeCell ref="G148:H148"/>
    <mergeCell ref="C139:E139"/>
    <mergeCell ref="G139:H139"/>
    <mergeCell ref="A141:H141"/>
    <mergeCell ref="C142:E142"/>
    <mergeCell ref="G142:H142"/>
    <mergeCell ref="C143:E143"/>
    <mergeCell ref="G143:H143"/>
    <mergeCell ref="C134:E134"/>
    <mergeCell ref="G134:H134"/>
    <mergeCell ref="C135:E135"/>
    <mergeCell ref="G135:H135"/>
    <mergeCell ref="A137:H137"/>
    <mergeCell ref="C138:E138"/>
    <mergeCell ref="G138:H138"/>
    <mergeCell ref="C129:E129"/>
    <mergeCell ref="G129:H129"/>
    <mergeCell ref="C130:E130"/>
    <mergeCell ref="G130:H130"/>
    <mergeCell ref="A132:H132"/>
    <mergeCell ref="C133:E133"/>
    <mergeCell ref="G133:H133"/>
    <mergeCell ref="A124:H124"/>
    <mergeCell ref="C125:E125"/>
    <mergeCell ref="G125:H125"/>
    <mergeCell ref="C126:E126"/>
    <mergeCell ref="G126:H126"/>
    <mergeCell ref="A128:H128"/>
    <mergeCell ref="C120:E120"/>
    <mergeCell ref="G120:H120"/>
    <mergeCell ref="C121:E121"/>
    <mergeCell ref="G121:H121"/>
    <mergeCell ref="C122:E122"/>
    <mergeCell ref="G122:H122"/>
    <mergeCell ref="C115:E115"/>
    <mergeCell ref="G115:H115"/>
    <mergeCell ref="A117:H117"/>
    <mergeCell ref="C118:E118"/>
    <mergeCell ref="G118:H118"/>
    <mergeCell ref="C119:E119"/>
    <mergeCell ref="G119:H119"/>
    <mergeCell ref="C110:E110"/>
    <mergeCell ref="G110:H110"/>
    <mergeCell ref="A112:H112"/>
    <mergeCell ref="C113:E113"/>
    <mergeCell ref="G113:H113"/>
    <mergeCell ref="C114:E114"/>
    <mergeCell ref="G114:H114"/>
    <mergeCell ref="A106:H106"/>
    <mergeCell ref="C107:E107"/>
    <mergeCell ref="G107:H107"/>
    <mergeCell ref="C108:E108"/>
    <mergeCell ref="G108:H108"/>
    <mergeCell ref="C109:E109"/>
    <mergeCell ref="G109:H109"/>
    <mergeCell ref="C100:E100"/>
    <mergeCell ref="G100:H100"/>
    <mergeCell ref="A102:H102"/>
    <mergeCell ref="C103:E103"/>
    <mergeCell ref="G103:H103"/>
    <mergeCell ref="C104:E104"/>
    <mergeCell ref="G104:H104"/>
    <mergeCell ref="C95:E95"/>
    <mergeCell ref="G95:H95"/>
    <mergeCell ref="A97:H97"/>
    <mergeCell ref="C98:E98"/>
    <mergeCell ref="G98:H98"/>
    <mergeCell ref="C99:E99"/>
    <mergeCell ref="G99:H99"/>
    <mergeCell ref="A91:H91"/>
    <mergeCell ref="C92:E92"/>
    <mergeCell ref="G92:H92"/>
    <mergeCell ref="C93:E93"/>
    <mergeCell ref="G93:H93"/>
    <mergeCell ref="C94:E94"/>
    <mergeCell ref="G94:H94"/>
    <mergeCell ref="C87:E87"/>
    <mergeCell ref="G87:H87"/>
    <mergeCell ref="C88:E88"/>
    <mergeCell ref="G88:H88"/>
    <mergeCell ref="C89:E89"/>
    <mergeCell ref="G89:H89"/>
    <mergeCell ref="A82:H82"/>
    <mergeCell ref="C83:E83"/>
    <mergeCell ref="G83:H83"/>
    <mergeCell ref="C84:E84"/>
    <mergeCell ref="G84:H84"/>
    <mergeCell ref="A86:H86"/>
    <mergeCell ref="A77:H77"/>
    <mergeCell ref="C78:E78"/>
    <mergeCell ref="G78:H78"/>
    <mergeCell ref="C79:E79"/>
    <mergeCell ref="G79:H79"/>
    <mergeCell ref="C80:E80"/>
    <mergeCell ref="G80:H80"/>
    <mergeCell ref="C71:E71"/>
    <mergeCell ref="G71:H71"/>
    <mergeCell ref="A73:H73"/>
    <mergeCell ref="C74:E74"/>
    <mergeCell ref="G74:H74"/>
    <mergeCell ref="C75:E75"/>
    <mergeCell ref="G75:H75"/>
    <mergeCell ref="C68:E68"/>
    <mergeCell ref="G68:H68"/>
    <mergeCell ref="C69:E69"/>
    <mergeCell ref="G69:H69"/>
    <mergeCell ref="C70:E70"/>
    <mergeCell ref="G70:H70"/>
    <mergeCell ref="C63:E63"/>
    <mergeCell ref="G63:H63"/>
    <mergeCell ref="C64:E64"/>
    <mergeCell ref="G64:H64"/>
    <mergeCell ref="A66:H66"/>
    <mergeCell ref="C67:E67"/>
    <mergeCell ref="G67:H67"/>
    <mergeCell ref="C58:E58"/>
    <mergeCell ref="G58:H58"/>
    <mergeCell ref="C59:E59"/>
    <mergeCell ref="G59:H59"/>
    <mergeCell ref="A61:H61"/>
    <mergeCell ref="C62:E62"/>
    <mergeCell ref="G62:H62"/>
    <mergeCell ref="A53:H53"/>
    <mergeCell ref="C54:E54"/>
    <mergeCell ref="G54:H54"/>
    <mergeCell ref="C55:E55"/>
    <mergeCell ref="G55:H55"/>
    <mergeCell ref="A57:H57"/>
    <mergeCell ref="C47:E47"/>
    <mergeCell ref="G47:H47"/>
    <mergeCell ref="A49:H49"/>
    <mergeCell ref="C50:E50"/>
    <mergeCell ref="G50:H50"/>
    <mergeCell ref="C51:E51"/>
    <mergeCell ref="G51:H51"/>
    <mergeCell ref="A43:H43"/>
    <mergeCell ref="C44:E44"/>
    <mergeCell ref="G44:H44"/>
    <mergeCell ref="C45:E45"/>
    <mergeCell ref="G45:H45"/>
    <mergeCell ref="C46:E46"/>
    <mergeCell ref="G46:H46"/>
    <mergeCell ref="A38:H38"/>
    <mergeCell ref="C39:E39"/>
    <mergeCell ref="G39:H39"/>
    <mergeCell ref="C40:E40"/>
    <mergeCell ref="G40:H40"/>
    <mergeCell ref="C41:E41"/>
    <mergeCell ref="G41:H41"/>
    <mergeCell ref="C32:E32"/>
    <mergeCell ref="G32:H32"/>
    <mergeCell ref="A34:H34"/>
    <mergeCell ref="C35:E35"/>
    <mergeCell ref="G35:H35"/>
    <mergeCell ref="C36:E36"/>
    <mergeCell ref="G36:H36"/>
    <mergeCell ref="C27:E27"/>
    <mergeCell ref="G27:H27"/>
    <mergeCell ref="A29:H29"/>
    <mergeCell ref="C30:E30"/>
    <mergeCell ref="G30:H30"/>
    <mergeCell ref="C31:E31"/>
    <mergeCell ref="G31:H31"/>
    <mergeCell ref="C22:E22"/>
    <mergeCell ref="G22:H22"/>
    <mergeCell ref="A24:H24"/>
    <mergeCell ref="C25:E25"/>
    <mergeCell ref="G25:H25"/>
    <mergeCell ref="C26:E26"/>
    <mergeCell ref="G26:H26"/>
    <mergeCell ref="D3:H3"/>
    <mergeCell ref="D4:H4"/>
    <mergeCell ref="B6:H6"/>
    <mergeCell ref="A7:E7"/>
    <mergeCell ref="F7:H7"/>
    <mergeCell ref="A10:H10"/>
    <mergeCell ref="A18:H18"/>
    <mergeCell ref="C19:E19"/>
    <mergeCell ref="G19:H19"/>
    <mergeCell ref="C20:E20"/>
    <mergeCell ref="G20:H20"/>
    <mergeCell ref="C21:E21"/>
    <mergeCell ref="G21:H21"/>
    <mergeCell ref="C14:E14"/>
    <mergeCell ref="G14:H14"/>
    <mergeCell ref="C15:E15"/>
    <mergeCell ref="G15:H15"/>
    <mergeCell ref="C16:E16"/>
    <mergeCell ref="G16:H16"/>
    <mergeCell ref="C11:E11"/>
    <mergeCell ref="G11:H11"/>
    <mergeCell ref="C12:E12"/>
    <mergeCell ref="G12:H12"/>
    <mergeCell ref="C13:E13"/>
    <mergeCell ref="G13:H13"/>
  </mergeCells>
  <pageMargins left="0.98425196850393704" right="0.98425196850393704" top="0.39370078740157483" bottom="0.39370078740157483" header="0.19685039370078741" footer="0.19685039370078741"/>
  <pageSetup paperSize="9" scale="90" fitToHeight="0" pageOrder="overThenDown" orientation="portrait" r:id="rId1"/>
  <headerFooter>
    <oddFooter>&amp;R&amp;P</oddFooter>
  </headerFooter>
  <rowBreaks count="4" manualBreakCount="4">
    <brk id="373" max="16383" man="1"/>
    <brk id="439" max="16383" man="1"/>
    <brk id="658" max="16383" man="1"/>
    <brk id="7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1"/>
  <sheetViews>
    <sheetView zoomScale="90" zoomScaleNormal="90" workbookViewId="0">
      <pane xSplit="7" ySplit="6" topLeftCell="H124" activePane="bottomRight" state="frozen"/>
      <selection pane="topRight" activeCell="H1" sqref="H1"/>
      <selection pane="bottomLeft" activeCell="A7" sqref="A7"/>
      <selection pane="bottomRight" activeCell="P139" sqref="P139"/>
    </sheetView>
  </sheetViews>
  <sheetFormatPr defaultRowHeight="12.75" x14ac:dyDescent="0.2"/>
  <cols>
    <col min="1" max="1" width="3.28515625" style="136" customWidth="1"/>
    <col min="2" max="2" width="10.140625" style="106" customWidth="1"/>
    <col min="3" max="3" width="42.140625" style="257" customWidth="1"/>
    <col min="4" max="4" width="4.140625" style="257" customWidth="1"/>
    <col min="5" max="5" width="12.7109375" style="257" customWidth="1"/>
    <col min="6" max="6" width="10.42578125" style="136" customWidth="1"/>
    <col min="7" max="7" width="11" style="136" customWidth="1"/>
    <col min="8" max="11" width="11.140625" style="136" customWidth="1"/>
    <col min="12" max="13" width="10.85546875" style="136" customWidth="1"/>
    <col min="14" max="14" width="11" style="136" customWidth="1"/>
    <col min="15" max="15" width="12.28515625" style="136" customWidth="1"/>
    <col min="16" max="19" width="11.140625" style="136" customWidth="1"/>
    <col min="20" max="23" width="11.7109375" style="136" customWidth="1"/>
    <col min="24" max="24" width="13.140625" style="136" customWidth="1"/>
    <col min="25" max="16384" width="9.140625" style="136"/>
  </cols>
  <sheetData>
    <row r="1" spans="1:24" x14ac:dyDescent="0.2">
      <c r="B1" s="253"/>
      <c r="C1" s="254"/>
      <c r="D1" s="254"/>
      <c r="E1" s="254"/>
      <c r="F1" s="255"/>
      <c r="G1" s="255"/>
      <c r="H1" s="256"/>
      <c r="K1" s="102" t="s">
        <v>454</v>
      </c>
    </row>
    <row r="2" spans="1:24" ht="15" x14ac:dyDescent="0.25">
      <c r="B2" s="253"/>
      <c r="C2" s="254"/>
      <c r="D2" s="254"/>
      <c r="E2" s="254"/>
      <c r="F2" s="255"/>
      <c r="G2" s="255"/>
      <c r="H2" s="256"/>
      <c r="K2" s="103" t="s">
        <v>846</v>
      </c>
    </row>
    <row r="3" spans="1:24" ht="15" x14ac:dyDescent="0.25">
      <c r="K3" s="103" t="s">
        <v>848</v>
      </c>
    </row>
    <row r="4" spans="1:24" ht="18" customHeight="1" x14ac:dyDescent="0.25">
      <c r="A4" s="580" t="s">
        <v>520</v>
      </c>
      <c r="B4" s="580"/>
      <c r="C4" s="580"/>
      <c r="D4" s="580"/>
      <c r="E4" s="580"/>
      <c r="F4" s="580"/>
      <c r="G4" s="580"/>
      <c r="H4" s="580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</row>
    <row r="5" spans="1:24" s="257" customFormat="1" ht="12.75" customHeight="1" x14ac:dyDescent="0.2">
      <c r="A5" s="581" t="s">
        <v>455</v>
      </c>
      <c r="B5" s="583" t="s">
        <v>456</v>
      </c>
      <c r="C5" s="585" t="s">
        <v>457</v>
      </c>
      <c r="D5" s="259"/>
      <c r="E5" s="259" t="s">
        <v>458</v>
      </c>
      <c r="F5" s="259" t="s">
        <v>459</v>
      </c>
      <c r="G5" s="259" t="s">
        <v>460</v>
      </c>
      <c r="H5" s="260"/>
      <c r="I5" s="260"/>
      <c r="J5" s="260"/>
      <c r="K5" s="260"/>
      <c r="L5" s="260"/>
      <c r="M5" s="260"/>
      <c r="N5" s="260"/>
      <c r="O5" s="260"/>
      <c r="P5" s="260"/>
      <c r="Q5" s="261"/>
      <c r="R5" s="261"/>
      <c r="S5" s="261"/>
      <c r="T5" s="261"/>
      <c r="U5" s="261"/>
      <c r="V5" s="261"/>
      <c r="W5" s="261"/>
      <c r="X5" s="262" t="s">
        <v>461</v>
      </c>
    </row>
    <row r="6" spans="1:24" s="257" customFormat="1" x14ac:dyDescent="0.2">
      <c r="A6" s="582"/>
      <c r="B6" s="584"/>
      <c r="C6" s="586"/>
      <c r="D6" s="263"/>
      <c r="E6" s="263" t="s">
        <v>462</v>
      </c>
      <c r="F6" s="263" t="s">
        <v>463</v>
      </c>
      <c r="G6" s="263" t="s">
        <v>279</v>
      </c>
      <c r="H6" s="263">
        <v>2020</v>
      </c>
      <c r="I6" s="263">
        <f t="shared" ref="I6:V6" si="0">SUM(H6+1)</f>
        <v>2021</v>
      </c>
      <c r="J6" s="263">
        <f t="shared" si="0"/>
        <v>2022</v>
      </c>
      <c r="K6" s="263">
        <f t="shared" si="0"/>
        <v>2023</v>
      </c>
      <c r="L6" s="263">
        <f t="shared" si="0"/>
        <v>2024</v>
      </c>
      <c r="M6" s="263">
        <f t="shared" si="0"/>
        <v>2025</v>
      </c>
      <c r="N6" s="263">
        <f t="shared" si="0"/>
        <v>2026</v>
      </c>
      <c r="O6" s="263">
        <f t="shared" si="0"/>
        <v>2027</v>
      </c>
      <c r="P6" s="263">
        <f t="shared" si="0"/>
        <v>2028</v>
      </c>
      <c r="Q6" s="263">
        <f t="shared" si="0"/>
        <v>2029</v>
      </c>
      <c r="R6" s="263">
        <f t="shared" si="0"/>
        <v>2030</v>
      </c>
      <c r="S6" s="263">
        <f t="shared" si="0"/>
        <v>2031</v>
      </c>
      <c r="T6" s="263">
        <f t="shared" si="0"/>
        <v>2032</v>
      </c>
      <c r="U6" s="263">
        <f t="shared" si="0"/>
        <v>2033</v>
      </c>
      <c r="V6" s="263">
        <f t="shared" si="0"/>
        <v>2034</v>
      </c>
      <c r="W6" s="264" t="s">
        <v>753</v>
      </c>
      <c r="X6" s="265" t="s">
        <v>464</v>
      </c>
    </row>
    <row r="7" spans="1:24" s="106" customFormat="1" x14ac:dyDescent="0.2">
      <c r="A7" s="514">
        <v>1</v>
      </c>
      <c r="B7" s="217" t="s">
        <v>466</v>
      </c>
      <c r="C7" s="569" t="s">
        <v>754</v>
      </c>
      <c r="D7" s="569">
        <v>648</v>
      </c>
      <c r="E7" s="575">
        <v>45201391.5</v>
      </c>
      <c r="F7" s="573" t="s">
        <v>525</v>
      </c>
      <c r="G7" s="266" t="s">
        <v>465</v>
      </c>
      <c r="H7" s="267">
        <v>5489516</v>
      </c>
      <c r="I7" s="267">
        <v>5307920</v>
      </c>
      <c r="J7" s="267">
        <v>4563372</v>
      </c>
      <c r="K7" s="267">
        <v>4178496</v>
      </c>
      <c r="L7" s="267">
        <v>3888532</v>
      </c>
      <c r="M7" s="267">
        <v>3795232</v>
      </c>
      <c r="N7" s="267">
        <v>3470364</v>
      </c>
      <c r="O7" s="267">
        <v>1653540</v>
      </c>
      <c r="P7" s="267">
        <v>1134524</v>
      </c>
      <c r="Q7" s="267">
        <v>936532</v>
      </c>
      <c r="R7" s="267">
        <v>747604</v>
      </c>
      <c r="S7" s="267">
        <v>747604</v>
      </c>
      <c r="T7" s="267">
        <v>747604</v>
      </c>
      <c r="U7" s="267">
        <v>725552</v>
      </c>
      <c r="V7" s="268">
        <v>269152</v>
      </c>
      <c r="W7" s="268">
        <v>0</v>
      </c>
      <c r="X7" s="105">
        <f t="shared" ref="X7:X38" si="1">SUM(H7:W7)</f>
        <v>37655544</v>
      </c>
    </row>
    <row r="8" spans="1:24" s="106" customFormat="1" x14ac:dyDescent="0.2">
      <c r="A8" s="515"/>
      <c r="B8" s="165" t="s">
        <v>526</v>
      </c>
      <c r="C8" s="570"/>
      <c r="D8" s="570"/>
      <c r="E8" s="576"/>
      <c r="F8" s="574"/>
      <c r="G8" s="164">
        <v>2.5000000000000001E-3</v>
      </c>
      <c r="H8" s="269">
        <v>97795</v>
      </c>
      <c r="I8" s="269">
        <v>95385</v>
      </c>
      <c r="J8" s="269">
        <v>79680</v>
      </c>
      <c r="K8" s="269">
        <v>65920</v>
      </c>
      <c r="L8" s="269">
        <v>53485</v>
      </c>
      <c r="M8" s="269">
        <v>41515</v>
      </c>
      <c r="N8" s="269">
        <v>30165</v>
      </c>
      <c r="O8" s="269">
        <v>20710</v>
      </c>
      <c r="P8" s="269">
        <v>15750</v>
      </c>
      <c r="Q8" s="269">
        <v>12295</v>
      </c>
      <c r="R8" s="269">
        <v>9530</v>
      </c>
      <c r="S8" s="269">
        <v>7225</v>
      </c>
      <c r="T8" s="269">
        <v>4965</v>
      </c>
      <c r="U8" s="269">
        <v>2690</v>
      </c>
      <c r="V8" s="270">
        <f>770</f>
        <v>770</v>
      </c>
      <c r="W8" s="270">
        <f>50-5</f>
        <v>45</v>
      </c>
      <c r="X8" s="109">
        <f t="shared" si="1"/>
        <v>537925</v>
      </c>
    </row>
    <row r="9" spans="1:24" s="106" customFormat="1" x14ac:dyDescent="0.2">
      <c r="A9" s="551">
        <v>2</v>
      </c>
      <c r="B9" s="222" t="s">
        <v>466</v>
      </c>
      <c r="C9" s="557" t="s">
        <v>467</v>
      </c>
      <c r="D9" s="557">
        <v>628</v>
      </c>
      <c r="E9" s="556">
        <v>119421</v>
      </c>
      <c r="F9" s="579" t="s">
        <v>468</v>
      </c>
      <c r="G9" s="271" t="s">
        <v>465</v>
      </c>
      <c r="H9" s="115">
        <v>6728</v>
      </c>
      <c r="I9" s="115">
        <v>6728</v>
      </c>
      <c r="J9" s="115">
        <v>6728</v>
      </c>
      <c r="K9" s="115">
        <v>6728</v>
      </c>
      <c r="L9" s="115">
        <v>6728</v>
      </c>
      <c r="M9" s="115">
        <v>6728</v>
      </c>
      <c r="N9" s="115">
        <v>6728</v>
      </c>
      <c r="O9" s="115">
        <v>6728</v>
      </c>
      <c r="P9" s="115">
        <v>6728</v>
      </c>
      <c r="Q9" s="115">
        <v>6728</v>
      </c>
      <c r="R9" s="115">
        <v>6728</v>
      </c>
      <c r="S9" s="115">
        <v>6728</v>
      </c>
      <c r="T9" s="115">
        <v>6728</v>
      </c>
      <c r="U9" s="272">
        <v>6728</v>
      </c>
      <c r="V9" s="272">
        <v>6728</v>
      </c>
      <c r="W9" s="272">
        <v>1682</v>
      </c>
      <c r="X9" s="105">
        <f t="shared" si="1"/>
        <v>102602</v>
      </c>
    </row>
    <row r="10" spans="1:24" s="106" customFormat="1" x14ac:dyDescent="0.2">
      <c r="A10" s="552"/>
      <c r="B10" s="221" t="s">
        <v>469</v>
      </c>
      <c r="C10" s="560"/>
      <c r="D10" s="560"/>
      <c r="E10" s="559"/>
      <c r="F10" s="560"/>
      <c r="G10" s="164">
        <v>2.5000000000000001E-3</v>
      </c>
      <c r="H10" s="111">
        <v>300</v>
      </c>
      <c r="I10" s="111">
        <v>290</v>
      </c>
      <c r="J10" s="111">
        <v>270</v>
      </c>
      <c r="K10" s="111">
        <v>250</v>
      </c>
      <c r="L10" s="111">
        <v>230</v>
      </c>
      <c r="M10" s="111">
        <v>210</v>
      </c>
      <c r="N10" s="111">
        <v>190</v>
      </c>
      <c r="O10" s="111">
        <v>170</v>
      </c>
      <c r="P10" s="111">
        <v>150</v>
      </c>
      <c r="Q10" s="111">
        <v>125</v>
      </c>
      <c r="R10" s="111">
        <v>105</v>
      </c>
      <c r="S10" s="111">
        <v>85</v>
      </c>
      <c r="T10" s="111">
        <v>65</v>
      </c>
      <c r="U10" s="273">
        <v>45</v>
      </c>
      <c r="V10" s="273">
        <v>25</v>
      </c>
      <c r="W10" s="273">
        <v>5</v>
      </c>
      <c r="X10" s="109">
        <f t="shared" si="1"/>
        <v>2515</v>
      </c>
    </row>
    <row r="11" spans="1:24" s="106" customFormat="1" x14ac:dyDescent="0.2">
      <c r="A11" s="541">
        <v>3</v>
      </c>
      <c r="B11" s="219" t="s">
        <v>466</v>
      </c>
      <c r="C11" s="527" t="s">
        <v>470</v>
      </c>
      <c r="D11" s="527">
        <v>629</v>
      </c>
      <c r="E11" s="549">
        <v>463710</v>
      </c>
      <c r="F11" s="527" t="s">
        <v>471</v>
      </c>
      <c r="G11" s="274" t="s">
        <v>465</v>
      </c>
      <c r="H11" s="104">
        <v>25412</v>
      </c>
      <c r="I11" s="104">
        <v>25412</v>
      </c>
      <c r="J11" s="104">
        <v>25412</v>
      </c>
      <c r="K11" s="104">
        <v>25412</v>
      </c>
      <c r="L11" s="104">
        <v>25412</v>
      </c>
      <c r="M11" s="104">
        <v>25412</v>
      </c>
      <c r="N11" s="104">
        <v>25412</v>
      </c>
      <c r="O11" s="104">
        <v>25412</v>
      </c>
      <c r="P11" s="104">
        <v>25412</v>
      </c>
      <c r="Q11" s="104">
        <v>25412</v>
      </c>
      <c r="R11" s="104">
        <v>25412</v>
      </c>
      <c r="S11" s="104">
        <v>25412</v>
      </c>
      <c r="T11" s="104">
        <v>25412</v>
      </c>
      <c r="U11" s="275">
        <v>25412</v>
      </c>
      <c r="V11" s="275">
        <v>25412</v>
      </c>
      <c r="W11" s="275">
        <v>6353</v>
      </c>
      <c r="X11" s="105">
        <f t="shared" si="1"/>
        <v>387533</v>
      </c>
    </row>
    <row r="12" spans="1:24" s="106" customFormat="1" x14ac:dyDescent="0.2">
      <c r="A12" s="542"/>
      <c r="B12" s="220" t="s">
        <v>472</v>
      </c>
      <c r="C12" s="517"/>
      <c r="D12" s="517"/>
      <c r="E12" s="550"/>
      <c r="F12" s="517"/>
      <c r="G12" s="164">
        <v>2.5000000000000001E-3</v>
      </c>
      <c r="H12" s="108">
        <v>1120</v>
      </c>
      <c r="I12" s="108">
        <v>1090</v>
      </c>
      <c r="J12" s="108">
        <v>1015</v>
      </c>
      <c r="K12" s="108">
        <v>935</v>
      </c>
      <c r="L12" s="108">
        <v>865</v>
      </c>
      <c r="M12" s="108">
        <v>785</v>
      </c>
      <c r="N12" s="108">
        <v>705</v>
      </c>
      <c r="O12" s="108">
        <v>630</v>
      </c>
      <c r="P12" s="108">
        <v>555</v>
      </c>
      <c r="Q12" s="108">
        <v>475</v>
      </c>
      <c r="R12" s="108">
        <v>395</v>
      </c>
      <c r="S12" s="108">
        <v>320</v>
      </c>
      <c r="T12" s="108">
        <v>240</v>
      </c>
      <c r="U12" s="276">
        <v>165</v>
      </c>
      <c r="V12" s="276">
        <v>85</v>
      </c>
      <c r="W12" s="276">
        <v>15</v>
      </c>
      <c r="X12" s="109">
        <f t="shared" si="1"/>
        <v>9395</v>
      </c>
    </row>
    <row r="13" spans="1:24" s="277" customFormat="1" x14ac:dyDescent="0.2">
      <c r="A13" s="551">
        <v>4</v>
      </c>
      <c r="B13" s="222" t="s">
        <v>466</v>
      </c>
      <c r="C13" s="557" t="s">
        <v>473</v>
      </c>
      <c r="D13" s="557">
        <v>630</v>
      </c>
      <c r="E13" s="556">
        <v>162998</v>
      </c>
      <c r="F13" s="557" t="s">
        <v>474</v>
      </c>
      <c r="G13" s="271" t="s">
        <v>465</v>
      </c>
      <c r="H13" s="166">
        <v>6950.39</v>
      </c>
      <c r="I13" s="137">
        <v>6976</v>
      </c>
      <c r="J13" s="137">
        <v>6976</v>
      </c>
      <c r="K13" s="137">
        <v>6976</v>
      </c>
      <c r="L13" s="137">
        <v>6976</v>
      </c>
      <c r="M13" s="137">
        <v>6976</v>
      </c>
      <c r="N13" s="137">
        <v>6976</v>
      </c>
      <c r="O13" s="137">
        <v>6976</v>
      </c>
      <c r="P13" s="137">
        <v>6976</v>
      </c>
      <c r="Q13" s="137">
        <v>6976</v>
      </c>
      <c r="R13" s="137">
        <v>6976</v>
      </c>
      <c r="S13" s="137">
        <v>6976</v>
      </c>
      <c r="T13" s="137">
        <v>6976</v>
      </c>
      <c r="U13" s="137">
        <v>6976</v>
      </c>
      <c r="V13" s="137">
        <v>6976</v>
      </c>
      <c r="W13" s="137">
        <v>3488</v>
      </c>
      <c r="X13" s="105">
        <f t="shared" si="1"/>
        <v>108102.39</v>
      </c>
    </row>
    <row r="14" spans="1:24" s="106" customFormat="1" x14ac:dyDescent="0.2">
      <c r="A14" s="552"/>
      <c r="B14" s="221" t="s">
        <v>475</v>
      </c>
      <c r="C14" s="560"/>
      <c r="D14" s="560"/>
      <c r="E14" s="559"/>
      <c r="F14" s="560"/>
      <c r="G14" s="164">
        <v>2.5000000000000001E-3</v>
      </c>
      <c r="H14" s="111">
        <v>300</v>
      </c>
      <c r="I14" s="116">
        <v>305</v>
      </c>
      <c r="J14" s="116">
        <v>285</v>
      </c>
      <c r="K14" s="116">
        <v>265</v>
      </c>
      <c r="L14" s="116">
        <v>245</v>
      </c>
      <c r="M14" s="116">
        <v>220</v>
      </c>
      <c r="N14" s="116">
        <v>200</v>
      </c>
      <c r="O14" s="116">
        <v>180</v>
      </c>
      <c r="P14" s="116">
        <v>160</v>
      </c>
      <c r="Q14" s="116">
        <v>135</v>
      </c>
      <c r="R14" s="116">
        <v>115</v>
      </c>
      <c r="S14" s="116">
        <v>95</v>
      </c>
      <c r="T14" s="116">
        <v>75</v>
      </c>
      <c r="U14" s="138">
        <v>50</v>
      </c>
      <c r="V14" s="138">
        <v>30</v>
      </c>
      <c r="W14" s="138">
        <v>10</v>
      </c>
      <c r="X14" s="109">
        <f t="shared" si="1"/>
        <v>2670</v>
      </c>
    </row>
    <row r="15" spans="1:24" s="106" customFormat="1" x14ac:dyDescent="0.2">
      <c r="A15" s="541">
        <v>5</v>
      </c>
      <c r="B15" s="219" t="s">
        <v>476</v>
      </c>
      <c r="C15" s="527" t="s">
        <v>477</v>
      </c>
      <c r="D15" s="527">
        <v>631</v>
      </c>
      <c r="E15" s="549">
        <f>89504-0.24</f>
        <v>89503.76</v>
      </c>
      <c r="F15" s="527" t="s">
        <v>478</v>
      </c>
      <c r="G15" s="274" t="s">
        <v>465</v>
      </c>
      <c r="H15" s="117">
        <v>5116</v>
      </c>
      <c r="I15" s="117">
        <v>5116</v>
      </c>
      <c r="J15" s="117">
        <v>5116</v>
      </c>
      <c r="K15" s="117">
        <v>5116</v>
      </c>
      <c r="L15" s="117">
        <v>5116</v>
      </c>
      <c r="M15" s="117">
        <v>5116</v>
      </c>
      <c r="N15" s="117">
        <v>5116</v>
      </c>
      <c r="O15" s="117">
        <v>5116</v>
      </c>
      <c r="P15" s="117">
        <v>5116</v>
      </c>
      <c r="Q15" s="117">
        <v>5116</v>
      </c>
      <c r="R15" s="117">
        <v>5116</v>
      </c>
      <c r="S15" s="117">
        <v>5116</v>
      </c>
      <c r="T15" s="117">
        <v>5116</v>
      </c>
      <c r="U15" s="142">
        <f>5116</f>
        <v>5116</v>
      </c>
      <c r="V15" s="142">
        <v>5116</v>
      </c>
      <c r="W15" s="142">
        <v>2557.7600000000002</v>
      </c>
      <c r="X15" s="105">
        <f t="shared" si="1"/>
        <v>79297.759999999995</v>
      </c>
    </row>
    <row r="16" spans="1:24" s="106" customFormat="1" x14ac:dyDescent="0.2">
      <c r="A16" s="542"/>
      <c r="B16" s="220" t="s">
        <v>479</v>
      </c>
      <c r="C16" s="517"/>
      <c r="D16" s="517"/>
      <c r="E16" s="550"/>
      <c r="F16" s="517"/>
      <c r="G16" s="164">
        <v>2.5000000000000001E-3</v>
      </c>
      <c r="H16" s="108">
        <v>220</v>
      </c>
      <c r="I16" s="118">
        <v>225</v>
      </c>
      <c r="J16" s="118">
        <v>210</v>
      </c>
      <c r="K16" s="118">
        <v>195</v>
      </c>
      <c r="L16" s="118">
        <v>180</v>
      </c>
      <c r="M16" s="118">
        <v>165</v>
      </c>
      <c r="N16" s="118">
        <v>150</v>
      </c>
      <c r="O16" s="118">
        <v>130</v>
      </c>
      <c r="P16" s="118">
        <v>115</v>
      </c>
      <c r="Q16" s="118">
        <v>100</v>
      </c>
      <c r="R16" s="118">
        <v>85</v>
      </c>
      <c r="S16" s="118">
        <v>70</v>
      </c>
      <c r="T16" s="118">
        <v>55</v>
      </c>
      <c r="U16" s="167">
        <v>40</v>
      </c>
      <c r="V16" s="167">
        <v>25</v>
      </c>
      <c r="W16" s="167">
        <v>5</v>
      </c>
      <c r="X16" s="109">
        <f t="shared" si="1"/>
        <v>1970</v>
      </c>
    </row>
    <row r="17" spans="1:24" s="106" customFormat="1" ht="16.5" customHeight="1" x14ac:dyDescent="0.2">
      <c r="A17" s="551">
        <v>6</v>
      </c>
      <c r="B17" s="219" t="s">
        <v>466</v>
      </c>
      <c r="C17" s="557" t="s">
        <v>480</v>
      </c>
      <c r="D17" s="557">
        <v>632</v>
      </c>
      <c r="E17" s="556">
        <v>1331708.19</v>
      </c>
      <c r="F17" s="557" t="s">
        <v>481</v>
      </c>
      <c r="G17" s="274" t="s">
        <v>465</v>
      </c>
      <c r="H17" s="115">
        <v>4000</v>
      </c>
      <c r="I17" s="115">
        <v>4000</v>
      </c>
      <c r="J17" s="115">
        <v>20000</v>
      </c>
      <c r="K17" s="115">
        <v>20000</v>
      </c>
      <c r="L17" s="115">
        <v>20000</v>
      </c>
      <c r="M17" s="115">
        <v>20000</v>
      </c>
      <c r="N17" s="115">
        <v>50000</v>
      </c>
      <c r="O17" s="115">
        <v>79000</v>
      </c>
      <c r="P17" s="115">
        <v>79000</v>
      </c>
      <c r="Q17" s="115">
        <v>79000</v>
      </c>
      <c r="R17" s="115">
        <v>79000</v>
      </c>
      <c r="S17" s="115">
        <v>79000</v>
      </c>
      <c r="T17" s="110">
        <v>79000</v>
      </c>
      <c r="U17" s="278">
        <f>79000</f>
        <v>79000</v>
      </c>
      <c r="V17" s="278">
        <v>79000</v>
      </c>
      <c r="W17" s="278">
        <v>59250</v>
      </c>
      <c r="X17" s="105">
        <f t="shared" si="1"/>
        <v>829250</v>
      </c>
    </row>
    <row r="18" spans="1:24" s="106" customFormat="1" ht="16.5" customHeight="1" x14ac:dyDescent="0.2">
      <c r="A18" s="552"/>
      <c r="B18" s="220" t="s">
        <v>482</v>
      </c>
      <c r="C18" s="560"/>
      <c r="D18" s="560"/>
      <c r="E18" s="559"/>
      <c r="F18" s="560"/>
      <c r="G18" s="164">
        <v>2.5000000000000001E-3</v>
      </c>
      <c r="H18" s="111">
        <v>2215</v>
      </c>
      <c r="I18" s="111">
        <v>2510</v>
      </c>
      <c r="J18" s="111">
        <v>2490</v>
      </c>
      <c r="K18" s="111">
        <v>2430</v>
      </c>
      <c r="L18" s="111">
        <v>2375</v>
      </c>
      <c r="M18" s="111">
        <v>2310</v>
      </c>
      <c r="N18" s="111">
        <v>2230</v>
      </c>
      <c r="O18" s="111">
        <v>2065</v>
      </c>
      <c r="P18" s="111">
        <v>1835</v>
      </c>
      <c r="Q18" s="111">
        <v>1585</v>
      </c>
      <c r="R18" s="111">
        <v>1345</v>
      </c>
      <c r="S18" s="111">
        <v>1105</v>
      </c>
      <c r="T18" s="111">
        <v>870</v>
      </c>
      <c r="U18" s="273">
        <v>625</v>
      </c>
      <c r="V18" s="273">
        <v>385</v>
      </c>
      <c r="W18" s="273">
        <v>145</v>
      </c>
      <c r="X18" s="109">
        <f t="shared" si="1"/>
        <v>26520</v>
      </c>
    </row>
    <row r="19" spans="1:24" s="106" customFormat="1" x14ac:dyDescent="0.2">
      <c r="A19" s="541">
        <v>7</v>
      </c>
      <c r="B19" s="222" t="s">
        <v>466</v>
      </c>
      <c r="C19" s="578" t="s">
        <v>527</v>
      </c>
      <c r="D19" s="527">
        <v>633</v>
      </c>
      <c r="E19" s="553">
        <f>8339124-3412924+1558975</f>
        <v>6485175</v>
      </c>
      <c r="F19" s="527" t="s">
        <v>483</v>
      </c>
      <c r="G19" s="274" t="s">
        <v>465</v>
      </c>
      <c r="H19" s="120">
        <v>750</v>
      </c>
      <c r="I19" s="120">
        <v>1000</v>
      </c>
      <c r="J19" s="120">
        <v>5000</v>
      </c>
      <c r="K19" s="120">
        <v>5000</v>
      </c>
      <c r="L19" s="120">
        <v>8000</v>
      </c>
      <c r="M19" s="120">
        <v>20000</v>
      </c>
      <c r="N19" s="120">
        <v>60000</v>
      </c>
      <c r="O19" s="120">
        <v>238000</v>
      </c>
      <c r="P19" s="120">
        <v>238000</v>
      </c>
      <c r="Q19" s="120">
        <v>324000</v>
      </c>
      <c r="R19" s="120">
        <v>324000</v>
      </c>
      <c r="S19" s="120">
        <v>324000</v>
      </c>
      <c r="T19" s="120">
        <v>324000</v>
      </c>
      <c r="U19" s="120">
        <v>324000</v>
      </c>
      <c r="V19" s="120">
        <v>324000</v>
      </c>
      <c r="W19" s="120">
        <v>3965425</v>
      </c>
      <c r="X19" s="105">
        <f t="shared" si="1"/>
        <v>6485175</v>
      </c>
    </row>
    <row r="20" spans="1:24" s="106" customFormat="1" ht="15" customHeight="1" x14ac:dyDescent="0.2">
      <c r="A20" s="542"/>
      <c r="B20" s="220" t="s">
        <v>484</v>
      </c>
      <c r="C20" s="548"/>
      <c r="D20" s="517"/>
      <c r="E20" s="554"/>
      <c r="F20" s="517"/>
      <c r="G20" s="164">
        <v>2.5000000000000001E-3</v>
      </c>
      <c r="H20" s="121">
        <v>18135</v>
      </c>
      <c r="I20" s="121">
        <v>19725</v>
      </c>
      <c r="J20" s="121">
        <v>19720</v>
      </c>
      <c r="K20" s="121">
        <v>19705</v>
      </c>
      <c r="L20" s="121">
        <v>19740</v>
      </c>
      <c r="M20" s="121">
        <v>19655</v>
      </c>
      <c r="N20" s="121">
        <v>19570</v>
      </c>
      <c r="O20" s="121">
        <v>19285</v>
      </c>
      <c r="P20" s="121">
        <v>18640</v>
      </c>
      <c r="Q20" s="121">
        <v>17810</v>
      </c>
      <c r="R20" s="121">
        <v>16840</v>
      </c>
      <c r="S20" s="121">
        <v>15855</v>
      </c>
      <c r="T20" s="121">
        <v>14910</v>
      </c>
      <c r="U20" s="121">
        <v>13885</v>
      </c>
      <c r="V20" s="121">
        <v>12895</v>
      </c>
      <c r="W20" s="121">
        <v>78100</v>
      </c>
      <c r="X20" s="109">
        <f t="shared" si="1"/>
        <v>344470</v>
      </c>
    </row>
    <row r="21" spans="1:24" s="106" customFormat="1" ht="12.75" customHeight="1" x14ac:dyDescent="0.2">
      <c r="A21" s="551">
        <v>8</v>
      </c>
      <c r="B21" s="222" t="s">
        <v>466</v>
      </c>
      <c r="C21" s="578" t="s">
        <v>485</v>
      </c>
      <c r="D21" s="527">
        <v>634</v>
      </c>
      <c r="E21" s="549">
        <f>206622-0.62</f>
        <v>206621.38</v>
      </c>
      <c r="F21" s="527" t="s">
        <v>486</v>
      </c>
      <c r="G21" s="274" t="s">
        <v>465</v>
      </c>
      <c r="H21" s="120">
        <v>1000</v>
      </c>
      <c r="I21" s="120">
        <v>1000</v>
      </c>
      <c r="J21" s="120">
        <v>13640</v>
      </c>
      <c r="K21" s="120">
        <v>13640</v>
      </c>
      <c r="L21" s="120">
        <v>13640</v>
      </c>
      <c r="M21" s="120">
        <v>13640</v>
      </c>
      <c r="N21" s="120">
        <v>13640</v>
      </c>
      <c r="O21" s="120">
        <v>13640</v>
      </c>
      <c r="P21" s="120">
        <v>13640</v>
      </c>
      <c r="Q21" s="120">
        <v>13640</v>
      </c>
      <c r="R21" s="120">
        <v>13640</v>
      </c>
      <c r="S21" s="120">
        <v>13640</v>
      </c>
      <c r="T21" s="120">
        <v>13640</v>
      </c>
      <c r="U21" s="139">
        <v>13640</v>
      </c>
      <c r="V21" s="139">
        <v>13640</v>
      </c>
      <c r="W21" s="140">
        <f>27302-0.62</f>
        <v>27301.38</v>
      </c>
      <c r="X21" s="105">
        <f t="shared" si="1"/>
        <v>206621.38</v>
      </c>
    </row>
    <row r="22" spans="1:24" s="106" customFormat="1" x14ac:dyDescent="0.2">
      <c r="A22" s="552"/>
      <c r="B22" s="220" t="s">
        <v>487</v>
      </c>
      <c r="C22" s="548"/>
      <c r="D22" s="517"/>
      <c r="E22" s="550"/>
      <c r="F22" s="517"/>
      <c r="G22" s="164">
        <v>2.5000000000000001E-3</v>
      </c>
      <c r="H22" s="121">
        <v>580</v>
      </c>
      <c r="I22" s="121">
        <v>625</v>
      </c>
      <c r="J22" s="121">
        <v>615</v>
      </c>
      <c r="K22" s="121">
        <v>575</v>
      </c>
      <c r="L22" s="121">
        <v>535</v>
      </c>
      <c r="M22" s="121">
        <v>495</v>
      </c>
      <c r="N22" s="121">
        <v>455</v>
      </c>
      <c r="O22" s="121">
        <v>410</v>
      </c>
      <c r="P22" s="121">
        <v>370</v>
      </c>
      <c r="Q22" s="121">
        <v>330</v>
      </c>
      <c r="R22" s="121">
        <v>285</v>
      </c>
      <c r="S22" s="121">
        <v>245</v>
      </c>
      <c r="T22" s="121">
        <v>205</v>
      </c>
      <c r="U22" s="141">
        <v>160</v>
      </c>
      <c r="V22" s="141">
        <v>120</v>
      </c>
      <c r="W22" s="141">
        <v>115</v>
      </c>
      <c r="X22" s="109">
        <f t="shared" si="1"/>
        <v>6120</v>
      </c>
    </row>
    <row r="23" spans="1:24" s="106" customFormat="1" ht="12.75" customHeight="1" x14ac:dyDescent="0.2">
      <c r="A23" s="541">
        <v>9</v>
      </c>
      <c r="B23" s="222" t="s">
        <v>466</v>
      </c>
      <c r="C23" s="547" t="s">
        <v>517</v>
      </c>
      <c r="D23" s="527">
        <v>635</v>
      </c>
      <c r="E23" s="577">
        <v>307624.96000000002</v>
      </c>
      <c r="F23" s="527" t="s">
        <v>488</v>
      </c>
      <c r="G23" s="274" t="s">
        <v>465</v>
      </c>
      <c r="H23" s="114">
        <v>750</v>
      </c>
      <c r="I23" s="114">
        <v>1000</v>
      </c>
      <c r="J23" s="114">
        <v>5000</v>
      </c>
      <c r="K23" s="114">
        <v>5000</v>
      </c>
      <c r="L23" s="114">
        <v>10000</v>
      </c>
      <c r="M23" s="114">
        <v>23824</v>
      </c>
      <c r="N23" s="114">
        <v>23824</v>
      </c>
      <c r="O23" s="114">
        <v>23824</v>
      </c>
      <c r="P23" s="114">
        <v>23824</v>
      </c>
      <c r="Q23" s="114">
        <v>23824</v>
      </c>
      <c r="R23" s="114">
        <v>23824</v>
      </c>
      <c r="S23" s="114">
        <v>23824</v>
      </c>
      <c r="T23" s="104">
        <v>23824</v>
      </c>
      <c r="U23" s="104">
        <f>23824</f>
        <v>23824</v>
      </c>
      <c r="V23" s="104">
        <v>23824</v>
      </c>
      <c r="W23" s="104">
        <v>47634.96</v>
      </c>
      <c r="X23" s="105">
        <f t="shared" si="1"/>
        <v>307624.96000000002</v>
      </c>
    </row>
    <row r="24" spans="1:24" s="106" customFormat="1" x14ac:dyDescent="0.2">
      <c r="A24" s="542"/>
      <c r="B24" s="220" t="s">
        <v>489</v>
      </c>
      <c r="C24" s="548"/>
      <c r="D24" s="517"/>
      <c r="E24" s="566"/>
      <c r="F24" s="517"/>
      <c r="G24" s="164">
        <v>2.5000000000000001E-3</v>
      </c>
      <c r="H24" s="108">
        <v>860</v>
      </c>
      <c r="I24" s="108">
        <v>935</v>
      </c>
      <c r="J24" s="108">
        <v>930</v>
      </c>
      <c r="K24" s="108">
        <v>915</v>
      </c>
      <c r="L24" s="108">
        <v>900</v>
      </c>
      <c r="M24" s="108">
        <v>860</v>
      </c>
      <c r="N24" s="108">
        <v>790</v>
      </c>
      <c r="O24" s="108">
        <v>715</v>
      </c>
      <c r="P24" s="108">
        <v>645</v>
      </c>
      <c r="Q24" s="108">
        <v>570</v>
      </c>
      <c r="R24" s="108">
        <v>500</v>
      </c>
      <c r="S24" s="108">
        <v>425</v>
      </c>
      <c r="T24" s="108">
        <v>355</v>
      </c>
      <c r="U24" s="108">
        <v>280</v>
      </c>
      <c r="V24" s="108">
        <v>210</v>
      </c>
      <c r="W24" s="108">
        <v>200</v>
      </c>
      <c r="X24" s="109">
        <f t="shared" si="1"/>
        <v>10090</v>
      </c>
    </row>
    <row r="25" spans="1:24" s="106" customFormat="1" ht="12.75" customHeight="1" x14ac:dyDescent="0.2">
      <c r="A25" s="551">
        <v>10</v>
      </c>
      <c r="B25" s="222" t="s">
        <v>466</v>
      </c>
      <c r="C25" s="547" t="s">
        <v>490</v>
      </c>
      <c r="D25" s="527">
        <v>636</v>
      </c>
      <c r="E25" s="577">
        <v>69989</v>
      </c>
      <c r="F25" s="527" t="s">
        <v>488</v>
      </c>
      <c r="G25" s="274" t="s">
        <v>465</v>
      </c>
      <c r="H25" s="114">
        <v>1000</v>
      </c>
      <c r="I25" s="114">
        <v>1000</v>
      </c>
      <c r="J25" s="114">
        <v>1000</v>
      </c>
      <c r="K25" s="114">
        <v>2000</v>
      </c>
      <c r="L25" s="114">
        <v>2000</v>
      </c>
      <c r="M25" s="114">
        <v>5000</v>
      </c>
      <c r="N25" s="114">
        <v>5272</v>
      </c>
      <c r="O25" s="114">
        <v>5272</v>
      </c>
      <c r="P25" s="114">
        <v>5272</v>
      </c>
      <c r="Q25" s="114">
        <v>5272</v>
      </c>
      <c r="R25" s="114">
        <v>5272</v>
      </c>
      <c r="S25" s="114">
        <v>5272</v>
      </c>
      <c r="T25" s="114">
        <v>5272</v>
      </c>
      <c r="U25" s="114">
        <v>5272</v>
      </c>
      <c r="V25" s="114">
        <v>5272</v>
      </c>
      <c r="W25" s="114">
        <v>10541</v>
      </c>
      <c r="X25" s="105">
        <f t="shared" si="1"/>
        <v>69989</v>
      </c>
    </row>
    <row r="26" spans="1:24" s="106" customFormat="1" x14ac:dyDescent="0.2">
      <c r="A26" s="552"/>
      <c r="B26" s="220" t="s">
        <v>491</v>
      </c>
      <c r="C26" s="548"/>
      <c r="D26" s="517"/>
      <c r="E26" s="566"/>
      <c r="F26" s="517"/>
      <c r="G26" s="164">
        <v>2.5000000000000001E-3</v>
      </c>
      <c r="H26" s="108">
        <v>200</v>
      </c>
      <c r="I26" s="108">
        <v>210</v>
      </c>
      <c r="J26" s="108">
        <v>210</v>
      </c>
      <c r="K26" s="108">
        <v>205</v>
      </c>
      <c r="L26" s="108">
        <v>200</v>
      </c>
      <c r="M26" s="108">
        <v>190</v>
      </c>
      <c r="N26" s="108">
        <v>175</v>
      </c>
      <c r="O26" s="108">
        <v>160</v>
      </c>
      <c r="P26" s="108">
        <v>145</v>
      </c>
      <c r="Q26" s="108">
        <v>130</v>
      </c>
      <c r="R26" s="108">
        <v>110</v>
      </c>
      <c r="S26" s="108">
        <v>95</v>
      </c>
      <c r="T26" s="108">
        <v>80</v>
      </c>
      <c r="U26" s="108">
        <v>65</v>
      </c>
      <c r="V26" s="108">
        <v>50</v>
      </c>
      <c r="W26" s="108">
        <f>45-5</f>
        <v>40</v>
      </c>
      <c r="X26" s="109">
        <f t="shared" si="1"/>
        <v>2265</v>
      </c>
    </row>
    <row r="27" spans="1:24" s="106" customFormat="1" ht="12.75" customHeight="1" x14ac:dyDescent="0.2">
      <c r="A27" s="514">
        <v>11</v>
      </c>
      <c r="B27" s="219" t="s">
        <v>466</v>
      </c>
      <c r="C27" s="547" t="s">
        <v>492</v>
      </c>
      <c r="D27" s="547">
        <v>637</v>
      </c>
      <c r="E27" s="549">
        <v>212555.77</v>
      </c>
      <c r="F27" s="527" t="s">
        <v>493</v>
      </c>
      <c r="G27" s="266" t="s">
        <v>465</v>
      </c>
      <c r="H27" s="120">
        <v>750</v>
      </c>
      <c r="I27" s="120">
        <v>1000</v>
      </c>
      <c r="J27" s="120">
        <v>1000</v>
      </c>
      <c r="K27" s="120">
        <v>2000</v>
      </c>
      <c r="L27" s="120">
        <v>2000</v>
      </c>
      <c r="M27" s="120">
        <v>2000</v>
      </c>
      <c r="N27" s="120">
        <v>5000</v>
      </c>
      <c r="O27" s="120">
        <v>19920</v>
      </c>
      <c r="P27" s="120">
        <v>19920</v>
      </c>
      <c r="Q27" s="120">
        <v>19920</v>
      </c>
      <c r="R27" s="120">
        <v>19920</v>
      </c>
      <c r="S27" s="120">
        <v>19920</v>
      </c>
      <c r="T27" s="119">
        <v>19920</v>
      </c>
      <c r="U27" s="140">
        <v>19920</v>
      </c>
      <c r="V27" s="140">
        <v>19920</v>
      </c>
      <c r="W27" s="140">
        <v>39445.769999999997</v>
      </c>
      <c r="X27" s="105">
        <f t="shared" si="1"/>
        <v>212555.77</v>
      </c>
    </row>
    <row r="28" spans="1:24" s="106" customFormat="1" x14ac:dyDescent="0.2">
      <c r="A28" s="515"/>
      <c r="B28" s="220" t="s">
        <v>494</v>
      </c>
      <c r="C28" s="548"/>
      <c r="D28" s="548"/>
      <c r="E28" s="550"/>
      <c r="F28" s="517"/>
      <c r="G28" s="164">
        <v>2.5000000000000001E-3</v>
      </c>
      <c r="H28" s="121">
        <v>570</v>
      </c>
      <c r="I28" s="121">
        <v>645</v>
      </c>
      <c r="J28" s="121">
        <v>645</v>
      </c>
      <c r="K28" s="121">
        <v>640</v>
      </c>
      <c r="L28" s="121">
        <v>635</v>
      </c>
      <c r="M28" s="121">
        <v>630</v>
      </c>
      <c r="N28" s="121">
        <v>620</v>
      </c>
      <c r="O28" s="121">
        <v>595</v>
      </c>
      <c r="P28" s="121">
        <v>540</v>
      </c>
      <c r="Q28" s="121">
        <v>475</v>
      </c>
      <c r="R28" s="121">
        <v>415</v>
      </c>
      <c r="S28" s="121">
        <v>355</v>
      </c>
      <c r="T28" s="121">
        <v>295</v>
      </c>
      <c r="U28" s="141">
        <v>235</v>
      </c>
      <c r="V28" s="141">
        <v>175</v>
      </c>
      <c r="W28" s="141">
        <v>165</v>
      </c>
      <c r="X28" s="109">
        <f t="shared" si="1"/>
        <v>7635</v>
      </c>
    </row>
    <row r="29" spans="1:24" s="112" customFormat="1" ht="18" customHeight="1" x14ac:dyDescent="0.2">
      <c r="A29" s="551">
        <v>12</v>
      </c>
      <c r="B29" s="219" t="s">
        <v>466</v>
      </c>
      <c r="C29" s="547" t="s">
        <v>518</v>
      </c>
      <c r="D29" s="547">
        <v>638</v>
      </c>
      <c r="E29" s="549">
        <v>1496459</v>
      </c>
      <c r="F29" s="527" t="s">
        <v>495</v>
      </c>
      <c r="G29" s="266" t="s">
        <v>465</v>
      </c>
      <c r="H29" s="120">
        <v>750</v>
      </c>
      <c r="I29" s="120">
        <v>1000</v>
      </c>
      <c r="J29" s="120">
        <v>3000</v>
      </c>
      <c r="K29" s="120">
        <v>5000</v>
      </c>
      <c r="L29" s="120">
        <v>5000</v>
      </c>
      <c r="M29" s="120">
        <v>10000</v>
      </c>
      <c r="N29" s="120">
        <v>20000</v>
      </c>
      <c r="O29" s="120">
        <v>50000</v>
      </c>
      <c r="P29" s="120">
        <v>50000</v>
      </c>
      <c r="Q29" s="120">
        <v>50000</v>
      </c>
      <c r="R29" s="120">
        <v>69458</v>
      </c>
      <c r="S29" s="120">
        <v>75944</v>
      </c>
      <c r="T29" s="119">
        <v>75944</v>
      </c>
      <c r="U29" s="140">
        <f>75944</f>
        <v>75944</v>
      </c>
      <c r="V29" s="140">
        <v>75944</v>
      </c>
      <c r="W29" s="140">
        <v>928475</v>
      </c>
      <c r="X29" s="105">
        <f t="shared" si="1"/>
        <v>1496459</v>
      </c>
    </row>
    <row r="30" spans="1:24" s="112" customFormat="1" ht="18" customHeight="1" x14ac:dyDescent="0.2">
      <c r="A30" s="552"/>
      <c r="B30" s="220" t="s">
        <v>496</v>
      </c>
      <c r="C30" s="548"/>
      <c r="D30" s="548"/>
      <c r="E30" s="550"/>
      <c r="F30" s="517"/>
      <c r="G30" s="164">
        <v>2.5000000000000001E-3</v>
      </c>
      <c r="H30" s="121">
        <v>3995</v>
      </c>
      <c r="I30" s="121">
        <v>4550</v>
      </c>
      <c r="J30" s="121">
        <v>4545</v>
      </c>
      <c r="K30" s="121">
        <v>4535</v>
      </c>
      <c r="L30" s="121">
        <v>4535</v>
      </c>
      <c r="M30" s="121">
        <v>4505</v>
      </c>
      <c r="N30" s="121">
        <v>4470</v>
      </c>
      <c r="O30" s="121">
        <v>4390</v>
      </c>
      <c r="P30" s="121">
        <v>4255</v>
      </c>
      <c r="Q30" s="121">
        <v>4090</v>
      </c>
      <c r="R30" s="121">
        <v>3930</v>
      </c>
      <c r="S30" s="121">
        <v>3715</v>
      </c>
      <c r="T30" s="121">
        <v>3495</v>
      </c>
      <c r="U30" s="141">
        <v>3255</v>
      </c>
      <c r="V30" s="141">
        <v>3020</v>
      </c>
      <c r="W30" s="141">
        <v>18270</v>
      </c>
      <c r="X30" s="109">
        <f t="shared" si="1"/>
        <v>79555</v>
      </c>
    </row>
    <row r="31" spans="1:24" s="112" customFormat="1" x14ac:dyDescent="0.2">
      <c r="A31" s="541">
        <v>13</v>
      </c>
      <c r="B31" s="219" t="s">
        <v>466</v>
      </c>
      <c r="C31" s="547" t="s">
        <v>519</v>
      </c>
      <c r="D31" s="547">
        <v>639</v>
      </c>
      <c r="E31" s="549">
        <v>520249</v>
      </c>
      <c r="F31" s="527" t="s">
        <v>497</v>
      </c>
      <c r="G31" s="266" t="s">
        <v>465</v>
      </c>
      <c r="H31" s="120">
        <v>300</v>
      </c>
      <c r="I31" s="120">
        <v>1000</v>
      </c>
      <c r="J31" s="120">
        <v>2000</v>
      </c>
      <c r="K31" s="120">
        <v>2000</v>
      </c>
      <c r="L31" s="120">
        <v>5000</v>
      </c>
      <c r="M31" s="120">
        <v>5000</v>
      </c>
      <c r="N31" s="120">
        <v>10000</v>
      </c>
      <c r="O31" s="120">
        <v>45000</v>
      </c>
      <c r="P31" s="120">
        <v>45000</v>
      </c>
      <c r="Q31" s="120">
        <v>45000</v>
      </c>
      <c r="R31" s="120">
        <v>45000</v>
      </c>
      <c r="S31" s="120">
        <v>45000</v>
      </c>
      <c r="T31" s="119">
        <v>45000</v>
      </c>
      <c r="U31" s="140">
        <v>45000</v>
      </c>
      <c r="V31" s="140">
        <v>45000</v>
      </c>
      <c r="W31" s="140">
        <v>134949</v>
      </c>
      <c r="X31" s="105">
        <f t="shared" si="1"/>
        <v>520249</v>
      </c>
    </row>
    <row r="32" spans="1:24" s="112" customFormat="1" x14ac:dyDescent="0.2">
      <c r="A32" s="542"/>
      <c r="B32" s="220" t="s">
        <v>498</v>
      </c>
      <c r="C32" s="548"/>
      <c r="D32" s="548"/>
      <c r="E32" s="550"/>
      <c r="F32" s="517"/>
      <c r="G32" s="164">
        <v>2.5000000000000001E-3</v>
      </c>
      <c r="H32" s="121">
        <v>1390</v>
      </c>
      <c r="I32" s="121">
        <v>1585</v>
      </c>
      <c r="J32" s="121">
        <v>1580</v>
      </c>
      <c r="K32" s="121">
        <v>1575</v>
      </c>
      <c r="L32" s="121">
        <v>1570</v>
      </c>
      <c r="M32" s="121">
        <v>1550</v>
      </c>
      <c r="N32" s="121">
        <v>1535</v>
      </c>
      <c r="O32" s="121">
        <v>1480</v>
      </c>
      <c r="P32" s="121">
        <v>1355</v>
      </c>
      <c r="Q32" s="121">
        <v>1215</v>
      </c>
      <c r="R32" s="121">
        <v>1075</v>
      </c>
      <c r="S32" s="121">
        <v>940</v>
      </c>
      <c r="T32" s="121">
        <v>805</v>
      </c>
      <c r="U32" s="141">
        <v>665</v>
      </c>
      <c r="V32" s="141">
        <v>530</v>
      </c>
      <c r="W32" s="141">
        <f>750-5</f>
        <v>745</v>
      </c>
      <c r="X32" s="109">
        <f t="shared" si="1"/>
        <v>19595</v>
      </c>
    </row>
    <row r="33" spans="1:24" s="106" customFormat="1" x14ac:dyDescent="0.2">
      <c r="A33" s="551">
        <v>14</v>
      </c>
      <c r="B33" s="219" t="s">
        <v>466</v>
      </c>
      <c r="C33" s="547" t="s">
        <v>499</v>
      </c>
      <c r="D33" s="547">
        <v>640</v>
      </c>
      <c r="E33" s="549">
        <f>409900-0.21</f>
        <v>409899.79</v>
      </c>
      <c r="F33" s="527" t="s">
        <v>500</v>
      </c>
      <c r="G33" s="266" t="s">
        <v>465</v>
      </c>
      <c r="H33" s="120">
        <v>300</v>
      </c>
      <c r="I33" s="120">
        <v>1000</v>
      </c>
      <c r="J33" s="120">
        <v>2000</v>
      </c>
      <c r="K33" s="120">
        <v>2000</v>
      </c>
      <c r="L33" s="120">
        <v>5000</v>
      </c>
      <c r="M33" s="120">
        <v>5000</v>
      </c>
      <c r="N33" s="120">
        <v>10000</v>
      </c>
      <c r="O33" s="120">
        <v>34964</v>
      </c>
      <c r="P33" s="120">
        <v>34964</v>
      </c>
      <c r="Q33" s="120">
        <v>34964</v>
      </c>
      <c r="R33" s="120">
        <v>34964</v>
      </c>
      <c r="S33" s="120">
        <v>34964</v>
      </c>
      <c r="T33" s="119">
        <v>34964</v>
      </c>
      <c r="U33" s="140">
        <v>34964</v>
      </c>
      <c r="V33" s="140">
        <v>34964</v>
      </c>
      <c r="W33" s="140">
        <f>104888-0.21</f>
        <v>104887.79</v>
      </c>
      <c r="X33" s="105">
        <f t="shared" si="1"/>
        <v>409899.79</v>
      </c>
    </row>
    <row r="34" spans="1:24" s="106" customFormat="1" x14ac:dyDescent="0.2">
      <c r="A34" s="552"/>
      <c r="B34" s="220" t="s">
        <v>501</v>
      </c>
      <c r="C34" s="548"/>
      <c r="D34" s="548"/>
      <c r="E34" s="550"/>
      <c r="F34" s="517"/>
      <c r="G34" s="164">
        <v>2.5000000000000001E-3</v>
      </c>
      <c r="H34" s="121">
        <v>1045</v>
      </c>
      <c r="I34" s="121">
        <v>1250</v>
      </c>
      <c r="J34" s="121">
        <v>1245</v>
      </c>
      <c r="K34" s="121">
        <v>1240</v>
      </c>
      <c r="L34" s="121">
        <v>1235</v>
      </c>
      <c r="M34" s="121">
        <v>1215</v>
      </c>
      <c r="N34" s="121">
        <v>1195</v>
      </c>
      <c r="O34" s="121">
        <v>1150</v>
      </c>
      <c r="P34" s="121">
        <v>1055</v>
      </c>
      <c r="Q34" s="121">
        <v>945</v>
      </c>
      <c r="R34" s="121">
        <v>835</v>
      </c>
      <c r="S34" s="121">
        <v>730</v>
      </c>
      <c r="T34" s="121">
        <v>625</v>
      </c>
      <c r="U34" s="141">
        <v>520</v>
      </c>
      <c r="V34" s="141">
        <v>410</v>
      </c>
      <c r="W34" s="141">
        <f>600-5</f>
        <v>595</v>
      </c>
      <c r="X34" s="109">
        <f t="shared" si="1"/>
        <v>15290</v>
      </c>
    </row>
    <row r="35" spans="1:24" s="106" customFormat="1" ht="17.25" customHeight="1" x14ac:dyDescent="0.2">
      <c r="A35" s="541">
        <v>15</v>
      </c>
      <c r="B35" s="219" t="s">
        <v>466</v>
      </c>
      <c r="C35" s="573" t="s">
        <v>502</v>
      </c>
      <c r="D35" s="547">
        <v>641</v>
      </c>
      <c r="E35" s="549">
        <f>157928-30001.8</f>
        <v>127926.2</v>
      </c>
      <c r="F35" s="527" t="s">
        <v>755</v>
      </c>
      <c r="G35" s="266" t="s">
        <v>465</v>
      </c>
      <c r="H35" s="114">
        <v>38592</v>
      </c>
      <c r="I35" s="114">
        <v>38592</v>
      </c>
      <c r="J35" s="104">
        <v>38592.199999999997</v>
      </c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279"/>
      <c r="V35" s="279"/>
      <c r="W35" s="279"/>
      <c r="X35" s="105">
        <f t="shared" si="1"/>
        <v>115776.2</v>
      </c>
    </row>
    <row r="36" spans="1:24" s="106" customFormat="1" ht="17.25" customHeight="1" x14ac:dyDescent="0.2">
      <c r="A36" s="542"/>
      <c r="B36" s="220" t="s">
        <v>503</v>
      </c>
      <c r="C36" s="574"/>
      <c r="D36" s="548"/>
      <c r="E36" s="550"/>
      <c r="F36" s="517"/>
      <c r="G36" s="164">
        <v>2.5000000000000001E-3</v>
      </c>
      <c r="H36" s="108">
        <v>280</v>
      </c>
      <c r="I36" s="108">
        <v>220</v>
      </c>
      <c r="J36" s="108">
        <f>100+10</f>
        <v>110</v>
      </c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276"/>
      <c r="V36" s="276"/>
      <c r="W36" s="276"/>
      <c r="X36" s="109">
        <f t="shared" si="1"/>
        <v>610</v>
      </c>
    </row>
    <row r="37" spans="1:24" s="106" customFormat="1" x14ac:dyDescent="0.2">
      <c r="A37" s="551">
        <v>16</v>
      </c>
      <c r="B37" s="219" t="s">
        <v>466</v>
      </c>
      <c r="C37" s="573" t="s">
        <v>521</v>
      </c>
      <c r="D37" s="547">
        <v>642</v>
      </c>
      <c r="E37" s="549">
        <f>231313-0.12</f>
        <v>231312.88</v>
      </c>
      <c r="F37" s="527" t="s">
        <v>528</v>
      </c>
      <c r="G37" s="266" t="s">
        <v>465</v>
      </c>
      <c r="H37" s="114">
        <v>0</v>
      </c>
      <c r="I37" s="114">
        <v>6000</v>
      </c>
      <c r="J37" s="114">
        <v>6000</v>
      </c>
      <c r="K37" s="114">
        <v>14620</v>
      </c>
      <c r="L37" s="114">
        <v>14620</v>
      </c>
      <c r="M37" s="114">
        <v>14620</v>
      </c>
      <c r="N37" s="114">
        <v>14620</v>
      </c>
      <c r="O37" s="267">
        <v>14620</v>
      </c>
      <c r="P37" s="114">
        <v>14620</v>
      </c>
      <c r="Q37" s="114">
        <v>14620</v>
      </c>
      <c r="R37" s="114">
        <v>14620</v>
      </c>
      <c r="S37" s="114">
        <v>14620</v>
      </c>
      <c r="T37" s="114">
        <v>14620</v>
      </c>
      <c r="U37" s="114">
        <f>14620</f>
        <v>14620</v>
      </c>
      <c r="V37" s="114">
        <v>14620</v>
      </c>
      <c r="W37" s="104">
        <f>43873-0.12</f>
        <v>43872.88</v>
      </c>
      <c r="X37" s="105">
        <f t="shared" si="1"/>
        <v>231312.88</v>
      </c>
    </row>
    <row r="38" spans="1:24" s="106" customFormat="1" ht="15" customHeight="1" x14ac:dyDescent="0.2">
      <c r="A38" s="552"/>
      <c r="B38" s="220" t="s">
        <v>529</v>
      </c>
      <c r="C38" s="574"/>
      <c r="D38" s="548"/>
      <c r="E38" s="550"/>
      <c r="F38" s="517"/>
      <c r="G38" s="164">
        <v>2.5000000000000001E-3</v>
      </c>
      <c r="H38" s="108">
        <v>680</v>
      </c>
      <c r="I38" s="108">
        <v>700</v>
      </c>
      <c r="J38" s="108">
        <v>685</v>
      </c>
      <c r="K38" s="108">
        <v>660</v>
      </c>
      <c r="L38" s="108">
        <v>620</v>
      </c>
      <c r="M38" s="108">
        <v>575</v>
      </c>
      <c r="N38" s="108">
        <v>530</v>
      </c>
      <c r="O38" s="269">
        <v>485</v>
      </c>
      <c r="P38" s="108">
        <v>440</v>
      </c>
      <c r="Q38" s="108">
        <v>395</v>
      </c>
      <c r="R38" s="108">
        <v>350</v>
      </c>
      <c r="S38" s="108">
        <v>305</v>
      </c>
      <c r="T38" s="108">
        <v>265</v>
      </c>
      <c r="U38" s="108">
        <v>220</v>
      </c>
      <c r="V38" s="108">
        <v>175</v>
      </c>
      <c r="W38" s="108">
        <v>250</v>
      </c>
      <c r="X38" s="109">
        <f t="shared" si="1"/>
        <v>7335</v>
      </c>
    </row>
    <row r="39" spans="1:24" s="106" customFormat="1" ht="15.75" customHeight="1" x14ac:dyDescent="0.2">
      <c r="A39" s="541">
        <v>17</v>
      </c>
      <c r="B39" s="219" t="s">
        <v>466</v>
      </c>
      <c r="C39" s="573" t="s">
        <v>530</v>
      </c>
      <c r="D39" s="547">
        <v>643</v>
      </c>
      <c r="E39" s="549">
        <f>65353+64222+85311-80000-1794.36</f>
        <v>133091.64000000001</v>
      </c>
      <c r="F39" s="527" t="s">
        <v>531</v>
      </c>
      <c r="G39" s="266" t="s">
        <v>465</v>
      </c>
      <c r="H39" s="365">
        <f>29319.12+12565.33</f>
        <v>41884.449999999997</v>
      </c>
      <c r="I39" s="280">
        <v>500.19</v>
      </c>
      <c r="J39" s="267">
        <v>1000</v>
      </c>
      <c r="K39" s="267">
        <v>2000</v>
      </c>
      <c r="L39" s="267">
        <v>21928</v>
      </c>
      <c r="M39" s="267">
        <v>21928</v>
      </c>
      <c r="N39" s="267">
        <v>21928</v>
      </c>
      <c r="O39" s="280">
        <v>21923</v>
      </c>
      <c r="P39" s="114"/>
      <c r="Q39" s="114"/>
      <c r="R39" s="114"/>
      <c r="S39" s="114"/>
      <c r="T39" s="114"/>
      <c r="U39" s="279"/>
      <c r="V39" s="279"/>
      <c r="W39" s="279"/>
      <c r="X39" s="105">
        <f t="shared" ref="X39:X70" si="2">SUM(H39:W39)</f>
        <v>133091.64000000001</v>
      </c>
    </row>
    <row r="40" spans="1:24" s="106" customFormat="1" ht="15.75" customHeight="1" x14ac:dyDescent="0.2">
      <c r="A40" s="542"/>
      <c r="B40" s="220" t="s">
        <v>532</v>
      </c>
      <c r="C40" s="574"/>
      <c r="D40" s="548"/>
      <c r="E40" s="550"/>
      <c r="F40" s="517"/>
      <c r="G40" s="164">
        <v>2.5000000000000001E-3</v>
      </c>
      <c r="H40" s="269">
        <v>325</v>
      </c>
      <c r="I40" s="269">
        <v>280</v>
      </c>
      <c r="J40" s="269">
        <v>280</v>
      </c>
      <c r="K40" s="269">
        <v>275</v>
      </c>
      <c r="L40" s="269">
        <v>255</v>
      </c>
      <c r="M40" s="269">
        <v>190</v>
      </c>
      <c r="N40" s="269">
        <v>125</v>
      </c>
      <c r="O40" s="269">
        <v>60</v>
      </c>
      <c r="P40" s="108"/>
      <c r="Q40" s="108"/>
      <c r="R40" s="108"/>
      <c r="S40" s="108"/>
      <c r="T40" s="108"/>
      <c r="U40" s="276"/>
      <c r="V40" s="276"/>
      <c r="W40" s="276"/>
      <c r="X40" s="109">
        <f t="shared" si="2"/>
        <v>1790</v>
      </c>
    </row>
    <row r="41" spans="1:24" s="106" customFormat="1" x14ac:dyDescent="0.2">
      <c r="A41" s="551">
        <v>18</v>
      </c>
      <c r="B41" s="219" t="s">
        <v>466</v>
      </c>
      <c r="C41" s="547" t="s">
        <v>533</v>
      </c>
      <c r="D41" s="547">
        <v>644</v>
      </c>
      <c r="E41" s="549">
        <f>1188567-257831-28891.82</f>
        <v>901844.18</v>
      </c>
      <c r="F41" s="527" t="s">
        <v>534</v>
      </c>
      <c r="G41" s="266" t="s">
        <v>465</v>
      </c>
      <c r="H41" s="365">
        <v>84667.68</v>
      </c>
      <c r="I41" s="280">
        <v>374.5</v>
      </c>
      <c r="J41" s="267">
        <v>1000</v>
      </c>
      <c r="K41" s="267">
        <v>2000</v>
      </c>
      <c r="L41" s="267">
        <v>6000</v>
      </c>
      <c r="M41" s="267">
        <v>10000</v>
      </c>
      <c r="N41" s="267">
        <v>16000</v>
      </c>
      <c r="O41" s="268">
        <v>36800</v>
      </c>
      <c r="P41" s="268">
        <v>36800</v>
      </c>
      <c r="Q41" s="268">
        <v>36800</v>
      </c>
      <c r="R41" s="268">
        <v>36800</v>
      </c>
      <c r="S41" s="268">
        <v>36800</v>
      </c>
      <c r="T41" s="268">
        <v>36800</v>
      </c>
      <c r="U41" s="268">
        <v>36800</v>
      </c>
      <c r="V41" s="268">
        <v>36800</v>
      </c>
      <c r="W41" s="268">
        <v>487402</v>
      </c>
      <c r="X41" s="105">
        <f t="shared" si="2"/>
        <v>901844.17999999993</v>
      </c>
    </row>
    <row r="42" spans="1:24" s="106" customFormat="1" x14ac:dyDescent="0.2">
      <c r="A42" s="552"/>
      <c r="B42" s="165" t="s">
        <v>535</v>
      </c>
      <c r="C42" s="548"/>
      <c r="D42" s="548"/>
      <c r="E42" s="550"/>
      <c r="F42" s="517"/>
      <c r="G42" s="164">
        <v>2.5000000000000001E-3</v>
      </c>
      <c r="H42" s="269">
        <v>2390</v>
      </c>
      <c r="I42" s="269">
        <v>2490</v>
      </c>
      <c r="J42" s="269">
        <v>2485</v>
      </c>
      <c r="K42" s="269">
        <v>2485</v>
      </c>
      <c r="L42" s="269">
        <v>2480</v>
      </c>
      <c r="M42" s="269">
        <v>2455</v>
      </c>
      <c r="N42" s="269">
        <v>2420</v>
      </c>
      <c r="O42" s="269">
        <v>2360</v>
      </c>
      <c r="P42" s="269">
        <v>2260</v>
      </c>
      <c r="Q42" s="269">
        <v>2140</v>
      </c>
      <c r="R42" s="269">
        <v>2025</v>
      </c>
      <c r="S42" s="269">
        <v>1915</v>
      </c>
      <c r="T42" s="269">
        <v>1810</v>
      </c>
      <c r="U42" s="269">
        <v>1690</v>
      </c>
      <c r="V42" s="270">
        <v>1580</v>
      </c>
      <c r="W42" s="270">
        <v>10345</v>
      </c>
      <c r="X42" s="109">
        <f t="shared" si="2"/>
        <v>43330</v>
      </c>
    </row>
    <row r="43" spans="1:24" s="106" customFormat="1" x14ac:dyDescent="0.2">
      <c r="A43" s="541">
        <v>19</v>
      </c>
      <c r="B43" s="219" t="s">
        <v>466</v>
      </c>
      <c r="C43" s="547" t="s">
        <v>536</v>
      </c>
      <c r="D43" s="547">
        <v>645</v>
      </c>
      <c r="E43" s="549">
        <v>785535</v>
      </c>
      <c r="F43" s="527" t="s">
        <v>537</v>
      </c>
      <c r="G43" s="266" t="s">
        <v>465</v>
      </c>
      <c r="H43" s="267"/>
      <c r="I43" s="267">
        <v>375</v>
      </c>
      <c r="J43" s="267">
        <v>2000</v>
      </c>
      <c r="K43" s="267">
        <v>4000</v>
      </c>
      <c r="L43" s="267">
        <v>6000</v>
      </c>
      <c r="M43" s="267">
        <v>10000</v>
      </c>
      <c r="N43" s="267">
        <v>20000</v>
      </c>
      <c r="O43" s="267">
        <v>66200</v>
      </c>
      <c r="P43" s="267">
        <v>66200</v>
      </c>
      <c r="Q43" s="267">
        <v>66200</v>
      </c>
      <c r="R43" s="267">
        <v>66200</v>
      </c>
      <c r="S43" s="267">
        <v>66200</v>
      </c>
      <c r="T43" s="267">
        <v>66200</v>
      </c>
      <c r="U43" s="267">
        <v>66200</v>
      </c>
      <c r="V43" s="268">
        <v>66200</v>
      </c>
      <c r="W43" s="268">
        <v>213560</v>
      </c>
      <c r="X43" s="105">
        <f t="shared" si="2"/>
        <v>785535</v>
      </c>
    </row>
    <row r="44" spans="1:24" s="106" customFormat="1" x14ac:dyDescent="0.2">
      <c r="A44" s="542"/>
      <c r="B44" s="165" t="s">
        <v>538</v>
      </c>
      <c r="C44" s="548"/>
      <c r="D44" s="548"/>
      <c r="E44" s="550"/>
      <c r="F44" s="517"/>
      <c r="G44" s="164">
        <v>2.5000000000000001E-3</v>
      </c>
      <c r="H44" s="269">
        <v>2100</v>
      </c>
      <c r="I44" s="269">
        <v>2390</v>
      </c>
      <c r="J44" s="269">
        <v>2390</v>
      </c>
      <c r="K44" s="269">
        <v>2380</v>
      </c>
      <c r="L44" s="269">
        <v>2375</v>
      </c>
      <c r="M44" s="269">
        <v>2350</v>
      </c>
      <c r="N44" s="269">
        <v>2315</v>
      </c>
      <c r="O44" s="269">
        <v>2225</v>
      </c>
      <c r="P44" s="269">
        <v>2035</v>
      </c>
      <c r="Q44" s="269">
        <v>1830</v>
      </c>
      <c r="R44" s="269">
        <v>1630</v>
      </c>
      <c r="S44" s="269">
        <v>1425</v>
      </c>
      <c r="T44" s="269">
        <v>1230</v>
      </c>
      <c r="U44" s="269">
        <v>1025</v>
      </c>
      <c r="V44" s="270">
        <v>820</v>
      </c>
      <c r="W44" s="270">
        <v>1290</v>
      </c>
      <c r="X44" s="109">
        <f t="shared" si="2"/>
        <v>29810</v>
      </c>
    </row>
    <row r="45" spans="1:24" s="106" customFormat="1" ht="22.5" customHeight="1" x14ac:dyDescent="0.2">
      <c r="A45" s="551">
        <v>20</v>
      </c>
      <c r="B45" s="217" t="s">
        <v>466</v>
      </c>
      <c r="C45" s="569" t="s">
        <v>756</v>
      </c>
      <c r="D45" s="569">
        <v>646</v>
      </c>
      <c r="E45" s="571">
        <f>2223157+31089</f>
        <v>2254246</v>
      </c>
      <c r="F45" s="573" t="s">
        <v>539</v>
      </c>
      <c r="G45" s="266" t="s">
        <v>465</v>
      </c>
      <c r="H45" s="267"/>
      <c r="I45" s="267">
        <v>1500</v>
      </c>
      <c r="J45" s="267">
        <v>4000</v>
      </c>
      <c r="K45" s="267">
        <v>6000</v>
      </c>
      <c r="L45" s="267">
        <v>10000</v>
      </c>
      <c r="M45" s="267">
        <v>20000</v>
      </c>
      <c r="N45" s="267">
        <v>40000</v>
      </c>
      <c r="O45" s="267">
        <v>102248</v>
      </c>
      <c r="P45" s="267">
        <v>102248</v>
      </c>
      <c r="Q45" s="267">
        <v>102248</v>
      </c>
      <c r="R45" s="267">
        <v>102248</v>
      </c>
      <c r="S45" s="267">
        <v>102248</v>
      </c>
      <c r="T45" s="267">
        <v>102248</v>
      </c>
      <c r="U45" s="267">
        <v>102248</v>
      </c>
      <c r="V45" s="268">
        <v>102248</v>
      </c>
      <c r="W45" s="268">
        <v>1354762</v>
      </c>
      <c r="X45" s="105">
        <f t="shared" si="2"/>
        <v>2254246</v>
      </c>
    </row>
    <row r="46" spans="1:24" s="106" customFormat="1" ht="21" customHeight="1" x14ac:dyDescent="0.2">
      <c r="A46" s="552"/>
      <c r="B46" s="165" t="s">
        <v>540</v>
      </c>
      <c r="C46" s="570"/>
      <c r="D46" s="570"/>
      <c r="E46" s="572"/>
      <c r="F46" s="574"/>
      <c r="G46" s="164">
        <v>2.5000000000000001E-3</v>
      </c>
      <c r="H46" s="269">
        <v>5525</v>
      </c>
      <c r="I46" s="269">
        <v>6860</v>
      </c>
      <c r="J46" s="269">
        <v>6850</v>
      </c>
      <c r="K46" s="269">
        <v>6840</v>
      </c>
      <c r="L46" s="269">
        <v>6840</v>
      </c>
      <c r="M46" s="269">
        <v>6785</v>
      </c>
      <c r="N46" s="269">
        <v>6710</v>
      </c>
      <c r="O46" s="269">
        <v>6555</v>
      </c>
      <c r="P46" s="269">
        <v>6270</v>
      </c>
      <c r="Q46" s="269">
        <v>5940</v>
      </c>
      <c r="R46" s="269">
        <v>5630</v>
      </c>
      <c r="S46" s="269">
        <v>5320</v>
      </c>
      <c r="T46" s="269">
        <v>5020</v>
      </c>
      <c r="U46" s="269">
        <v>4695</v>
      </c>
      <c r="V46" s="270">
        <v>4385</v>
      </c>
      <c r="W46" s="270">
        <v>28765</v>
      </c>
      <c r="X46" s="109">
        <f t="shared" si="2"/>
        <v>118990</v>
      </c>
    </row>
    <row r="47" spans="1:24" s="106" customFormat="1" ht="18" customHeight="1" x14ac:dyDescent="0.2">
      <c r="A47" s="514">
        <v>21</v>
      </c>
      <c r="B47" s="217" t="s">
        <v>466</v>
      </c>
      <c r="C47" s="569" t="s">
        <v>541</v>
      </c>
      <c r="D47" s="569">
        <v>647</v>
      </c>
      <c r="E47" s="575">
        <v>1632032</v>
      </c>
      <c r="F47" s="573" t="s">
        <v>539</v>
      </c>
      <c r="G47" s="266" t="s">
        <v>465</v>
      </c>
      <c r="H47" s="267"/>
      <c r="I47" s="280">
        <v>375.3</v>
      </c>
      <c r="J47" s="267">
        <v>2000</v>
      </c>
      <c r="K47" s="267">
        <v>6000</v>
      </c>
      <c r="L47" s="267">
        <v>20000</v>
      </c>
      <c r="M47" s="267">
        <v>40000</v>
      </c>
      <c r="N47" s="267">
        <v>60000</v>
      </c>
      <c r="O47" s="267">
        <v>66520</v>
      </c>
      <c r="P47" s="267">
        <v>66520</v>
      </c>
      <c r="Q47" s="267">
        <v>66520</v>
      </c>
      <c r="R47" s="267">
        <v>66520</v>
      </c>
      <c r="S47" s="267">
        <v>66520</v>
      </c>
      <c r="T47" s="267">
        <v>66520</v>
      </c>
      <c r="U47" s="267">
        <v>66520</v>
      </c>
      <c r="V47" s="268">
        <v>66520</v>
      </c>
      <c r="W47" s="268">
        <v>881401</v>
      </c>
      <c r="X47" s="105">
        <f t="shared" si="2"/>
        <v>1541936.3</v>
      </c>
    </row>
    <row r="48" spans="1:24" s="106" customFormat="1" ht="15.75" customHeight="1" x14ac:dyDescent="0.2">
      <c r="A48" s="515"/>
      <c r="B48" s="165" t="s">
        <v>542</v>
      </c>
      <c r="C48" s="570"/>
      <c r="D48" s="570"/>
      <c r="E48" s="576"/>
      <c r="F48" s="574"/>
      <c r="G48" s="164">
        <v>2.5000000000000001E-3</v>
      </c>
      <c r="H48" s="269">
        <v>3805</v>
      </c>
      <c r="I48" s="269">
        <v>4690</v>
      </c>
      <c r="J48" s="269">
        <v>4690</v>
      </c>
      <c r="K48" s="269">
        <v>4680</v>
      </c>
      <c r="L48" s="269">
        <v>4670</v>
      </c>
      <c r="M48" s="269">
        <v>4585</v>
      </c>
      <c r="N48" s="269">
        <v>4455</v>
      </c>
      <c r="O48" s="269">
        <v>4270</v>
      </c>
      <c r="P48" s="269">
        <v>4080</v>
      </c>
      <c r="Q48" s="269">
        <v>3865</v>
      </c>
      <c r="R48" s="269">
        <v>3665</v>
      </c>
      <c r="S48" s="269">
        <v>3460</v>
      </c>
      <c r="T48" s="269">
        <v>3270</v>
      </c>
      <c r="U48" s="269">
        <v>3055</v>
      </c>
      <c r="V48" s="270">
        <v>2855</v>
      </c>
      <c r="W48" s="270">
        <v>18715</v>
      </c>
      <c r="X48" s="109">
        <f t="shared" si="2"/>
        <v>78810</v>
      </c>
    </row>
    <row r="49" spans="1:24" s="106" customFormat="1" ht="18.75" customHeight="1" x14ac:dyDescent="0.2">
      <c r="A49" s="551">
        <v>22</v>
      </c>
      <c r="B49" s="217" t="s">
        <v>466</v>
      </c>
      <c r="C49" s="547" t="s">
        <v>543</v>
      </c>
      <c r="D49" s="547">
        <v>649</v>
      </c>
      <c r="E49" s="553">
        <f>1181972+164205</f>
        <v>1346177</v>
      </c>
      <c r="F49" s="527" t="s">
        <v>757</v>
      </c>
      <c r="G49" s="266" t="s">
        <v>465</v>
      </c>
      <c r="H49" s="267"/>
      <c r="I49" s="267">
        <v>500</v>
      </c>
      <c r="J49" s="267">
        <v>2000</v>
      </c>
      <c r="K49" s="267">
        <v>6000</v>
      </c>
      <c r="L49" s="267">
        <v>10000</v>
      </c>
      <c r="M49" s="267">
        <v>20000</v>
      </c>
      <c r="N49" s="267">
        <v>40000</v>
      </c>
      <c r="O49" s="267">
        <v>51324</v>
      </c>
      <c r="P49" s="267">
        <v>59336</v>
      </c>
      <c r="Q49" s="267">
        <v>59336</v>
      </c>
      <c r="R49" s="267">
        <v>59336</v>
      </c>
      <c r="S49" s="267">
        <v>59336</v>
      </c>
      <c r="T49" s="267">
        <v>59336</v>
      </c>
      <c r="U49" s="267">
        <v>59336</v>
      </c>
      <c r="V49" s="268">
        <v>59336</v>
      </c>
      <c r="W49" s="268">
        <v>801001</v>
      </c>
      <c r="X49" s="105">
        <f t="shared" si="2"/>
        <v>1346177</v>
      </c>
    </row>
    <row r="50" spans="1:24" s="106" customFormat="1" ht="15" customHeight="1" x14ac:dyDescent="0.2">
      <c r="A50" s="552"/>
      <c r="B50" s="165" t="s">
        <v>544</v>
      </c>
      <c r="C50" s="548"/>
      <c r="D50" s="548"/>
      <c r="E50" s="554"/>
      <c r="F50" s="517"/>
      <c r="G50" s="164">
        <v>2.5000000000000001E-3</v>
      </c>
      <c r="H50" s="269">
        <v>3595</v>
      </c>
      <c r="I50" s="269">
        <v>4095</v>
      </c>
      <c r="J50" s="269">
        <v>4095</v>
      </c>
      <c r="K50" s="269">
        <v>4085</v>
      </c>
      <c r="L50" s="269">
        <v>4075</v>
      </c>
      <c r="M50" s="269">
        <v>4030</v>
      </c>
      <c r="N50" s="269">
        <v>3960</v>
      </c>
      <c r="O50" s="269">
        <v>3830</v>
      </c>
      <c r="P50" s="269">
        <v>3685</v>
      </c>
      <c r="Q50" s="269">
        <v>3495</v>
      </c>
      <c r="R50" s="269">
        <v>3315</v>
      </c>
      <c r="S50" s="269">
        <v>3135</v>
      </c>
      <c r="T50" s="269">
        <v>2960</v>
      </c>
      <c r="U50" s="269">
        <v>2770</v>
      </c>
      <c r="V50" s="270">
        <v>2590</v>
      </c>
      <c r="W50" s="270">
        <f>17315-5</f>
        <v>17310</v>
      </c>
      <c r="X50" s="109">
        <f t="shared" si="2"/>
        <v>71025</v>
      </c>
    </row>
    <row r="51" spans="1:24" s="106" customFormat="1" x14ac:dyDescent="0.2">
      <c r="A51" s="541">
        <v>23</v>
      </c>
      <c r="B51" s="217" t="s">
        <v>466</v>
      </c>
      <c r="C51" s="547" t="s">
        <v>758</v>
      </c>
      <c r="D51" s="547">
        <v>650</v>
      </c>
      <c r="E51" s="549">
        <f>1108154-97425-59625.45</f>
        <v>951103.55</v>
      </c>
      <c r="F51" s="527" t="s">
        <v>759</v>
      </c>
      <c r="G51" s="266" t="s">
        <v>465</v>
      </c>
      <c r="H51" s="365">
        <v>35241.58</v>
      </c>
      <c r="I51" s="280">
        <v>750.97</v>
      </c>
      <c r="J51" s="267">
        <v>2000</v>
      </c>
      <c r="K51" s="267">
        <v>4000</v>
      </c>
      <c r="L51" s="267">
        <v>10000</v>
      </c>
      <c r="M51" s="267">
        <v>20000</v>
      </c>
      <c r="N51" s="267">
        <v>28000</v>
      </c>
      <c r="O51" s="267">
        <v>40052</v>
      </c>
      <c r="P51" s="267">
        <v>40052</v>
      </c>
      <c r="Q51" s="267">
        <v>40052</v>
      </c>
      <c r="R51" s="267">
        <v>40052</v>
      </c>
      <c r="S51" s="267">
        <v>40052</v>
      </c>
      <c r="T51" s="267">
        <v>40052</v>
      </c>
      <c r="U51" s="267">
        <v>40052</v>
      </c>
      <c r="V51" s="268">
        <v>40052</v>
      </c>
      <c r="W51" s="268">
        <v>530695</v>
      </c>
      <c r="X51" s="105">
        <f t="shared" si="2"/>
        <v>951103.55</v>
      </c>
    </row>
    <row r="52" spans="1:24" s="106" customFormat="1" x14ac:dyDescent="0.2">
      <c r="A52" s="542"/>
      <c r="B52" s="165" t="s">
        <v>545</v>
      </c>
      <c r="C52" s="548"/>
      <c r="D52" s="548"/>
      <c r="E52" s="550"/>
      <c r="F52" s="517"/>
      <c r="G52" s="164">
        <v>2.5000000000000001E-3</v>
      </c>
      <c r="H52" s="269">
        <v>2315</v>
      </c>
      <c r="I52" s="269">
        <v>2790</v>
      </c>
      <c r="J52" s="269">
        <v>2785</v>
      </c>
      <c r="K52" s="269">
        <v>2780</v>
      </c>
      <c r="L52" s="269">
        <v>2770</v>
      </c>
      <c r="M52" s="269">
        <v>2725</v>
      </c>
      <c r="N52" s="269">
        <v>2660</v>
      </c>
      <c r="O52" s="269">
        <v>2570</v>
      </c>
      <c r="P52" s="269">
        <v>2455</v>
      </c>
      <c r="Q52" s="269">
        <v>2330</v>
      </c>
      <c r="R52" s="269">
        <v>2205</v>
      </c>
      <c r="S52" s="269">
        <v>2085</v>
      </c>
      <c r="T52" s="269">
        <v>1970</v>
      </c>
      <c r="U52" s="269">
        <v>1840</v>
      </c>
      <c r="V52" s="270">
        <v>1720</v>
      </c>
      <c r="W52" s="270">
        <v>11270</v>
      </c>
      <c r="X52" s="109">
        <f t="shared" si="2"/>
        <v>47270</v>
      </c>
    </row>
    <row r="53" spans="1:24" s="106" customFormat="1" ht="12.75" customHeight="1" x14ac:dyDescent="0.2">
      <c r="A53" s="551">
        <v>24</v>
      </c>
      <c r="B53" s="217" t="s">
        <v>466</v>
      </c>
      <c r="C53" s="547" t="s">
        <v>760</v>
      </c>
      <c r="D53" s="547">
        <v>651</v>
      </c>
      <c r="E53" s="549">
        <f>225000-4003.53</f>
        <v>220996.47</v>
      </c>
      <c r="F53" s="527" t="s">
        <v>761</v>
      </c>
      <c r="G53" s="266" t="s">
        <v>465</v>
      </c>
      <c r="H53" s="267"/>
      <c r="I53" s="267">
        <v>375</v>
      </c>
      <c r="J53" s="267">
        <v>2000</v>
      </c>
      <c r="K53" s="267">
        <v>4000</v>
      </c>
      <c r="L53" s="267">
        <v>6000</v>
      </c>
      <c r="M53" s="267">
        <v>8000</v>
      </c>
      <c r="N53" s="267">
        <v>16380</v>
      </c>
      <c r="O53" s="267">
        <v>16380</v>
      </c>
      <c r="P53" s="267">
        <v>16380</v>
      </c>
      <c r="Q53" s="267">
        <v>16380</v>
      </c>
      <c r="R53" s="267">
        <v>16380</v>
      </c>
      <c r="S53" s="267">
        <v>16380</v>
      </c>
      <c r="T53" s="267">
        <v>16380</v>
      </c>
      <c r="U53" s="267">
        <v>16380</v>
      </c>
      <c r="V53" s="268">
        <v>16380</v>
      </c>
      <c r="W53" s="268">
        <v>53201.47</v>
      </c>
      <c r="X53" s="105">
        <f t="shared" si="2"/>
        <v>220996.47</v>
      </c>
    </row>
    <row r="54" spans="1:24" s="106" customFormat="1" x14ac:dyDescent="0.2">
      <c r="A54" s="552"/>
      <c r="B54" s="408" t="s">
        <v>546</v>
      </c>
      <c r="C54" s="558"/>
      <c r="D54" s="558"/>
      <c r="E54" s="559"/>
      <c r="F54" s="560"/>
      <c r="G54" s="409">
        <v>2.5000000000000001E-3</v>
      </c>
      <c r="H54" s="410">
        <v>590</v>
      </c>
      <c r="I54" s="410">
        <v>675</v>
      </c>
      <c r="J54" s="410">
        <v>670</v>
      </c>
      <c r="K54" s="410">
        <v>665</v>
      </c>
      <c r="L54" s="410">
        <v>655</v>
      </c>
      <c r="M54" s="410">
        <v>635</v>
      </c>
      <c r="N54" s="410">
        <v>605</v>
      </c>
      <c r="O54" s="410">
        <v>555</v>
      </c>
      <c r="P54" s="410">
        <v>505</v>
      </c>
      <c r="Q54" s="410">
        <v>455</v>
      </c>
      <c r="R54" s="410">
        <v>405</v>
      </c>
      <c r="S54" s="410">
        <v>355</v>
      </c>
      <c r="T54" s="410">
        <v>305</v>
      </c>
      <c r="U54" s="410">
        <v>255</v>
      </c>
      <c r="V54" s="411">
        <v>205</v>
      </c>
      <c r="W54" s="411">
        <f>325-5</f>
        <v>320</v>
      </c>
      <c r="X54" s="412">
        <f t="shared" si="2"/>
        <v>7855</v>
      </c>
    </row>
    <row r="55" spans="1:24" s="282" customFormat="1" ht="12.75" customHeight="1" x14ac:dyDescent="0.2">
      <c r="A55" s="561">
        <v>25</v>
      </c>
      <c r="B55" s="419" t="s">
        <v>466</v>
      </c>
      <c r="C55" s="563" t="s">
        <v>547</v>
      </c>
      <c r="D55" s="563">
        <v>652</v>
      </c>
      <c r="E55" s="565">
        <f>888438-1.11</f>
        <v>888436.89</v>
      </c>
      <c r="F55" s="567" t="s">
        <v>762</v>
      </c>
      <c r="G55" s="420" t="s">
        <v>465</v>
      </c>
      <c r="H55" s="421"/>
      <c r="I55" s="421">
        <v>500</v>
      </c>
      <c r="J55" s="421">
        <v>2500</v>
      </c>
      <c r="K55" s="421">
        <v>6000</v>
      </c>
      <c r="L55" s="421">
        <v>10000</v>
      </c>
      <c r="M55" s="421">
        <v>20000</v>
      </c>
      <c r="N55" s="421">
        <v>40000</v>
      </c>
      <c r="O55" s="421">
        <v>70384</v>
      </c>
      <c r="P55" s="421">
        <v>70384</v>
      </c>
      <c r="Q55" s="421">
        <v>70384</v>
      </c>
      <c r="R55" s="421">
        <v>70384</v>
      </c>
      <c r="S55" s="421">
        <v>70384</v>
      </c>
      <c r="T55" s="421">
        <v>70384</v>
      </c>
      <c r="U55" s="421">
        <v>70384</v>
      </c>
      <c r="V55" s="421">
        <v>70384</v>
      </c>
      <c r="W55" s="422">
        <f>246366-1.11</f>
        <v>246364.89</v>
      </c>
      <c r="X55" s="423">
        <f t="shared" si="2"/>
        <v>888436.89</v>
      </c>
    </row>
    <row r="56" spans="1:24" s="282" customFormat="1" ht="12.75" customHeight="1" x14ac:dyDescent="0.2">
      <c r="A56" s="562"/>
      <c r="B56" s="424" t="s">
        <v>548</v>
      </c>
      <c r="C56" s="564"/>
      <c r="D56" s="564"/>
      <c r="E56" s="566"/>
      <c r="F56" s="568"/>
      <c r="G56" s="425">
        <v>2.5000000000000001E-3</v>
      </c>
      <c r="H56" s="426">
        <v>2375</v>
      </c>
      <c r="I56" s="426">
        <v>2705</v>
      </c>
      <c r="J56" s="426">
        <v>2700</v>
      </c>
      <c r="K56" s="426">
        <v>2690</v>
      </c>
      <c r="L56" s="426">
        <v>2680</v>
      </c>
      <c r="M56" s="426">
        <v>2635</v>
      </c>
      <c r="N56" s="426">
        <v>2565</v>
      </c>
      <c r="O56" s="426">
        <v>2425</v>
      </c>
      <c r="P56" s="426">
        <v>2225</v>
      </c>
      <c r="Q56" s="426">
        <v>2005</v>
      </c>
      <c r="R56" s="426">
        <v>1790</v>
      </c>
      <c r="S56" s="426">
        <v>1575</v>
      </c>
      <c r="T56" s="426">
        <v>1365</v>
      </c>
      <c r="U56" s="426">
        <v>1145</v>
      </c>
      <c r="V56" s="426">
        <v>935</v>
      </c>
      <c r="W56" s="426">
        <f>1585-5</f>
        <v>1580</v>
      </c>
      <c r="X56" s="427">
        <f t="shared" si="2"/>
        <v>33395</v>
      </c>
    </row>
    <row r="57" spans="1:24" s="106" customFormat="1" ht="18.75" customHeight="1" x14ac:dyDescent="0.2">
      <c r="A57" s="551">
        <v>26</v>
      </c>
      <c r="B57" s="407" t="s">
        <v>466</v>
      </c>
      <c r="C57" s="555" t="s">
        <v>763</v>
      </c>
      <c r="D57" s="555">
        <v>653</v>
      </c>
      <c r="E57" s="556">
        <f>74835+24822-0.26+294955-28536.73</f>
        <v>366075.01</v>
      </c>
      <c r="F57" s="557" t="s">
        <v>720</v>
      </c>
      <c r="G57" s="413" t="s">
        <v>465</v>
      </c>
      <c r="H57" s="414">
        <f>50000+25000</f>
        <v>75000</v>
      </c>
      <c r="I57" s="415">
        <v>500.01</v>
      </c>
      <c r="J57" s="416">
        <v>3000</v>
      </c>
      <c r="K57" s="416">
        <v>52288</v>
      </c>
      <c r="L57" s="416">
        <v>52288</v>
      </c>
      <c r="M57" s="416">
        <v>52288</v>
      </c>
      <c r="N57" s="416">
        <v>52288</v>
      </c>
      <c r="O57" s="416">
        <v>52288</v>
      </c>
      <c r="P57" s="415">
        <v>26135</v>
      </c>
      <c r="Q57" s="416"/>
      <c r="R57" s="416"/>
      <c r="S57" s="416"/>
      <c r="T57" s="416"/>
      <c r="U57" s="416"/>
      <c r="V57" s="417"/>
      <c r="W57" s="417"/>
      <c r="X57" s="418">
        <f t="shared" si="2"/>
        <v>366075.01</v>
      </c>
    </row>
    <row r="58" spans="1:24" s="106" customFormat="1" ht="15.75" customHeight="1" x14ac:dyDescent="0.2">
      <c r="A58" s="552"/>
      <c r="B58" s="165" t="s">
        <v>549</v>
      </c>
      <c r="C58" s="548"/>
      <c r="D58" s="548"/>
      <c r="E58" s="550"/>
      <c r="F58" s="517"/>
      <c r="G58" s="164">
        <v>2.5000000000000001E-3</v>
      </c>
      <c r="H58" s="269">
        <v>870</v>
      </c>
      <c r="I58" s="269">
        <v>890</v>
      </c>
      <c r="J58" s="269">
        <v>885</v>
      </c>
      <c r="K58" s="269">
        <v>845</v>
      </c>
      <c r="L58" s="269">
        <v>695</v>
      </c>
      <c r="M58" s="269">
        <v>535</v>
      </c>
      <c r="N58" s="269">
        <v>375</v>
      </c>
      <c r="O58" s="269">
        <v>215</v>
      </c>
      <c r="P58" s="269">
        <v>60</v>
      </c>
      <c r="Q58" s="269"/>
      <c r="R58" s="269"/>
      <c r="S58" s="269"/>
      <c r="T58" s="269"/>
      <c r="U58" s="269"/>
      <c r="V58" s="270"/>
      <c r="W58" s="270"/>
      <c r="X58" s="109">
        <f t="shared" si="2"/>
        <v>5370</v>
      </c>
    </row>
    <row r="59" spans="1:24" s="106" customFormat="1" x14ac:dyDescent="0.2">
      <c r="A59" s="541">
        <v>27</v>
      </c>
      <c r="B59" s="219" t="s">
        <v>466</v>
      </c>
      <c r="C59" s="547" t="s">
        <v>764</v>
      </c>
      <c r="D59" s="547">
        <v>654</v>
      </c>
      <c r="E59" s="549">
        <v>74150</v>
      </c>
      <c r="F59" s="527" t="s">
        <v>550</v>
      </c>
      <c r="G59" s="266" t="s">
        <v>465</v>
      </c>
      <c r="H59" s="267"/>
      <c r="I59" s="267">
        <v>500</v>
      </c>
      <c r="J59" s="267">
        <v>2000</v>
      </c>
      <c r="K59" s="267">
        <v>3000</v>
      </c>
      <c r="L59" s="267">
        <v>4380</v>
      </c>
      <c r="M59" s="267">
        <v>4760</v>
      </c>
      <c r="N59" s="267">
        <v>4760</v>
      </c>
      <c r="O59" s="267">
        <v>4760</v>
      </c>
      <c r="P59" s="267">
        <v>4760</v>
      </c>
      <c r="Q59" s="267">
        <v>4760</v>
      </c>
      <c r="R59" s="267">
        <v>4760</v>
      </c>
      <c r="S59" s="267">
        <v>4760</v>
      </c>
      <c r="T59" s="267">
        <v>4760</v>
      </c>
      <c r="U59" s="267">
        <v>4760</v>
      </c>
      <c r="V59" s="268">
        <v>4760</v>
      </c>
      <c r="W59" s="268">
        <v>16670</v>
      </c>
      <c r="X59" s="105">
        <f t="shared" si="2"/>
        <v>74150</v>
      </c>
    </row>
    <row r="60" spans="1:24" s="106" customFormat="1" x14ac:dyDescent="0.2">
      <c r="A60" s="542"/>
      <c r="B60" s="165" t="s">
        <v>551</v>
      </c>
      <c r="C60" s="548"/>
      <c r="D60" s="548"/>
      <c r="E60" s="550"/>
      <c r="F60" s="517"/>
      <c r="G60" s="164">
        <v>2.5000000000000001E-3</v>
      </c>
      <c r="H60" s="269">
        <v>200</v>
      </c>
      <c r="I60" s="269">
        <v>230</v>
      </c>
      <c r="J60" s="269">
        <v>225</v>
      </c>
      <c r="K60" s="269">
        <v>220</v>
      </c>
      <c r="L60" s="269">
        <v>210</v>
      </c>
      <c r="M60" s="269">
        <v>195</v>
      </c>
      <c r="N60" s="269">
        <v>180</v>
      </c>
      <c r="O60" s="269">
        <v>165</v>
      </c>
      <c r="P60" s="269">
        <v>155</v>
      </c>
      <c r="Q60" s="269">
        <v>140</v>
      </c>
      <c r="R60" s="269">
        <v>125</v>
      </c>
      <c r="S60" s="269">
        <v>110</v>
      </c>
      <c r="T60" s="269">
        <v>95</v>
      </c>
      <c r="U60" s="269">
        <v>80</v>
      </c>
      <c r="V60" s="270">
        <v>65</v>
      </c>
      <c r="W60" s="270">
        <v>110</v>
      </c>
      <c r="X60" s="109">
        <f t="shared" si="2"/>
        <v>2505</v>
      </c>
    </row>
    <row r="61" spans="1:24" s="106" customFormat="1" ht="18" customHeight="1" x14ac:dyDescent="0.2">
      <c r="A61" s="551">
        <v>28</v>
      </c>
      <c r="B61" s="219" t="s">
        <v>466</v>
      </c>
      <c r="C61" s="547" t="s">
        <v>765</v>
      </c>
      <c r="D61" s="547">
        <v>655</v>
      </c>
      <c r="E61" s="549">
        <v>250000</v>
      </c>
      <c r="F61" s="527" t="s">
        <v>766</v>
      </c>
      <c r="G61" s="266" t="s">
        <v>465</v>
      </c>
      <c r="H61" s="267"/>
      <c r="I61" s="267">
        <v>300</v>
      </c>
      <c r="J61" s="267">
        <v>1000</v>
      </c>
      <c r="K61" s="267">
        <v>2000</v>
      </c>
      <c r="L61" s="267">
        <v>3000</v>
      </c>
      <c r="M61" s="267">
        <v>6000</v>
      </c>
      <c r="N61" s="267">
        <v>18644</v>
      </c>
      <c r="O61" s="267">
        <v>18644</v>
      </c>
      <c r="P61" s="267">
        <v>18644</v>
      </c>
      <c r="Q61" s="267">
        <v>18644</v>
      </c>
      <c r="R61" s="267">
        <v>18644</v>
      </c>
      <c r="S61" s="267">
        <v>18644</v>
      </c>
      <c r="T61" s="267">
        <v>18644</v>
      </c>
      <c r="U61" s="267">
        <v>18644</v>
      </c>
      <c r="V61" s="268">
        <v>18644</v>
      </c>
      <c r="W61" s="268">
        <v>69904</v>
      </c>
      <c r="X61" s="105">
        <f t="shared" si="2"/>
        <v>250000</v>
      </c>
    </row>
    <row r="62" spans="1:24" s="106" customFormat="1" ht="17.25" customHeight="1" x14ac:dyDescent="0.2">
      <c r="A62" s="552"/>
      <c r="B62" s="165" t="s">
        <v>552</v>
      </c>
      <c r="C62" s="548"/>
      <c r="D62" s="548"/>
      <c r="E62" s="550"/>
      <c r="F62" s="517"/>
      <c r="G62" s="164">
        <v>2.5000000000000001E-3</v>
      </c>
      <c r="H62" s="269">
        <v>620</v>
      </c>
      <c r="I62" s="269">
        <v>685</v>
      </c>
      <c r="J62" s="269">
        <v>685</v>
      </c>
      <c r="K62" s="269">
        <v>680</v>
      </c>
      <c r="L62" s="269">
        <v>675</v>
      </c>
      <c r="M62" s="269">
        <v>665</v>
      </c>
      <c r="N62" s="269">
        <v>640</v>
      </c>
      <c r="O62" s="269">
        <v>595</v>
      </c>
      <c r="P62" s="269">
        <v>545</v>
      </c>
      <c r="Q62" s="269">
        <v>490</v>
      </c>
      <c r="R62" s="269">
        <v>440</v>
      </c>
      <c r="S62" s="269">
        <v>390</v>
      </c>
      <c r="T62" s="269">
        <v>340</v>
      </c>
      <c r="U62" s="269">
        <v>290</v>
      </c>
      <c r="V62" s="270">
        <v>235</v>
      </c>
      <c r="W62" s="270">
        <v>435</v>
      </c>
      <c r="X62" s="109">
        <f t="shared" si="2"/>
        <v>8410</v>
      </c>
    </row>
    <row r="63" spans="1:24" s="106" customFormat="1" x14ac:dyDescent="0.2">
      <c r="A63" s="541">
        <v>29</v>
      </c>
      <c r="B63" s="219" t="s">
        <v>466</v>
      </c>
      <c r="C63" s="547" t="s">
        <v>767</v>
      </c>
      <c r="D63" s="547">
        <v>656</v>
      </c>
      <c r="E63" s="549">
        <v>4203541</v>
      </c>
      <c r="F63" s="527" t="s">
        <v>553</v>
      </c>
      <c r="G63" s="266" t="s">
        <v>465</v>
      </c>
      <c r="H63" s="120">
        <v>750</v>
      </c>
      <c r="I63" s="120">
        <v>1000</v>
      </c>
      <c r="J63" s="120">
        <v>3000</v>
      </c>
      <c r="K63" s="120">
        <v>4000</v>
      </c>
      <c r="L63" s="120">
        <v>5000</v>
      </c>
      <c r="M63" s="120">
        <v>10000</v>
      </c>
      <c r="N63" s="120">
        <v>20000</v>
      </c>
      <c r="O63" s="120">
        <v>50000</v>
      </c>
      <c r="P63" s="120">
        <v>62000</v>
      </c>
      <c r="Q63" s="120">
        <v>80000</v>
      </c>
      <c r="R63" s="120">
        <v>223540</v>
      </c>
      <c r="S63" s="120">
        <v>223540</v>
      </c>
      <c r="T63" s="120">
        <v>223540</v>
      </c>
      <c r="U63" s="140">
        <v>223540</v>
      </c>
      <c r="V63" s="140">
        <v>223540</v>
      </c>
      <c r="W63" s="268">
        <v>2850091</v>
      </c>
      <c r="X63" s="105">
        <f t="shared" si="2"/>
        <v>4203541</v>
      </c>
    </row>
    <row r="64" spans="1:24" s="106" customFormat="1" x14ac:dyDescent="0.2">
      <c r="A64" s="542"/>
      <c r="B64" s="165" t="s">
        <v>554</v>
      </c>
      <c r="C64" s="548"/>
      <c r="D64" s="548"/>
      <c r="E64" s="550"/>
      <c r="F64" s="517"/>
      <c r="G64" s="164">
        <v>2.5000000000000001E-3</v>
      </c>
      <c r="H64" s="121">
        <v>10685</v>
      </c>
      <c r="I64" s="121">
        <v>12785</v>
      </c>
      <c r="J64" s="121">
        <v>12780</v>
      </c>
      <c r="K64" s="121">
        <v>12770</v>
      </c>
      <c r="L64" s="121">
        <v>12795</v>
      </c>
      <c r="M64" s="121">
        <v>12740</v>
      </c>
      <c r="N64" s="121">
        <v>12705</v>
      </c>
      <c r="O64" s="121">
        <v>12625</v>
      </c>
      <c r="P64" s="121">
        <v>12505</v>
      </c>
      <c r="Q64" s="121">
        <v>12275</v>
      </c>
      <c r="R64" s="121">
        <v>11940</v>
      </c>
      <c r="S64" s="121">
        <v>11285</v>
      </c>
      <c r="T64" s="121">
        <v>10635</v>
      </c>
      <c r="U64" s="141">
        <v>9925</v>
      </c>
      <c r="V64" s="141">
        <v>9245</v>
      </c>
      <c r="W64" s="270">
        <v>58345</v>
      </c>
      <c r="X64" s="109">
        <f t="shared" si="2"/>
        <v>236040</v>
      </c>
    </row>
    <row r="65" spans="1:24" s="106" customFormat="1" ht="16.5" customHeight="1" x14ac:dyDescent="0.2">
      <c r="A65" s="541">
        <v>30</v>
      </c>
      <c r="B65" s="217" t="s">
        <v>466</v>
      </c>
      <c r="C65" s="547" t="s">
        <v>768</v>
      </c>
      <c r="D65" s="547">
        <v>657</v>
      </c>
      <c r="E65" s="553">
        <v>546548</v>
      </c>
      <c r="F65" s="527" t="s">
        <v>555</v>
      </c>
      <c r="G65" s="266" t="s">
        <v>465</v>
      </c>
      <c r="H65" s="365">
        <f>25690.95</f>
        <v>25690.95</v>
      </c>
      <c r="I65" s="280">
        <v>250.27</v>
      </c>
      <c r="J65" s="267">
        <v>2250</v>
      </c>
      <c r="K65" s="267">
        <v>8000</v>
      </c>
      <c r="L65" s="267">
        <v>94848</v>
      </c>
      <c r="M65" s="267">
        <v>94848</v>
      </c>
      <c r="N65" s="267">
        <v>94848</v>
      </c>
      <c r="O65" s="267">
        <v>94848</v>
      </c>
      <c r="P65" s="280">
        <v>71130</v>
      </c>
      <c r="Q65" s="267"/>
      <c r="R65" s="267"/>
      <c r="S65" s="267"/>
      <c r="T65" s="267"/>
      <c r="U65" s="120"/>
      <c r="V65" s="139"/>
      <c r="W65" s="140"/>
      <c r="X65" s="105">
        <f t="shared" si="2"/>
        <v>486713.22</v>
      </c>
    </row>
    <row r="66" spans="1:24" s="106" customFormat="1" ht="15" customHeight="1" x14ac:dyDescent="0.2">
      <c r="A66" s="542"/>
      <c r="B66" s="165" t="s">
        <v>556</v>
      </c>
      <c r="C66" s="548"/>
      <c r="D66" s="548"/>
      <c r="E66" s="554"/>
      <c r="F66" s="517"/>
      <c r="G66" s="164">
        <v>2.5000000000000001E-3</v>
      </c>
      <c r="H66" s="269">
        <v>1205</v>
      </c>
      <c r="I66" s="269">
        <v>1405</v>
      </c>
      <c r="J66" s="269">
        <v>1405</v>
      </c>
      <c r="K66" s="269">
        <v>1395</v>
      </c>
      <c r="L66" s="269">
        <v>1320</v>
      </c>
      <c r="M66" s="269">
        <v>1040</v>
      </c>
      <c r="N66" s="269">
        <v>750</v>
      </c>
      <c r="O66" s="269">
        <v>465</v>
      </c>
      <c r="P66" s="269">
        <v>175</v>
      </c>
      <c r="Q66" s="269"/>
      <c r="R66" s="269"/>
      <c r="S66" s="269"/>
      <c r="T66" s="269"/>
      <c r="U66" s="121"/>
      <c r="V66" s="141"/>
      <c r="W66" s="141"/>
      <c r="X66" s="109">
        <f t="shared" si="2"/>
        <v>9160</v>
      </c>
    </row>
    <row r="67" spans="1:24" s="106" customFormat="1" ht="17.25" customHeight="1" x14ac:dyDescent="0.2">
      <c r="A67" s="551">
        <v>31</v>
      </c>
      <c r="B67" s="217" t="s">
        <v>466</v>
      </c>
      <c r="C67" s="547" t="s">
        <v>557</v>
      </c>
      <c r="D67" s="547">
        <v>658</v>
      </c>
      <c r="E67" s="549">
        <f>149917-0.42</f>
        <v>149916.57999999999</v>
      </c>
      <c r="F67" s="527" t="s">
        <v>558</v>
      </c>
      <c r="G67" s="266" t="s">
        <v>465</v>
      </c>
      <c r="H67" s="267"/>
      <c r="I67" s="267">
        <v>200</v>
      </c>
      <c r="J67" s="267">
        <v>1000</v>
      </c>
      <c r="K67" s="267">
        <v>1000</v>
      </c>
      <c r="L67" s="267">
        <v>2000</v>
      </c>
      <c r="M67" s="267">
        <v>2000</v>
      </c>
      <c r="N67" s="267">
        <v>11272</v>
      </c>
      <c r="O67" s="267">
        <v>11272</v>
      </c>
      <c r="P67" s="267">
        <v>11272</v>
      </c>
      <c r="Q67" s="267">
        <v>11272</v>
      </c>
      <c r="R67" s="267">
        <v>11272</v>
      </c>
      <c r="S67" s="267">
        <v>11272</v>
      </c>
      <c r="T67" s="267">
        <v>11272</v>
      </c>
      <c r="U67" s="267">
        <v>11272</v>
      </c>
      <c r="V67" s="267">
        <f>11272</f>
        <v>11272</v>
      </c>
      <c r="W67" s="280">
        <v>42268.58</v>
      </c>
      <c r="X67" s="105">
        <f t="shared" si="2"/>
        <v>149916.58000000002</v>
      </c>
    </row>
    <row r="68" spans="1:24" s="106" customFormat="1" ht="17.25" customHeight="1" x14ac:dyDescent="0.2">
      <c r="A68" s="552"/>
      <c r="B68" s="165" t="s">
        <v>556</v>
      </c>
      <c r="C68" s="548"/>
      <c r="D68" s="548"/>
      <c r="E68" s="550"/>
      <c r="F68" s="517"/>
      <c r="G68" s="164">
        <v>2.5000000000000001E-3</v>
      </c>
      <c r="H68" s="269">
        <v>355</v>
      </c>
      <c r="I68" s="269">
        <v>410</v>
      </c>
      <c r="J68" s="269">
        <v>410</v>
      </c>
      <c r="K68" s="269">
        <v>405</v>
      </c>
      <c r="L68" s="269">
        <v>405</v>
      </c>
      <c r="M68" s="269">
        <v>400</v>
      </c>
      <c r="N68" s="269">
        <v>390</v>
      </c>
      <c r="O68" s="269">
        <v>360</v>
      </c>
      <c r="P68" s="269">
        <v>330</v>
      </c>
      <c r="Q68" s="269">
        <v>300</v>
      </c>
      <c r="R68" s="269">
        <v>265</v>
      </c>
      <c r="S68" s="269">
        <v>235</v>
      </c>
      <c r="T68" s="269">
        <v>205</v>
      </c>
      <c r="U68" s="269">
        <v>175</v>
      </c>
      <c r="V68" s="269">
        <v>145</v>
      </c>
      <c r="W68" s="269">
        <f>265-5</f>
        <v>260</v>
      </c>
      <c r="X68" s="109">
        <f t="shared" si="2"/>
        <v>5050</v>
      </c>
    </row>
    <row r="69" spans="1:24" s="106" customFormat="1" ht="17.25" customHeight="1" x14ac:dyDescent="0.2">
      <c r="A69" s="541">
        <v>32</v>
      </c>
      <c r="B69" s="219" t="s">
        <v>466</v>
      </c>
      <c r="C69" s="547" t="s">
        <v>769</v>
      </c>
      <c r="D69" s="547">
        <v>659</v>
      </c>
      <c r="E69" s="553">
        <f>138216-0.12</f>
        <v>138215.88</v>
      </c>
      <c r="F69" s="527" t="s">
        <v>770</v>
      </c>
      <c r="G69" s="266" t="s">
        <v>465</v>
      </c>
      <c r="H69" s="267"/>
      <c r="I69" s="267"/>
      <c r="J69" s="280">
        <v>1020</v>
      </c>
      <c r="K69" s="267">
        <v>3000</v>
      </c>
      <c r="L69" s="267">
        <v>4000</v>
      </c>
      <c r="M69" s="267">
        <v>9300</v>
      </c>
      <c r="N69" s="267">
        <v>9300</v>
      </c>
      <c r="O69" s="267">
        <v>9300</v>
      </c>
      <c r="P69" s="267">
        <v>9300</v>
      </c>
      <c r="Q69" s="267">
        <v>9300</v>
      </c>
      <c r="R69" s="267">
        <v>9300</v>
      </c>
      <c r="S69" s="267">
        <v>9300</v>
      </c>
      <c r="T69" s="267">
        <v>9300</v>
      </c>
      <c r="U69" s="267">
        <v>9300</v>
      </c>
      <c r="V69" s="267">
        <v>9300</v>
      </c>
      <c r="W69" s="280">
        <f>37196-0.12</f>
        <v>37195.879999999997</v>
      </c>
      <c r="X69" s="105">
        <f t="shared" si="2"/>
        <v>138215.88</v>
      </c>
    </row>
    <row r="70" spans="1:24" s="106" customFormat="1" ht="15.75" customHeight="1" x14ac:dyDescent="0.2">
      <c r="A70" s="542"/>
      <c r="B70" s="129" t="s">
        <v>771</v>
      </c>
      <c r="C70" s="548"/>
      <c r="D70" s="548"/>
      <c r="E70" s="554"/>
      <c r="F70" s="517"/>
      <c r="G70" s="164">
        <v>2.5000000000000001E-3</v>
      </c>
      <c r="H70" s="269">
        <v>405</v>
      </c>
      <c r="I70" s="269">
        <v>425</v>
      </c>
      <c r="J70" s="269">
        <v>420</v>
      </c>
      <c r="K70" s="269">
        <v>420</v>
      </c>
      <c r="L70" s="269">
        <v>410</v>
      </c>
      <c r="M70" s="269">
        <v>395</v>
      </c>
      <c r="N70" s="269">
        <v>365</v>
      </c>
      <c r="O70" s="269">
        <v>340</v>
      </c>
      <c r="P70" s="269">
        <v>310</v>
      </c>
      <c r="Q70" s="269">
        <v>280</v>
      </c>
      <c r="R70" s="269">
        <v>255</v>
      </c>
      <c r="S70" s="269">
        <v>225</v>
      </c>
      <c r="T70" s="269">
        <v>195</v>
      </c>
      <c r="U70" s="269">
        <v>170</v>
      </c>
      <c r="V70" s="269">
        <v>140</v>
      </c>
      <c r="W70" s="269">
        <f>270-5</f>
        <v>265</v>
      </c>
      <c r="X70" s="109">
        <f t="shared" si="2"/>
        <v>5020</v>
      </c>
    </row>
    <row r="71" spans="1:24" s="106" customFormat="1" ht="12.75" customHeight="1" x14ac:dyDescent="0.2">
      <c r="A71" s="541">
        <v>33</v>
      </c>
      <c r="B71" s="219" t="s">
        <v>466</v>
      </c>
      <c r="C71" s="547" t="s">
        <v>567</v>
      </c>
      <c r="D71" s="547">
        <v>660</v>
      </c>
      <c r="E71" s="549">
        <f>2825528-170000-107105.44</f>
        <v>2548422.56</v>
      </c>
      <c r="F71" s="527" t="s">
        <v>772</v>
      </c>
      <c r="G71" s="266" t="s">
        <v>465</v>
      </c>
      <c r="H71" s="120">
        <v>0</v>
      </c>
      <c r="I71" s="120">
        <v>0</v>
      </c>
      <c r="J71" s="119">
        <v>3000.56</v>
      </c>
      <c r="K71" s="120">
        <v>5000</v>
      </c>
      <c r="L71" s="120">
        <v>5000</v>
      </c>
      <c r="M71" s="120">
        <v>5000</v>
      </c>
      <c r="N71" s="120">
        <v>10000</v>
      </c>
      <c r="O71" s="120">
        <v>15000</v>
      </c>
      <c r="P71" s="140">
        <v>117904</v>
      </c>
      <c r="Q71" s="140">
        <v>117904</v>
      </c>
      <c r="R71" s="140">
        <v>117904</v>
      </c>
      <c r="S71" s="140">
        <v>117904</v>
      </c>
      <c r="T71" s="140">
        <v>117904</v>
      </c>
      <c r="U71" s="140">
        <v>117904</v>
      </c>
      <c r="V71" s="140">
        <v>117904</v>
      </c>
      <c r="W71" s="140">
        <v>1680094</v>
      </c>
      <c r="X71" s="105">
        <f t="shared" ref="X71:X91" si="3">SUM(H71:W71)</f>
        <v>2548422.56</v>
      </c>
    </row>
    <row r="72" spans="1:24" s="106" customFormat="1" x14ac:dyDescent="0.2">
      <c r="A72" s="542"/>
      <c r="B72" s="165" t="s">
        <v>773</v>
      </c>
      <c r="C72" s="548"/>
      <c r="D72" s="548"/>
      <c r="E72" s="550"/>
      <c r="F72" s="517"/>
      <c r="G72" s="164">
        <v>2.5000000000000001E-3</v>
      </c>
      <c r="H72" s="121">
        <v>6350</v>
      </c>
      <c r="I72" s="121">
        <v>7755</v>
      </c>
      <c r="J72" s="121">
        <v>7755</v>
      </c>
      <c r="K72" s="121">
        <v>7740</v>
      </c>
      <c r="L72" s="121">
        <v>7750</v>
      </c>
      <c r="M72" s="121">
        <v>7710</v>
      </c>
      <c r="N72" s="121">
        <v>7695</v>
      </c>
      <c r="O72" s="121">
        <v>7660</v>
      </c>
      <c r="P72" s="121">
        <v>7570</v>
      </c>
      <c r="Q72" s="121">
        <v>7210</v>
      </c>
      <c r="R72" s="121">
        <v>6850</v>
      </c>
      <c r="S72" s="121">
        <v>6490</v>
      </c>
      <c r="T72" s="121">
        <v>6150</v>
      </c>
      <c r="U72" s="141">
        <v>5775</v>
      </c>
      <c r="V72" s="141">
        <v>5415</v>
      </c>
      <c r="W72" s="141">
        <v>38230</v>
      </c>
      <c r="X72" s="109">
        <f t="shared" si="3"/>
        <v>144105</v>
      </c>
    </row>
    <row r="73" spans="1:24" s="106" customFormat="1" x14ac:dyDescent="0.2">
      <c r="A73" s="551">
        <v>34</v>
      </c>
      <c r="B73" s="219" t="s">
        <v>466</v>
      </c>
      <c r="C73" s="547" t="s">
        <v>675</v>
      </c>
      <c r="D73" s="547">
        <v>661</v>
      </c>
      <c r="E73" s="549">
        <v>1946578</v>
      </c>
      <c r="F73" s="527" t="s">
        <v>774</v>
      </c>
      <c r="G73" s="266" t="s">
        <v>465</v>
      </c>
      <c r="H73" s="267"/>
      <c r="I73" s="267"/>
      <c r="J73" s="267">
        <v>3000</v>
      </c>
      <c r="K73" s="267">
        <v>5000</v>
      </c>
      <c r="L73" s="267">
        <v>5000</v>
      </c>
      <c r="M73" s="267">
        <v>5000</v>
      </c>
      <c r="N73" s="267">
        <v>10000</v>
      </c>
      <c r="O73" s="267">
        <v>15000</v>
      </c>
      <c r="P73" s="267">
        <v>89580</v>
      </c>
      <c r="Q73" s="267">
        <v>89580</v>
      </c>
      <c r="R73" s="267">
        <v>89580</v>
      </c>
      <c r="S73" s="267">
        <v>89580</v>
      </c>
      <c r="T73" s="267">
        <v>89580</v>
      </c>
      <c r="U73" s="267">
        <v>89580</v>
      </c>
      <c r="V73" s="267">
        <v>89580</v>
      </c>
      <c r="W73" s="267">
        <v>1276518</v>
      </c>
      <c r="X73" s="105">
        <f t="shared" si="3"/>
        <v>1946578</v>
      </c>
    </row>
    <row r="74" spans="1:24" s="106" customFormat="1" x14ac:dyDescent="0.2">
      <c r="A74" s="552"/>
      <c r="B74" s="129" t="s">
        <v>775</v>
      </c>
      <c r="C74" s="548"/>
      <c r="D74" s="548"/>
      <c r="E74" s="550"/>
      <c r="F74" s="517"/>
      <c r="G74" s="164">
        <v>2.5000000000000001E-3</v>
      </c>
      <c r="H74" s="269">
        <v>5150</v>
      </c>
      <c r="I74" s="269">
        <v>5925</v>
      </c>
      <c r="J74" s="269">
        <v>5920</v>
      </c>
      <c r="K74" s="269">
        <v>5910</v>
      </c>
      <c r="L74" s="269">
        <v>5915</v>
      </c>
      <c r="M74" s="269">
        <v>5880</v>
      </c>
      <c r="N74" s="269">
        <v>5865</v>
      </c>
      <c r="O74" s="269">
        <v>5830</v>
      </c>
      <c r="P74" s="269">
        <v>5755</v>
      </c>
      <c r="Q74" s="269">
        <v>5480</v>
      </c>
      <c r="R74" s="269">
        <v>5205</v>
      </c>
      <c r="S74" s="269">
        <v>4935</v>
      </c>
      <c r="T74" s="269">
        <v>4675</v>
      </c>
      <c r="U74" s="269">
        <v>4390</v>
      </c>
      <c r="V74" s="269">
        <v>4115</v>
      </c>
      <c r="W74" s="269">
        <v>29045</v>
      </c>
      <c r="X74" s="109">
        <f t="shared" si="3"/>
        <v>109995</v>
      </c>
    </row>
    <row r="75" spans="1:24" s="106" customFormat="1" ht="15.75" customHeight="1" x14ac:dyDescent="0.2">
      <c r="A75" s="541">
        <v>35</v>
      </c>
      <c r="B75" s="219" t="s">
        <v>466</v>
      </c>
      <c r="C75" s="547" t="s">
        <v>655</v>
      </c>
      <c r="D75" s="547">
        <v>662</v>
      </c>
      <c r="E75" s="549">
        <f>2100900-400000-20542</f>
        <v>1680358</v>
      </c>
      <c r="F75" s="527" t="s">
        <v>776</v>
      </c>
      <c r="G75" s="266" t="s">
        <v>465</v>
      </c>
      <c r="H75" s="267"/>
      <c r="I75" s="267"/>
      <c r="J75" s="267">
        <v>3000</v>
      </c>
      <c r="K75" s="267">
        <v>6000</v>
      </c>
      <c r="L75" s="267">
        <v>10000</v>
      </c>
      <c r="M75" s="267">
        <v>20000</v>
      </c>
      <c r="N75" s="267">
        <v>40000</v>
      </c>
      <c r="O75" s="267">
        <v>60000</v>
      </c>
      <c r="P75" s="267">
        <v>72540</v>
      </c>
      <c r="Q75" s="267">
        <v>72540</v>
      </c>
      <c r="R75" s="267">
        <v>72540</v>
      </c>
      <c r="S75" s="267">
        <v>72540</v>
      </c>
      <c r="T75" s="267">
        <v>72540</v>
      </c>
      <c r="U75" s="267">
        <v>72540</v>
      </c>
      <c r="V75" s="267">
        <v>72540</v>
      </c>
      <c r="W75" s="267">
        <v>1033578</v>
      </c>
      <c r="X75" s="105">
        <f t="shared" si="3"/>
        <v>1680358</v>
      </c>
    </row>
    <row r="76" spans="1:24" s="106" customFormat="1" ht="18.75" customHeight="1" x14ac:dyDescent="0.2">
      <c r="A76" s="542"/>
      <c r="B76" s="129" t="s">
        <v>777</v>
      </c>
      <c r="C76" s="548"/>
      <c r="D76" s="548"/>
      <c r="E76" s="550"/>
      <c r="F76" s="517"/>
      <c r="G76" s="164">
        <v>2.5000000000000001E-3</v>
      </c>
      <c r="H76" s="269">
        <v>4355</v>
      </c>
      <c r="I76" s="269">
        <v>5115</v>
      </c>
      <c r="J76" s="269">
        <v>5115</v>
      </c>
      <c r="K76" s="269">
        <v>5100</v>
      </c>
      <c r="L76" s="269">
        <v>5095</v>
      </c>
      <c r="M76" s="269">
        <v>5045</v>
      </c>
      <c r="N76" s="269">
        <v>4975</v>
      </c>
      <c r="O76" s="269">
        <v>4840</v>
      </c>
      <c r="P76" s="269">
        <v>4670</v>
      </c>
      <c r="Q76" s="269">
        <v>4435</v>
      </c>
      <c r="R76" s="269">
        <v>4215</v>
      </c>
      <c r="S76" s="269">
        <v>3995</v>
      </c>
      <c r="T76" s="269">
        <v>3785</v>
      </c>
      <c r="U76" s="269">
        <v>3560</v>
      </c>
      <c r="V76" s="269">
        <v>3335</v>
      </c>
      <c r="W76" s="269">
        <v>23515</v>
      </c>
      <c r="X76" s="109">
        <f t="shared" si="3"/>
        <v>91150</v>
      </c>
    </row>
    <row r="77" spans="1:24" s="106" customFormat="1" ht="12.75" customHeight="1" x14ac:dyDescent="0.2">
      <c r="A77" s="541">
        <v>36</v>
      </c>
      <c r="B77" s="219" t="s">
        <v>466</v>
      </c>
      <c r="C77" s="547" t="s">
        <v>778</v>
      </c>
      <c r="D77" s="547">
        <v>663</v>
      </c>
      <c r="E77" s="549">
        <f>10367403</f>
        <v>10367403</v>
      </c>
      <c r="F77" s="527" t="s">
        <v>779</v>
      </c>
      <c r="G77" s="266" t="s">
        <v>465</v>
      </c>
      <c r="H77" s="267"/>
      <c r="I77" s="267"/>
      <c r="J77" s="267">
        <v>3000</v>
      </c>
      <c r="K77" s="267">
        <v>6000</v>
      </c>
      <c r="L77" s="267">
        <v>10000</v>
      </c>
      <c r="M77" s="267">
        <v>20000</v>
      </c>
      <c r="N77" s="267">
        <v>28000</v>
      </c>
      <c r="O77" s="267">
        <v>40000</v>
      </c>
      <c r="P77" s="267">
        <v>80000</v>
      </c>
      <c r="Q77" s="267">
        <v>200000</v>
      </c>
      <c r="R77" s="267">
        <v>400000</v>
      </c>
      <c r="S77" s="267">
        <v>524952</v>
      </c>
      <c r="T77" s="267">
        <v>524952</v>
      </c>
      <c r="U77" s="267">
        <v>524952</v>
      </c>
      <c r="V77" s="268">
        <v>524952</v>
      </c>
      <c r="W77" s="268">
        <v>7480595</v>
      </c>
      <c r="X77" s="105">
        <f t="shared" si="3"/>
        <v>10367403</v>
      </c>
    </row>
    <row r="78" spans="1:24" s="106" customFormat="1" x14ac:dyDescent="0.2">
      <c r="A78" s="542"/>
      <c r="B78" s="165" t="s">
        <v>780</v>
      </c>
      <c r="C78" s="548"/>
      <c r="D78" s="548"/>
      <c r="E78" s="550"/>
      <c r="F78" s="517"/>
      <c r="G78" s="164">
        <v>2.5000000000000001E-3</v>
      </c>
      <c r="H78" s="269">
        <v>22375</v>
      </c>
      <c r="I78" s="269">
        <v>31535</v>
      </c>
      <c r="J78" s="269">
        <v>31535</v>
      </c>
      <c r="K78" s="269">
        <v>31525</v>
      </c>
      <c r="L78" s="269">
        <v>31590</v>
      </c>
      <c r="M78" s="269">
        <v>31470</v>
      </c>
      <c r="N78" s="269">
        <v>31405</v>
      </c>
      <c r="O78" s="269">
        <v>31310</v>
      </c>
      <c r="P78" s="269">
        <v>31250</v>
      </c>
      <c r="Q78" s="269">
        <v>30855</v>
      </c>
      <c r="R78" s="269">
        <v>30140</v>
      </c>
      <c r="S78" s="269">
        <v>28875</v>
      </c>
      <c r="T78" s="269">
        <v>27375</v>
      </c>
      <c r="U78" s="269">
        <v>25705</v>
      </c>
      <c r="V78" s="270">
        <v>24105</v>
      </c>
      <c r="W78" s="270">
        <f>170205-5</f>
        <v>170200</v>
      </c>
      <c r="X78" s="109">
        <f t="shared" si="3"/>
        <v>611250</v>
      </c>
    </row>
    <row r="79" spans="1:24" s="106" customFormat="1" ht="15.75" customHeight="1" x14ac:dyDescent="0.2">
      <c r="A79" s="541">
        <v>37</v>
      </c>
      <c r="B79" s="219" t="s">
        <v>466</v>
      </c>
      <c r="C79" s="547" t="s">
        <v>781</v>
      </c>
      <c r="D79" s="547">
        <v>664</v>
      </c>
      <c r="E79" s="549">
        <f>91751.46</f>
        <v>91751.46</v>
      </c>
      <c r="F79" s="527" t="s">
        <v>779</v>
      </c>
      <c r="G79" s="266" t="s">
        <v>465</v>
      </c>
      <c r="H79" s="267"/>
      <c r="I79" s="267"/>
      <c r="J79" s="267">
        <v>2550</v>
      </c>
      <c r="K79" s="267">
        <v>3400</v>
      </c>
      <c r="L79" s="267">
        <v>3400</v>
      </c>
      <c r="M79" s="267">
        <v>3400</v>
      </c>
      <c r="N79" s="267">
        <v>3400</v>
      </c>
      <c r="O79" s="267">
        <v>3400</v>
      </c>
      <c r="P79" s="267">
        <v>3400</v>
      </c>
      <c r="Q79" s="267">
        <v>3400</v>
      </c>
      <c r="R79" s="267">
        <v>3400</v>
      </c>
      <c r="S79" s="267">
        <v>3400</v>
      </c>
      <c r="T79" s="267">
        <v>3400</v>
      </c>
      <c r="U79" s="267">
        <v>3400</v>
      </c>
      <c r="V79" s="268">
        <v>3400</v>
      </c>
      <c r="W79" s="281">
        <v>48401.46</v>
      </c>
      <c r="X79" s="105">
        <f t="shared" si="3"/>
        <v>91751.459999999992</v>
      </c>
    </row>
    <row r="80" spans="1:24" s="106" customFormat="1" ht="16.5" customHeight="1" x14ac:dyDescent="0.2">
      <c r="A80" s="542"/>
      <c r="B80" s="283" t="s">
        <v>782</v>
      </c>
      <c r="C80" s="548"/>
      <c r="D80" s="548"/>
      <c r="E80" s="550"/>
      <c r="F80" s="517"/>
      <c r="G80" s="164">
        <f>0.25%+0.6%</f>
        <v>8.5000000000000006E-3</v>
      </c>
      <c r="H80" s="269">
        <v>805</v>
      </c>
      <c r="I80" s="269">
        <v>840</v>
      </c>
      <c r="J80" s="269">
        <v>835</v>
      </c>
      <c r="K80" s="269">
        <v>810</v>
      </c>
      <c r="L80" s="269">
        <v>785</v>
      </c>
      <c r="M80" s="269">
        <v>750</v>
      </c>
      <c r="N80" s="269">
        <v>720</v>
      </c>
      <c r="O80" s="269">
        <v>690</v>
      </c>
      <c r="P80" s="269">
        <v>660</v>
      </c>
      <c r="Q80" s="269">
        <v>625</v>
      </c>
      <c r="R80" s="269">
        <v>595</v>
      </c>
      <c r="S80" s="269">
        <v>565</v>
      </c>
      <c r="T80" s="269">
        <v>535</v>
      </c>
      <c r="U80" s="269">
        <v>500</v>
      </c>
      <c r="V80" s="270">
        <v>470</v>
      </c>
      <c r="W80" s="270">
        <f>3305-5</f>
        <v>3300</v>
      </c>
      <c r="X80" s="109">
        <f t="shared" si="3"/>
        <v>13485</v>
      </c>
    </row>
    <row r="81" spans="1:24" s="106" customFormat="1" x14ac:dyDescent="0.2">
      <c r="A81" s="541">
        <v>38</v>
      </c>
      <c r="B81" s="219" t="s">
        <v>466</v>
      </c>
      <c r="C81" s="547" t="s">
        <v>560</v>
      </c>
      <c r="D81" s="547">
        <v>665</v>
      </c>
      <c r="E81" s="549">
        <f>158248.54+2664102</f>
        <v>2822350.54</v>
      </c>
      <c r="F81" s="527" t="s">
        <v>779</v>
      </c>
      <c r="G81" s="266" t="s">
        <v>465</v>
      </c>
      <c r="H81" s="267"/>
      <c r="I81" s="267"/>
      <c r="J81" s="267">
        <v>3000</v>
      </c>
      <c r="K81" s="267">
        <v>6000</v>
      </c>
      <c r="L81" s="267">
        <v>8000</v>
      </c>
      <c r="M81" s="267">
        <v>16000</v>
      </c>
      <c r="N81" s="267">
        <v>32000</v>
      </c>
      <c r="O81" s="267">
        <v>60000</v>
      </c>
      <c r="P81" s="267">
        <v>80000</v>
      </c>
      <c r="Q81" s="267">
        <v>129252</v>
      </c>
      <c r="R81" s="267">
        <v>129252</v>
      </c>
      <c r="S81" s="267">
        <v>129252</v>
      </c>
      <c r="T81" s="267">
        <v>129252</v>
      </c>
      <c r="U81" s="267">
        <v>129252</v>
      </c>
      <c r="V81" s="268">
        <v>129252</v>
      </c>
      <c r="W81" s="281">
        <v>1841838.54</v>
      </c>
      <c r="X81" s="105">
        <f t="shared" si="3"/>
        <v>2822350.54</v>
      </c>
    </row>
    <row r="82" spans="1:24" s="106" customFormat="1" x14ac:dyDescent="0.2">
      <c r="A82" s="542"/>
      <c r="B82" s="283" t="s">
        <v>783</v>
      </c>
      <c r="C82" s="548"/>
      <c r="D82" s="548"/>
      <c r="E82" s="550"/>
      <c r="F82" s="517"/>
      <c r="G82" s="164">
        <v>2.5000000000000001E-3</v>
      </c>
      <c r="H82" s="269">
        <v>5835</v>
      </c>
      <c r="I82" s="269">
        <v>8585</v>
      </c>
      <c r="J82" s="269">
        <v>8585</v>
      </c>
      <c r="K82" s="269">
        <v>8575</v>
      </c>
      <c r="L82" s="269">
        <v>8580</v>
      </c>
      <c r="M82" s="269">
        <v>8525</v>
      </c>
      <c r="N82" s="269">
        <v>8470</v>
      </c>
      <c r="O82" s="269">
        <v>8355</v>
      </c>
      <c r="P82" s="269">
        <v>8190</v>
      </c>
      <c r="Q82" s="269">
        <v>7895</v>
      </c>
      <c r="R82" s="269">
        <v>7510</v>
      </c>
      <c r="S82" s="269">
        <v>7115</v>
      </c>
      <c r="T82" s="269">
        <v>6740</v>
      </c>
      <c r="U82" s="269">
        <v>6330</v>
      </c>
      <c r="V82" s="270">
        <v>5935</v>
      </c>
      <c r="W82" s="270">
        <v>41910</v>
      </c>
      <c r="X82" s="109">
        <f t="shared" si="3"/>
        <v>157135</v>
      </c>
    </row>
    <row r="83" spans="1:24" s="106" customFormat="1" x14ac:dyDescent="0.2">
      <c r="A83" s="551">
        <v>39</v>
      </c>
      <c r="B83" s="219" t="s">
        <v>466</v>
      </c>
      <c r="C83" s="547" t="s">
        <v>784</v>
      </c>
      <c r="D83" s="547">
        <v>666</v>
      </c>
      <c r="E83" s="549">
        <f>663930-19547.23</f>
        <v>644382.77</v>
      </c>
      <c r="F83" s="527" t="s">
        <v>779</v>
      </c>
      <c r="G83" s="266" t="s">
        <v>465</v>
      </c>
      <c r="H83" s="267"/>
      <c r="I83" s="267"/>
      <c r="J83" s="280">
        <v>3000.77</v>
      </c>
      <c r="K83" s="267">
        <v>6000</v>
      </c>
      <c r="L83" s="267">
        <v>10000</v>
      </c>
      <c r="M83" s="267">
        <v>20000</v>
      </c>
      <c r="N83" s="267">
        <v>26040</v>
      </c>
      <c r="O83" s="267">
        <v>26040</v>
      </c>
      <c r="P83" s="267">
        <v>26040</v>
      </c>
      <c r="Q83" s="268">
        <v>26040</v>
      </c>
      <c r="R83" s="268">
        <v>26040</v>
      </c>
      <c r="S83" s="268">
        <v>26040</v>
      </c>
      <c r="T83" s="268">
        <v>26040</v>
      </c>
      <c r="U83" s="268">
        <v>26040</v>
      </c>
      <c r="V83" s="268">
        <v>26040</v>
      </c>
      <c r="W83" s="268">
        <v>371022</v>
      </c>
      <c r="X83" s="105">
        <f t="shared" si="3"/>
        <v>644382.77</v>
      </c>
    </row>
    <row r="84" spans="1:24" s="106" customFormat="1" x14ac:dyDescent="0.2">
      <c r="A84" s="552"/>
      <c r="B84" s="283" t="s">
        <v>785</v>
      </c>
      <c r="C84" s="548"/>
      <c r="D84" s="548"/>
      <c r="E84" s="550"/>
      <c r="F84" s="517"/>
      <c r="G84" s="164">
        <v>2.5000000000000001E-3</v>
      </c>
      <c r="H84" s="269">
        <v>1500</v>
      </c>
      <c r="I84" s="269">
        <v>1965</v>
      </c>
      <c r="J84" s="269">
        <v>1960</v>
      </c>
      <c r="K84" s="269">
        <v>1950</v>
      </c>
      <c r="L84" s="269">
        <v>1935</v>
      </c>
      <c r="M84" s="269">
        <v>1895</v>
      </c>
      <c r="N84" s="269">
        <v>1830</v>
      </c>
      <c r="O84" s="269">
        <v>1750</v>
      </c>
      <c r="P84" s="269">
        <v>1680</v>
      </c>
      <c r="Q84" s="269">
        <v>1595</v>
      </c>
      <c r="R84" s="269">
        <v>1515</v>
      </c>
      <c r="S84" s="269">
        <v>1435</v>
      </c>
      <c r="T84" s="269">
        <v>1360</v>
      </c>
      <c r="U84" s="269">
        <v>1275</v>
      </c>
      <c r="V84" s="270">
        <v>1200</v>
      </c>
      <c r="W84" s="270">
        <v>8445</v>
      </c>
      <c r="X84" s="109">
        <f t="shared" si="3"/>
        <v>33290</v>
      </c>
    </row>
    <row r="85" spans="1:24" s="106" customFormat="1" hidden="1" x14ac:dyDescent="0.2">
      <c r="A85" s="541"/>
      <c r="B85" s="219"/>
      <c r="C85" s="543"/>
      <c r="D85" s="543"/>
      <c r="E85" s="545"/>
      <c r="F85" s="530"/>
      <c r="G85" s="266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5"/>
      <c r="W85" s="285"/>
      <c r="X85" s="105">
        <f t="shared" si="3"/>
        <v>0</v>
      </c>
    </row>
    <row r="86" spans="1:24" s="106" customFormat="1" hidden="1" x14ac:dyDescent="0.2">
      <c r="A86" s="542"/>
      <c r="B86" s="122"/>
      <c r="C86" s="544"/>
      <c r="D86" s="544"/>
      <c r="E86" s="546"/>
      <c r="F86" s="531"/>
      <c r="G86" s="164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7"/>
      <c r="W86" s="287"/>
      <c r="X86" s="109">
        <f t="shared" si="3"/>
        <v>0</v>
      </c>
    </row>
    <row r="87" spans="1:24" s="106" customFormat="1" hidden="1" x14ac:dyDescent="0.2">
      <c r="A87" s="541"/>
      <c r="B87" s="219"/>
      <c r="C87" s="543"/>
      <c r="D87" s="543"/>
      <c r="E87" s="545"/>
      <c r="F87" s="530"/>
      <c r="G87" s="266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5"/>
      <c r="W87" s="285"/>
      <c r="X87" s="105">
        <f t="shared" si="3"/>
        <v>0</v>
      </c>
    </row>
    <row r="88" spans="1:24" s="106" customFormat="1" hidden="1" x14ac:dyDescent="0.2">
      <c r="A88" s="542"/>
      <c r="B88" s="122"/>
      <c r="C88" s="544"/>
      <c r="D88" s="544"/>
      <c r="E88" s="546"/>
      <c r="F88" s="531"/>
      <c r="G88" s="164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7"/>
      <c r="W88" s="287"/>
      <c r="X88" s="109">
        <f t="shared" si="3"/>
        <v>0</v>
      </c>
    </row>
    <row r="89" spans="1:24" s="106" customFormat="1" hidden="1" x14ac:dyDescent="0.2">
      <c r="A89" s="541"/>
      <c r="B89" s="219"/>
      <c r="C89" s="543"/>
      <c r="D89" s="543"/>
      <c r="E89" s="545"/>
      <c r="F89" s="530"/>
      <c r="G89" s="266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5"/>
      <c r="W89" s="285"/>
      <c r="X89" s="105">
        <f t="shared" si="3"/>
        <v>0</v>
      </c>
    </row>
    <row r="90" spans="1:24" s="106" customFormat="1" hidden="1" x14ac:dyDescent="0.2">
      <c r="A90" s="542"/>
      <c r="B90" s="122"/>
      <c r="C90" s="544"/>
      <c r="D90" s="544"/>
      <c r="E90" s="546"/>
      <c r="F90" s="531"/>
      <c r="G90" s="164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7"/>
      <c r="W90" s="287"/>
      <c r="X90" s="109">
        <f t="shared" si="3"/>
        <v>0</v>
      </c>
    </row>
    <row r="91" spans="1:24" s="106" customFormat="1" hidden="1" x14ac:dyDescent="0.2">
      <c r="A91" s="541"/>
      <c r="B91" s="219"/>
      <c r="C91" s="543"/>
      <c r="D91" s="543"/>
      <c r="E91" s="545"/>
      <c r="F91" s="530"/>
      <c r="G91" s="266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5"/>
      <c r="W91" s="285"/>
      <c r="X91" s="105">
        <f t="shared" si="3"/>
        <v>0</v>
      </c>
    </row>
    <row r="92" spans="1:24" s="106" customFormat="1" hidden="1" x14ac:dyDescent="0.2">
      <c r="A92" s="542"/>
      <c r="B92" s="122"/>
      <c r="C92" s="544"/>
      <c r="D92" s="544"/>
      <c r="E92" s="546"/>
      <c r="F92" s="531"/>
      <c r="G92" s="164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7"/>
      <c r="W92" s="287"/>
      <c r="X92" s="109">
        <f>SUM(H92:W92)</f>
        <v>0</v>
      </c>
    </row>
    <row r="93" spans="1:24" x14ac:dyDescent="0.2">
      <c r="A93" s="288"/>
      <c r="B93" s="289"/>
      <c r="C93" s="290"/>
      <c r="D93" s="290"/>
      <c r="E93" s="291">
        <f>SUM(E7:E92)</f>
        <v>92379700.959999993</v>
      </c>
      <c r="F93" s="292"/>
      <c r="G93" s="293"/>
      <c r="H93" s="294">
        <f>H9+H11+H13+H15+H17+H23+H19+H21+H25+H27+H33+H31+H29+H35+H37+H39+H41+H43+H45+H47+H7+H49+H51+H53+H55+H57+H59+H63+H61+H65+H67+H69+H71+H91+H73+H75+H77+H79+H81+H83+H85+H87+H89+1000000</f>
        <v>6845149.0499999998</v>
      </c>
      <c r="I93" s="294">
        <f t="shared" ref="I93:V93" si="4">SUM(I9+I11+I13+I15+I17+I23+I19+I21+I25+I27+I33+I31+I29+I35+I37+I39+I41)+I43+I45+I47+I7+I49+I51+I53+I55+I57+I59+I63+I61+I65+I67+I69+I71+I91+I73+I75+I77+I79+I81+I83+I85+I87+I89</f>
        <v>5416745.2399999993</v>
      </c>
      <c r="J93" s="294">
        <f t="shared" si="4"/>
        <v>4757157.5299999993</v>
      </c>
      <c r="K93" s="294">
        <f t="shared" si="4"/>
        <v>4444676</v>
      </c>
      <c r="L93" s="294">
        <f t="shared" si="4"/>
        <v>4334868</v>
      </c>
      <c r="M93" s="294">
        <f>SUM(M9+M11+M13+M15+M17+M23+M19+M21+M25+M27+M33+M31+M29+M35+M37+M39+M41)+M43+M45+M47+M7+M49+M51+M53+M55+M57+M59+M63+M61+M65+M67+M69+M71+M91+M73+M75+M77+M79+M81+M83+M85+M87+M89</f>
        <v>4397072</v>
      </c>
      <c r="N93" s="294">
        <f t="shared" si="4"/>
        <v>4369812</v>
      </c>
      <c r="O93" s="294">
        <f t="shared" si="4"/>
        <v>3154395</v>
      </c>
      <c r="P93" s="294">
        <f t="shared" si="4"/>
        <v>2833621</v>
      </c>
      <c r="Q93" s="294">
        <f t="shared" si="4"/>
        <v>2811616</v>
      </c>
      <c r="R93" s="294">
        <f t="shared" si="4"/>
        <v>2985686</v>
      </c>
      <c r="S93" s="294">
        <f t="shared" si="4"/>
        <v>3117124</v>
      </c>
      <c r="T93" s="294">
        <f t="shared" si="4"/>
        <v>3117124</v>
      </c>
      <c r="U93" s="294">
        <f t="shared" si="4"/>
        <v>3095072</v>
      </c>
      <c r="V93" s="294">
        <f t="shared" si="4"/>
        <v>2638672</v>
      </c>
      <c r="W93" s="294">
        <f>SUM(W9+W11+W13+W15+W17+W23+W19+W21+W25+W27+W33+W31+W29+W35+W37+W39+W41)+W43+W45+W47+W7+W49+W51+W53+W55+W57+W59+W63+W61+W65+W67+W69+W71+W91+W73+W75+W77+W79+W81+W83+W85+W87+W89</f>
        <v>26692427.359999999</v>
      </c>
      <c r="X93" s="295">
        <f>SUM(X9+X11+X13+X15+X17+X23+X19+X21+X25+X27+X33+X31+X29+X35+X37+X39+X41)+X43+X45+X47+X7+X49+X51+X53+X55+X57+X59+X61+X63+X65+X67+X69+X71+X91+X73+X75+X77+X79+X81+X83+X85+X87+X89</f>
        <v>84011217.179999992</v>
      </c>
    </row>
    <row r="94" spans="1:24" x14ac:dyDescent="0.2">
      <c r="A94" s="296"/>
      <c r="B94" s="536" t="s">
        <v>505</v>
      </c>
      <c r="C94" s="537"/>
      <c r="D94" s="537"/>
      <c r="E94" s="537"/>
      <c r="F94" s="538"/>
      <c r="G94" s="297"/>
      <c r="H94" s="298">
        <f>SUM(H10+H12+H14+H16+H18+H24+H20+H22+H26+H28+H34+H32+H30+H36+H38+H40+H42)+H44+H46+H48+H8+H50+H52+H54+H56+H58+H60+H64+H62+H66+H68+H70+H72+H92+H74+H76+H78+H80+H82+H84+H86+H88+H90+56585</f>
        <v>270000</v>
      </c>
      <c r="I94" s="298">
        <f t="shared" ref="I94:V94" si="5">SUM(I10+I12+I14+I16+I18+I24+I20+I22+I26+I28+I34+I32+I30+I36+I38+I40+I42)+I44+I46+I48+I8+I50+I52+I54+I56+I58+I60+I64+I62+I66+I68+I70+I72+I92+I74+I76+I78+I80+I82+I84+I86+I88+I90</f>
        <v>235775</v>
      </c>
      <c r="J94" s="298">
        <f t="shared" si="5"/>
        <v>219695</v>
      </c>
      <c r="K94" s="298">
        <f t="shared" si="5"/>
        <v>205270</v>
      </c>
      <c r="L94" s="298">
        <f t="shared" si="5"/>
        <v>192310</v>
      </c>
      <c r="M94" s="298">
        <f>SUM(M10+M12+M14+M16+M18+M24+M20+M22+M26+M28+M34+M32+M30+M36+M38+M40+M42)+M44+M46+M48+M8+M50+M52+M54+M56+M58+M60+M64+M62+M66+M68+M70+M72+M92+M74+M76+M78+M80+M82+M84+M86+M88+M90</f>
        <v>178515</v>
      </c>
      <c r="N94" s="298">
        <f>SUM(N10+N12+N14+N16+N18+N24+N20+N22+N26+N28+N34+N32+N30+N36+N38+N40+N42)+N44+N46+N48+N8+N50+N52+N54+N56+N58+N60+N64+N62+N66+N68+N70+N72+N92+N74+N76+N78+N80+N82+N84+N86+N88+N90</f>
        <v>165160</v>
      </c>
      <c r="O94" s="298">
        <f t="shared" si="5"/>
        <v>152605</v>
      </c>
      <c r="P94" s="298">
        <f t="shared" si="5"/>
        <v>143380</v>
      </c>
      <c r="Q94" s="298">
        <f t="shared" si="5"/>
        <v>134315</v>
      </c>
      <c r="R94" s="298">
        <f t="shared" si="5"/>
        <v>125635</v>
      </c>
      <c r="S94" s="298">
        <f t="shared" si="5"/>
        <v>116490</v>
      </c>
      <c r="T94" s="298">
        <f t="shared" si="5"/>
        <v>107325</v>
      </c>
      <c r="U94" s="298">
        <f t="shared" si="5"/>
        <v>97550</v>
      </c>
      <c r="V94" s="298">
        <f t="shared" si="5"/>
        <v>88400</v>
      </c>
      <c r="W94" s="298">
        <f>SUM(W10+W12+W14+W16+W18+W24+W20+W22+W26+W28+W34+W32+W30+W36+W38+W40+W42)+W44+W46+W48+W8+W50+W52+W54+W56+W58+W60+W64+W62+W66+W68+W70+W72+W92+W74+W76+W78+W80+W82+W84+W86+W88+W90</f>
        <v>562360</v>
      </c>
      <c r="X94" s="299">
        <f>SUM(X10+X12+X14+X16+X18+X24+X20+X22+X26+X28+X34+X32+X30+X36+X38+X40+X42)+X44+X46+X48+X8+X50+X52+X54+X56+X58+X60+X62+X64+X66+X68+X70+X72+X92+X74+X76+X78+X80+X82+X84+X86+X88+X90</f>
        <v>2938200</v>
      </c>
    </row>
    <row r="95" spans="1:24" x14ac:dyDescent="0.2">
      <c r="A95" s="300"/>
      <c r="B95" s="539" t="s">
        <v>506</v>
      </c>
      <c r="C95" s="540"/>
      <c r="D95" s="540"/>
      <c r="E95" s="540"/>
      <c r="F95" s="540"/>
      <c r="G95" s="301"/>
      <c r="H95" s="302">
        <f>SUM(H93:H94)</f>
        <v>7115149.0499999998</v>
      </c>
      <c r="I95" s="302">
        <f t="shared" ref="I95:V95" si="6">SUM(I93:I94)</f>
        <v>5652520.2399999993</v>
      </c>
      <c r="J95" s="302">
        <f t="shared" si="6"/>
        <v>4976852.5299999993</v>
      </c>
      <c r="K95" s="302">
        <f t="shared" si="6"/>
        <v>4649946</v>
      </c>
      <c r="L95" s="302">
        <f t="shared" si="6"/>
        <v>4527178</v>
      </c>
      <c r="M95" s="302">
        <f t="shared" si="6"/>
        <v>4575587</v>
      </c>
      <c r="N95" s="302">
        <f t="shared" si="6"/>
        <v>4534972</v>
      </c>
      <c r="O95" s="302">
        <f t="shared" si="6"/>
        <v>3307000</v>
      </c>
      <c r="P95" s="302">
        <f t="shared" si="6"/>
        <v>2977001</v>
      </c>
      <c r="Q95" s="302">
        <f t="shared" si="6"/>
        <v>2945931</v>
      </c>
      <c r="R95" s="302">
        <f t="shared" si="6"/>
        <v>3111321</v>
      </c>
      <c r="S95" s="302">
        <f t="shared" si="6"/>
        <v>3233614</v>
      </c>
      <c r="T95" s="302">
        <f t="shared" si="6"/>
        <v>3224449</v>
      </c>
      <c r="U95" s="302">
        <f t="shared" si="6"/>
        <v>3192622</v>
      </c>
      <c r="V95" s="302">
        <f t="shared" si="6"/>
        <v>2727072</v>
      </c>
      <c r="W95" s="302">
        <f>SUM(W93:W94)</f>
        <v>27254787.359999999</v>
      </c>
      <c r="X95" s="303">
        <f>SUM(X93:X94)</f>
        <v>86949417.179999992</v>
      </c>
    </row>
    <row r="96" spans="1:24" x14ac:dyDescent="0.2">
      <c r="A96" s="304"/>
      <c r="B96" s="503" t="s">
        <v>507</v>
      </c>
      <c r="C96" s="504"/>
      <c r="D96" s="305"/>
      <c r="E96" s="306" t="s">
        <v>508</v>
      </c>
      <c r="F96" s="458">
        <v>63389005</v>
      </c>
      <c r="G96" s="307" t="s">
        <v>509</v>
      </c>
      <c r="H96" s="123">
        <f>SUM(H95/$F$96)</f>
        <v>0.11224579167948763</v>
      </c>
      <c r="I96" s="123">
        <f t="shared" ref="I96:S96" si="7">SUM(I95/$F$96)</f>
        <v>8.9171935101363384E-2</v>
      </c>
      <c r="J96" s="123">
        <f t="shared" si="7"/>
        <v>7.8512867176255552E-2</v>
      </c>
      <c r="K96" s="123">
        <f t="shared" si="7"/>
        <v>7.3355718393118802E-2</v>
      </c>
      <c r="L96" s="123">
        <f>SUM(L95/$F$96)</f>
        <v>7.1418978732983737E-2</v>
      </c>
      <c r="M96" s="123">
        <f t="shared" si="7"/>
        <v>7.2182660068571824E-2</v>
      </c>
      <c r="N96" s="123">
        <f t="shared" si="7"/>
        <v>7.1541933810130007E-2</v>
      </c>
      <c r="O96" s="123">
        <f t="shared" si="7"/>
        <v>5.2169930731678152E-2</v>
      </c>
      <c r="P96" s="124">
        <f t="shared" si="7"/>
        <v>4.6963996358674508E-2</v>
      </c>
      <c r="Q96" s="124">
        <f t="shared" si="7"/>
        <v>4.6473848264379607E-2</v>
      </c>
      <c r="R96" s="124">
        <f t="shared" si="7"/>
        <v>4.9082975825223946E-2</v>
      </c>
      <c r="S96" s="124">
        <f t="shared" si="7"/>
        <v>5.1012222072266321E-2</v>
      </c>
      <c r="T96" s="124">
        <f>SUM(T95/$F$96)</f>
        <v>5.0867638638593553E-2</v>
      </c>
      <c r="U96" s="124">
        <f t="shared" ref="U96:W96" si="8">SUM(U95/$F$96)</f>
        <v>5.0365548410169873E-2</v>
      </c>
      <c r="V96" s="124">
        <f t="shared" si="8"/>
        <v>4.3021214799001811E-2</v>
      </c>
      <c r="W96" s="124">
        <f t="shared" si="8"/>
        <v>0.42996080093069766</v>
      </c>
      <c r="X96" s="308"/>
    </row>
    <row r="97" spans="1:24" x14ac:dyDescent="0.2">
      <c r="A97" s="309"/>
      <c r="B97" s="503" t="s">
        <v>786</v>
      </c>
      <c r="C97" s="504"/>
      <c r="D97" s="305"/>
      <c r="E97" s="306"/>
      <c r="F97" s="310"/>
      <c r="G97" s="311" t="s">
        <v>509</v>
      </c>
      <c r="H97" s="312">
        <f t="shared" ref="H97:W97" si="9">SUM((H95-H99)/$F$96)</f>
        <v>0.10810493696816979</v>
      </c>
      <c r="I97" s="313">
        <f t="shared" si="9"/>
        <v>8.9171935101363384E-2</v>
      </c>
      <c r="J97" s="313">
        <f t="shared" si="9"/>
        <v>7.8512867176255552E-2</v>
      </c>
      <c r="K97" s="313">
        <f t="shared" si="9"/>
        <v>7.3355718393118802E-2</v>
      </c>
      <c r="L97" s="313">
        <f t="shared" si="9"/>
        <v>7.1418978732983737E-2</v>
      </c>
      <c r="M97" s="313">
        <f t="shared" si="9"/>
        <v>7.2182660068571824E-2</v>
      </c>
      <c r="N97" s="313">
        <f t="shared" si="9"/>
        <v>7.1541933810130007E-2</v>
      </c>
      <c r="O97" s="313">
        <f t="shared" si="9"/>
        <v>5.2169930731678152E-2</v>
      </c>
      <c r="P97" s="313">
        <f t="shared" si="9"/>
        <v>4.6963996358674508E-2</v>
      </c>
      <c r="Q97" s="313">
        <f t="shared" si="9"/>
        <v>4.6473848264379607E-2</v>
      </c>
      <c r="R97" s="313">
        <f t="shared" si="9"/>
        <v>4.9082975825223946E-2</v>
      </c>
      <c r="S97" s="313">
        <f t="shared" si="9"/>
        <v>5.1012222072266321E-2</v>
      </c>
      <c r="T97" s="313">
        <f t="shared" si="9"/>
        <v>5.0867638638593553E-2</v>
      </c>
      <c r="U97" s="313">
        <f t="shared" si="9"/>
        <v>5.0365548410169873E-2</v>
      </c>
      <c r="V97" s="313">
        <f t="shared" si="9"/>
        <v>4.3021214799001811E-2</v>
      </c>
      <c r="W97" s="313">
        <f t="shared" si="9"/>
        <v>0.42996080093069766</v>
      </c>
      <c r="X97" s="314"/>
    </row>
    <row r="98" spans="1:24" ht="15" customHeight="1" x14ac:dyDescent="0.2">
      <c r="C98" s="315"/>
      <c r="D98" s="315"/>
      <c r="E98" s="315"/>
      <c r="F98" s="315"/>
      <c r="G98" s="315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X98" s="316"/>
    </row>
    <row r="99" spans="1:24" ht="15" customHeight="1" x14ac:dyDescent="0.2">
      <c r="C99" s="315"/>
      <c r="D99" s="315"/>
      <c r="E99" s="507" t="s">
        <v>787</v>
      </c>
      <c r="F99" s="507"/>
      <c r="G99" s="507"/>
      <c r="H99" s="364">
        <f>H39+H41+H51+H57+H65</f>
        <v>262484.65999999997</v>
      </c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7"/>
      <c r="X99" s="316"/>
    </row>
    <row r="100" spans="1:24" ht="15" customHeight="1" x14ac:dyDescent="0.2">
      <c r="C100" s="315"/>
      <c r="D100" s="315"/>
      <c r="E100" s="507" t="s">
        <v>788</v>
      </c>
      <c r="F100" s="507"/>
      <c r="G100" s="507"/>
      <c r="H100" s="316">
        <f>5582664.39</f>
        <v>5582664.3899999997</v>
      </c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7"/>
      <c r="X100" s="316"/>
    </row>
    <row r="101" spans="1:24" ht="15" customHeight="1" x14ac:dyDescent="0.2">
      <c r="C101" s="315"/>
      <c r="D101" s="315"/>
      <c r="E101" s="534"/>
      <c r="F101" s="534"/>
      <c r="G101" s="534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7"/>
      <c r="X101" s="316"/>
    </row>
    <row r="102" spans="1:24" x14ac:dyDescent="0.2">
      <c r="D102" s="254"/>
      <c r="E102" s="318"/>
      <c r="F102" s="319"/>
      <c r="G102" s="319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X102" s="321"/>
    </row>
    <row r="103" spans="1:24" s="324" customFormat="1" ht="15" hidden="1" customHeight="1" x14ac:dyDescent="0.2">
      <c r="A103" s="136"/>
      <c r="B103" s="106"/>
      <c r="C103" s="535" t="s">
        <v>789</v>
      </c>
      <c r="D103" s="535"/>
      <c r="E103" s="535"/>
      <c r="F103" s="535"/>
      <c r="G103" s="535"/>
      <c r="H103" s="322"/>
      <c r="I103" s="322">
        <f>I93-H93+H99+1000000</f>
        <v>-165919.15000000061</v>
      </c>
      <c r="J103" s="322">
        <f t="shared" ref="J103:V103" si="10">J93-I93</f>
        <v>-659587.71</v>
      </c>
      <c r="K103" s="322">
        <f t="shared" si="10"/>
        <v>-312481.52999999933</v>
      </c>
      <c r="L103" s="322">
        <f t="shared" si="10"/>
        <v>-109808</v>
      </c>
      <c r="M103" s="322">
        <f t="shared" si="10"/>
        <v>62204</v>
      </c>
      <c r="N103" s="322">
        <f t="shared" si="10"/>
        <v>-27260</v>
      </c>
      <c r="O103" s="322">
        <f t="shared" si="10"/>
        <v>-1215417</v>
      </c>
      <c r="P103" s="322">
        <f t="shared" si="10"/>
        <v>-320774</v>
      </c>
      <c r="Q103" s="322">
        <f t="shared" si="10"/>
        <v>-22005</v>
      </c>
      <c r="R103" s="322">
        <f t="shared" si="10"/>
        <v>174070</v>
      </c>
      <c r="S103" s="322">
        <f t="shared" si="10"/>
        <v>131438</v>
      </c>
      <c r="T103" s="322">
        <f t="shared" si="10"/>
        <v>0</v>
      </c>
      <c r="U103" s="322">
        <f t="shared" si="10"/>
        <v>-22052</v>
      </c>
      <c r="V103" s="322">
        <f t="shared" si="10"/>
        <v>-456400</v>
      </c>
      <c r="W103" s="322"/>
      <c r="X103" s="323"/>
    </row>
    <row r="104" spans="1:24" s="324" customFormat="1" ht="15" hidden="1" customHeight="1" x14ac:dyDescent="0.2">
      <c r="A104" s="136"/>
      <c r="B104" s="106"/>
      <c r="C104" s="535" t="s">
        <v>790</v>
      </c>
      <c r="D104" s="535"/>
      <c r="E104" s="535"/>
      <c r="F104" s="535"/>
      <c r="G104" s="535"/>
      <c r="H104" s="322"/>
      <c r="I104" s="322">
        <f>I95-H95</f>
        <v>-1462628.8100000005</v>
      </c>
      <c r="J104" s="322">
        <f>J95-I95</f>
        <v>-675667.71</v>
      </c>
      <c r="K104" s="322">
        <f t="shared" ref="K104:V104" si="11">K95-J95</f>
        <v>-326906.52999999933</v>
      </c>
      <c r="L104" s="322">
        <f t="shared" si="11"/>
        <v>-122768</v>
      </c>
      <c r="M104" s="322">
        <f t="shared" si="11"/>
        <v>48409</v>
      </c>
      <c r="N104" s="322">
        <f t="shared" si="11"/>
        <v>-40615</v>
      </c>
      <c r="O104" s="322">
        <f t="shared" si="11"/>
        <v>-1227972</v>
      </c>
      <c r="P104" s="322">
        <f t="shared" si="11"/>
        <v>-329999</v>
      </c>
      <c r="Q104" s="322">
        <f t="shared" si="11"/>
        <v>-31070</v>
      </c>
      <c r="R104" s="322">
        <f t="shared" si="11"/>
        <v>165390</v>
      </c>
      <c r="S104" s="322">
        <f t="shared" si="11"/>
        <v>122293</v>
      </c>
      <c r="T104" s="322">
        <f t="shared" si="11"/>
        <v>-9165</v>
      </c>
      <c r="U104" s="322">
        <f t="shared" si="11"/>
        <v>-31827</v>
      </c>
      <c r="V104" s="322">
        <f t="shared" si="11"/>
        <v>-465550</v>
      </c>
      <c r="W104" s="322"/>
      <c r="X104" s="323"/>
    </row>
    <row r="105" spans="1:24" s="324" customFormat="1" hidden="1" x14ac:dyDescent="0.2">
      <c r="A105" s="325"/>
      <c r="B105" s="326"/>
      <c r="C105" s="325"/>
      <c r="D105" s="325"/>
      <c r="E105" s="257"/>
      <c r="F105" s="327"/>
      <c r="G105" s="327"/>
      <c r="H105" s="328"/>
      <c r="I105" s="328"/>
      <c r="J105" s="328"/>
      <c r="K105" s="328"/>
      <c r="L105" s="328"/>
      <c r="M105" s="328"/>
      <c r="N105" s="328"/>
      <c r="O105" s="328"/>
      <c r="P105" s="328"/>
      <c r="Q105" s="328"/>
      <c r="R105" s="328"/>
      <c r="S105" s="328"/>
      <c r="T105" s="328"/>
      <c r="U105" s="328"/>
      <c r="V105" s="328"/>
      <c r="W105" s="328"/>
      <c r="X105" s="328"/>
    </row>
    <row r="106" spans="1:24" s="324" customFormat="1" x14ac:dyDescent="0.2">
      <c r="A106" s="325"/>
      <c r="B106" s="326"/>
      <c r="C106" s="325"/>
      <c r="D106" s="325"/>
      <c r="E106" s="257"/>
      <c r="F106" s="327"/>
      <c r="G106" s="327"/>
      <c r="H106" s="328"/>
      <c r="I106" s="328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</row>
    <row r="107" spans="1:24" s="324" customFormat="1" x14ac:dyDescent="0.2">
      <c r="A107" s="325"/>
      <c r="B107" s="326"/>
      <c r="C107" s="325"/>
      <c r="D107" s="325"/>
      <c r="E107" s="257"/>
      <c r="F107" s="327"/>
      <c r="G107" s="327"/>
      <c r="H107" s="328"/>
      <c r="I107" s="328"/>
      <c r="J107" s="328"/>
      <c r="K107" s="328"/>
      <c r="L107" s="328"/>
      <c r="M107" s="328"/>
      <c r="N107" s="328"/>
      <c r="O107" s="328"/>
      <c r="P107" s="328"/>
      <c r="Q107" s="328"/>
      <c r="R107" s="328"/>
      <c r="S107" s="328"/>
      <c r="T107" s="328"/>
      <c r="U107" s="328"/>
      <c r="V107" s="328"/>
      <c r="W107" s="328"/>
      <c r="X107" s="328"/>
    </row>
    <row r="108" spans="1:24" s="324" customFormat="1" x14ac:dyDescent="0.2">
      <c r="A108" s="325"/>
      <c r="B108" s="329" t="s">
        <v>510</v>
      </c>
      <c r="C108" s="325"/>
      <c r="D108" s="325"/>
      <c r="E108" s="257"/>
      <c r="F108" s="327"/>
      <c r="G108" s="327"/>
      <c r="H108" s="328"/>
      <c r="I108" s="328"/>
      <c r="J108" s="328"/>
      <c r="K108" s="328"/>
      <c r="L108" s="328"/>
      <c r="M108" s="328"/>
      <c r="N108" s="328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</row>
    <row r="109" spans="1:24" s="324" customFormat="1" x14ac:dyDescent="0.2">
      <c r="A109" s="525">
        <v>1</v>
      </c>
      <c r="B109" s="219" t="s">
        <v>466</v>
      </c>
      <c r="C109" s="527" t="s">
        <v>791</v>
      </c>
      <c r="D109" s="217"/>
      <c r="E109" s="518">
        <v>5122338.5199999996</v>
      </c>
      <c r="F109" s="520" t="s">
        <v>511</v>
      </c>
      <c r="G109" s="113" t="s">
        <v>465</v>
      </c>
      <c r="H109" s="104">
        <v>216000</v>
      </c>
      <c r="I109" s="104">
        <v>216000</v>
      </c>
      <c r="J109" s="104">
        <v>216000</v>
      </c>
      <c r="K109" s="104">
        <v>216000</v>
      </c>
      <c r="L109" s="104">
        <v>216000</v>
      </c>
      <c r="M109" s="104">
        <v>216000</v>
      </c>
      <c r="N109" s="104">
        <v>216000</v>
      </c>
      <c r="O109" s="104">
        <v>216000</v>
      </c>
      <c r="P109" s="104">
        <v>216000</v>
      </c>
      <c r="Q109" s="104">
        <v>216000</v>
      </c>
      <c r="R109" s="104">
        <v>216000</v>
      </c>
      <c r="S109" s="104">
        <v>0</v>
      </c>
      <c r="T109" s="104">
        <v>0</v>
      </c>
      <c r="U109" s="275">
        <v>0</v>
      </c>
      <c r="V109" s="275">
        <v>0</v>
      </c>
      <c r="W109" s="275">
        <v>0</v>
      </c>
      <c r="X109" s="105">
        <f t="shared" ref="X109:X116" si="12">SUM(H109:W109)</f>
        <v>2376000</v>
      </c>
    </row>
    <row r="110" spans="1:24" s="324" customFormat="1" x14ac:dyDescent="0.2">
      <c r="A110" s="526"/>
      <c r="B110" s="220" t="s">
        <v>512</v>
      </c>
      <c r="C110" s="517"/>
      <c r="D110" s="218"/>
      <c r="E110" s="519"/>
      <c r="F110" s="521"/>
      <c r="G110" s="330">
        <v>5.0000000000000001E-3</v>
      </c>
      <c r="H110" s="107">
        <v>11850</v>
      </c>
      <c r="I110" s="107">
        <v>10785</v>
      </c>
      <c r="J110" s="107">
        <v>9690</v>
      </c>
      <c r="K110" s="107">
        <v>8595</v>
      </c>
      <c r="L110" s="107">
        <v>7520</v>
      </c>
      <c r="M110" s="107">
        <v>6405</v>
      </c>
      <c r="N110" s="107">
        <v>5310</v>
      </c>
      <c r="O110" s="107">
        <v>4215</v>
      </c>
      <c r="P110" s="107">
        <v>3130</v>
      </c>
      <c r="Q110" s="107">
        <v>2025</v>
      </c>
      <c r="R110" s="107">
        <v>930</v>
      </c>
      <c r="S110" s="107">
        <v>65</v>
      </c>
      <c r="T110" s="107">
        <v>0</v>
      </c>
      <c r="U110" s="331">
        <v>0</v>
      </c>
      <c r="V110" s="331">
        <v>0</v>
      </c>
      <c r="W110" s="331">
        <v>0</v>
      </c>
      <c r="X110" s="109">
        <f t="shared" si="12"/>
        <v>70520</v>
      </c>
    </row>
    <row r="111" spans="1:24" s="324" customFormat="1" x14ac:dyDescent="0.2">
      <c r="A111" s="525">
        <v>2</v>
      </c>
      <c r="B111" s="219" t="s">
        <v>466</v>
      </c>
      <c r="C111" s="527" t="s">
        <v>792</v>
      </c>
      <c r="D111" s="217"/>
      <c r="E111" s="518">
        <v>522193.95</v>
      </c>
      <c r="F111" s="520" t="s">
        <v>513</v>
      </c>
      <c r="G111" s="113" t="s">
        <v>465</v>
      </c>
      <c r="H111" s="104"/>
      <c r="I111" s="104"/>
      <c r="J111" s="104">
        <v>0</v>
      </c>
      <c r="K111" s="104">
        <v>10699.57</v>
      </c>
      <c r="L111" s="104">
        <v>32139.84</v>
      </c>
      <c r="M111" s="104">
        <v>32139.84</v>
      </c>
      <c r="N111" s="104">
        <v>32139.84</v>
      </c>
      <c r="O111" s="104">
        <v>32139.84</v>
      </c>
      <c r="P111" s="104">
        <v>32139.84</v>
      </c>
      <c r="Q111" s="104">
        <v>32139.84</v>
      </c>
      <c r="R111" s="104">
        <v>32061.39</v>
      </c>
      <c r="S111" s="104">
        <v>0</v>
      </c>
      <c r="T111" s="104">
        <v>0</v>
      </c>
      <c r="U111" s="275">
        <v>0</v>
      </c>
      <c r="V111" s="275">
        <v>0</v>
      </c>
      <c r="W111" s="275">
        <v>0</v>
      </c>
      <c r="X111" s="105">
        <f>SUM(H111:W111)</f>
        <v>235600</v>
      </c>
    </row>
    <row r="112" spans="1:24" s="324" customFormat="1" x14ac:dyDescent="0.2">
      <c r="A112" s="526"/>
      <c r="B112" s="220" t="s">
        <v>514</v>
      </c>
      <c r="C112" s="517"/>
      <c r="D112" s="218"/>
      <c r="E112" s="519"/>
      <c r="F112" s="521"/>
      <c r="G112" s="330">
        <v>5.0000000000000001E-3</v>
      </c>
      <c r="H112" s="107">
        <v>1200</v>
      </c>
      <c r="I112" s="107">
        <v>1195</v>
      </c>
      <c r="J112" s="107">
        <v>1195</v>
      </c>
      <c r="K112" s="107">
        <v>1195</v>
      </c>
      <c r="L112" s="107">
        <v>1120</v>
      </c>
      <c r="M112" s="107">
        <v>955</v>
      </c>
      <c r="N112" s="107">
        <v>790</v>
      </c>
      <c r="O112" s="107">
        <v>630</v>
      </c>
      <c r="P112" s="107">
        <v>465</v>
      </c>
      <c r="Q112" s="107">
        <v>305</v>
      </c>
      <c r="R112" s="107">
        <v>140</v>
      </c>
      <c r="S112" s="107">
        <v>10</v>
      </c>
      <c r="T112" s="107">
        <v>0</v>
      </c>
      <c r="U112" s="331">
        <v>0</v>
      </c>
      <c r="V112" s="331">
        <v>0</v>
      </c>
      <c r="W112" s="331">
        <v>0</v>
      </c>
      <c r="X112" s="109">
        <f t="shared" si="12"/>
        <v>9200</v>
      </c>
    </row>
    <row r="113" spans="1:24" s="324" customFormat="1" x14ac:dyDescent="0.2">
      <c r="A113" s="528">
        <v>3</v>
      </c>
      <c r="B113" s="462" t="s">
        <v>466</v>
      </c>
      <c r="C113" s="530" t="s">
        <v>843</v>
      </c>
      <c r="D113" s="460"/>
      <c r="E113" s="532">
        <v>6033387</v>
      </c>
      <c r="F113" s="530" t="s">
        <v>844</v>
      </c>
      <c r="G113" s="463" t="s">
        <v>465</v>
      </c>
      <c r="H113" s="125"/>
      <c r="I113" s="125"/>
      <c r="J113" s="125"/>
      <c r="K113" s="126">
        <v>167595</v>
      </c>
      <c r="L113" s="126">
        <v>223460</v>
      </c>
      <c r="M113" s="126">
        <v>223460</v>
      </c>
      <c r="N113" s="126">
        <v>223460</v>
      </c>
      <c r="O113" s="126">
        <v>223460</v>
      </c>
      <c r="P113" s="126">
        <v>223460</v>
      </c>
      <c r="Q113" s="126">
        <v>223460</v>
      </c>
      <c r="R113" s="126">
        <v>223460</v>
      </c>
      <c r="S113" s="126">
        <v>223460</v>
      </c>
      <c r="T113" s="126">
        <v>223460</v>
      </c>
      <c r="U113" s="126">
        <v>223460</v>
      </c>
      <c r="V113" s="126">
        <v>223460</v>
      </c>
      <c r="W113" s="126">
        <v>3407732</v>
      </c>
      <c r="X113" s="105">
        <f t="shared" si="12"/>
        <v>6033387</v>
      </c>
    </row>
    <row r="114" spans="1:24" s="324" customFormat="1" x14ac:dyDescent="0.2">
      <c r="A114" s="529"/>
      <c r="B114" s="464"/>
      <c r="C114" s="531"/>
      <c r="D114" s="461"/>
      <c r="E114" s="533"/>
      <c r="F114" s="531"/>
      <c r="G114" s="465">
        <v>5.0000000000000001E-3</v>
      </c>
      <c r="H114" s="127">
        <v>8550</v>
      </c>
      <c r="I114" s="127">
        <v>30590</v>
      </c>
      <c r="J114" s="127">
        <v>30590</v>
      </c>
      <c r="K114" s="127">
        <v>30500</v>
      </c>
      <c r="L114" s="127">
        <v>29645</v>
      </c>
      <c r="M114" s="127">
        <v>28430</v>
      </c>
      <c r="N114" s="127">
        <v>27300</v>
      </c>
      <c r="O114" s="127">
        <v>26165</v>
      </c>
      <c r="P114" s="127">
        <v>25100</v>
      </c>
      <c r="Q114" s="127">
        <v>23900</v>
      </c>
      <c r="R114" s="127">
        <v>22765</v>
      </c>
      <c r="S114" s="127">
        <v>21635</v>
      </c>
      <c r="T114" s="127">
        <v>20560</v>
      </c>
      <c r="U114" s="128">
        <v>19370</v>
      </c>
      <c r="V114" s="128">
        <v>18235</v>
      </c>
      <c r="W114" s="128">
        <v>137865</v>
      </c>
      <c r="X114" s="109">
        <f t="shared" si="12"/>
        <v>501200</v>
      </c>
    </row>
    <row r="115" spans="1:24" s="324" customFormat="1" hidden="1" x14ac:dyDescent="0.2">
      <c r="A115" s="514"/>
      <c r="B115" s="219"/>
      <c r="C115" s="516"/>
      <c r="D115" s="217"/>
      <c r="E115" s="518"/>
      <c r="F115" s="520"/>
      <c r="G115" s="113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6"/>
      <c r="V115" s="126"/>
      <c r="W115" s="126"/>
      <c r="X115" s="105">
        <f t="shared" si="12"/>
        <v>0</v>
      </c>
    </row>
    <row r="116" spans="1:24" s="324" customFormat="1" hidden="1" x14ac:dyDescent="0.2">
      <c r="A116" s="515"/>
      <c r="B116" s="220"/>
      <c r="C116" s="517"/>
      <c r="D116" s="218"/>
      <c r="E116" s="519"/>
      <c r="F116" s="521"/>
      <c r="G116" s="330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8"/>
      <c r="V116" s="128"/>
      <c r="W116" s="128"/>
      <c r="X116" s="109">
        <f t="shared" si="12"/>
        <v>0</v>
      </c>
    </row>
    <row r="117" spans="1:24" s="324" customFormat="1" x14ac:dyDescent="0.2">
      <c r="A117" s="332"/>
      <c r="B117" s="522" t="s">
        <v>504</v>
      </c>
      <c r="C117" s="523"/>
      <c r="D117" s="523"/>
      <c r="E117" s="523"/>
      <c r="F117" s="524"/>
      <c r="G117" s="333"/>
      <c r="H117" s="334">
        <f>H109+H111+H113+H115</f>
        <v>216000</v>
      </c>
      <c r="I117" s="334">
        <f t="shared" ref="I117:W118" si="13">I109+I111+I113+I115</f>
        <v>216000</v>
      </c>
      <c r="J117" s="334">
        <f t="shared" si="13"/>
        <v>216000</v>
      </c>
      <c r="K117" s="334">
        <f t="shared" si="13"/>
        <v>394294.57</v>
      </c>
      <c r="L117" s="334">
        <f t="shared" si="13"/>
        <v>471599.83999999997</v>
      </c>
      <c r="M117" s="334">
        <f t="shared" si="13"/>
        <v>471599.83999999997</v>
      </c>
      <c r="N117" s="334">
        <f t="shared" si="13"/>
        <v>471599.83999999997</v>
      </c>
      <c r="O117" s="334">
        <f t="shared" si="13"/>
        <v>471599.83999999997</v>
      </c>
      <c r="P117" s="334">
        <f t="shared" si="13"/>
        <v>471599.83999999997</v>
      </c>
      <c r="Q117" s="334">
        <f t="shared" si="13"/>
        <v>471599.83999999997</v>
      </c>
      <c r="R117" s="334">
        <f t="shared" si="13"/>
        <v>471521.39</v>
      </c>
      <c r="S117" s="334">
        <f t="shared" si="13"/>
        <v>223460</v>
      </c>
      <c r="T117" s="334">
        <f t="shared" si="13"/>
        <v>223460</v>
      </c>
      <c r="U117" s="334">
        <f t="shared" si="13"/>
        <v>223460</v>
      </c>
      <c r="V117" s="334">
        <f t="shared" si="13"/>
        <v>223460</v>
      </c>
      <c r="W117" s="334">
        <f t="shared" si="13"/>
        <v>3407732</v>
      </c>
      <c r="X117" s="335">
        <f>+X109+X111+X113+X115</f>
        <v>8644987</v>
      </c>
    </row>
    <row r="118" spans="1:24" s="324" customFormat="1" ht="13.5" thickBot="1" x14ac:dyDescent="0.25">
      <c r="A118" s="336"/>
      <c r="B118" s="511" t="s">
        <v>505</v>
      </c>
      <c r="C118" s="511"/>
      <c r="D118" s="511"/>
      <c r="E118" s="511"/>
      <c r="F118" s="511"/>
      <c r="G118" s="337"/>
      <c r="H118" s="338">
        <f>H110+H112+H114+H116</f>
        <v>21600</v>
      </c>
      <c r="I118" s="338">
        <f t="shared" si="13"/>
        <v>42570</v>
      </c>
      <c r="J118" s="338">
        <f t="shared" si="13"/>
        <v>41475</v>
      </c>
      <c r="K118" s="338">
        <f t="shared" si="13"/>
        <v>40290</v>
      </c>
      <c r="L118" s="338">
        <f t="shared" si="13"/>
        <v>38285</v>
      </c>
      <c r="M118" s="338">
        <f t="shared" si="13"/>
        <v>35790</v>
      </c>
      <c r="N118" s="338">
        <f t="shared" si="13"/>
        <v>33400</v>
      </c>
      <c r="O118" s="338">
        <f t="shared" si="13"/>
        <v>31010</v>
      </c>
      <c r="P118" s="338">
        <f t="shared" si="13"/>
        <v>28695</v>
      </c>
      <c r="Q118" s="338">
        <f t="shared" si="13"/>
        <v>26230</v>
      </c>
      <c r="R118" s="338">
        <f t="shared" si="13"/>
        <v>23835</v>
      </c>
      <c r="S118" s="338">
        <f t="shared" si="13"/>
        <v>21710</v>
      </c>
      <c r="T118" s="338">
        <f t="shared" si="13"/>
        <v>20560</v>
      </c>
      <c r="U118" s="338">
        <f t="shared" si="13"/>
        <v>19370</v>
      </c>
      <c r="V118" s="338">
        <f t="shared" si="13"/>
        <v>18235</v>
      </c>
      <c r="W118" s="338">
        <f t="shared" si="13"/>
        <v>137865</v>
      </c>
      <c r="X118" s="339">
        <f>+X110+X112+X114+X116</f>
        <v>580920</v>
      </c>
    </row>
    <row r="119" spans="1:24" s="324" customFormat="1" ht="13.5" thickTop="1" x14ac:dyDescent="0.2">
      <c r="A119" s="340"/>
      <c r="B119" s="505" t="s">
        <v>515</v>
      </c>
      <c r="C119" s="506"/>
      <c r="D119" s="506"/>
      <c r="E119" s="506"/>
      <c r="F119" s="506"/>
      <c r="G119" s="341"/>
      <c r="H119" s="342">
        <f t="shared" ref="H119:W119" si="14">SUM(H117:H118)</f>
        <v>237600</v>
      </c>
      <c r="I119" s="342">
        <f t="shared" si="14"/>
        <v>258570</v>
      </c>
      <c r="J119" s="342">
        <f t="shared" si="14"/>
        <v>257475</v>
      </c>
      <c r="K119" s="342">
        <f t="shared" si="14"/>
        <v>434584.57</v>
      </c>
      <c r="L119" s="342">
        <f t="shared" si="14"/>
        <v>509884.83999999997</v>
      </c>
      <c r="M119" s="342">
        <f t="shared" si="14"/>
        <v>507389.83999999997</v>
      </c>
      <c r="N119" s="342">
        <f t="shared" si="14"/>
        <v>504999.83999999997</v>
      </c>
      <c r="O119" s="342">
        <f t="shared" si="14"/>
        <v>502609.83999999997</v>
      </c>
      <c r="P119" s="342">
        <f t="shared" si="14"/>
        <v>500294.83999999997</v>
      </c>
      <c r="Q119" s="342">
        <f t="shared" si="14"/>
        <v>497829.83999999997</v>
      </c>
      <c r="R119" s="342">
        <f t="shared" si="14"/>
        <v>495356.39</v>
      </c>
      <c r="S119" s="342">
        <f t="shared" si="14"/>
        <v>245170</v>
      </c>
      <c r="T119" s="342">
        <f t="shared" si="14"/>
        <v>244020</v>
      </c>
      <c r="U119" s="342">
        <f t="shared" si="14"/>
        <v>242830</v>
      </c>
      <c r="V119" s="342">
        <f t="shared" si="14"/>
        <v>241695</v>
      </c>
      <c r="W119" s="342">
        <f t="shared" si="14"/>
        <v>3545597</v>
      </c>
      <c r="X119" s="343">
        <f>SUM(X117:X118)</f>
        <v>9225907</v>
      </c>
    </row>
    <row r="120" spans="1:24" s="324" customFormat="1" x14ac:dyDescent="0.2">
      <c r="A120" s="344"/>
      <c r="B120" s="345"/>
      <c r="C120" s="346"/>
      <c r="D120" s="346"/>
      <c r="E120" s="346"/>
      <c r="F120" s="346"/>
      <c r="G120" s="344"/>
      <c r="H120" s="347"/>
      <c r="I120" s="347"/>
      <c r="J120" s="347"/>
      <c r="K120" s="347"/>
      <c r="L120" s="347"/>
      <c r="M120" s="347"/>
      <c r="N120" s="347"/>
      <c r="O120" s="347"/>
      <c r="P120" s="347"/>
      <c r="Q120" s="347"/>
      <c r="R120" s="347"/>
      <c r="S120" s="347"/>
      <c r="T120" s="347"/>
      <c r="U120" s="347"/>
      <c r="V120" s="347"/>
      <c r="W120" s="347"/>
      <c r="X120" s="347"/>
    </row>
    <row r="121" spans="1:24" s="324" customFormat="1" hidden="1" x14ac:dyDescent="0.2">
      <c r="A121" s="344"/>
      <c r="B121" s="345"/>
      <c r="C121" s="346"/>
      <c r="D121" s="346"/>
      <c r="E121" s="507" t="s">
        <v>793</v>
      </c>
      <c r="F121" s="507"/>
      <c r="G121" s="507"/>
      <c r="H121" s="347"/>
      <c r="I121" s="347"/>
      <c r="J121" s="347"/>
      <c r="K121" s="347"/>
      <c r="L121" s="347"/>
      <c r="M121" s="347"/>
      <c r="N121" s="347"/>
      <c r="O121" s="347"/>
      <c r="P121" s="347"/>
      <c r="Q121" s="347"/>
      <c r="R121" s="347"/>
      <c r="S121" s="347"/>
      <c r="T121" s="347"/>
      <c r="U121" s="347"/>
      <c r="V121" s="347"/>
      <c r="W121" s="347"/>
      <c r="X121" s="347"/>
    </row>
    <row r="122" spans="1:24" s="324" customFormat="1" hidden="1" x14ac:dyDescent="0.2">
      <c r="A122" s="344"/>
      <c r="B122" s="345"/>
      <c r="C122" s="346"/>
      <c r="D122" s="346"/>
      <c r="E122" s="507" t="s">
        <v>788</v>
      </c>
      <c r="F122" s="507"/>
      <c r="G122" s="507"/>
      <c r="H122" s="347"/>
      <c r="I122" s="347"/>
      <c r="J122" s="347"/>
      <c r="K122" s="347"/>
      <c r="L122" s="347"/>
      <c r="M122" s="347"/>
      <c r="N122" s="347"/>
      <c r="O122" s="347"/>
      <c r="P122" s="347"/>
      <c r="Q122" s="347"/>
      <c r="R122" s="347"/>
      <c r="S122" s="347"/>
      <c r="T122" s="347"/>
      <c r="U122" s="347"/>
      <c r="V122" s="347"/>
      <c r="W122" s="347"/>
      <c r="X122" s="347"/>
    </row>
    <row r="123" spans="1:24" s="324" customFormat="1" hidden="1" x14ac:dyDescent="0.2">
      <c r="A123" s="344"/>
      <c r="B123" s="345"/>
      <c r="C123" s="346"/>
      <c r="D123" s="346"/>
      <c r="E123" s="348"/>
      <c r="F123" s="348"/>
      <c r="G123" s="348"/>
      <c r="H123" s="347"/>
      <c r="I123" s="347"/>
      <c r="J123" s="347"/>
      <c r="K123" s="347"/>
      <c r="L123" s="347"/>
      <c r="M123" s="347"/>
      <c r="N123" s="347"/>
      <c r="O123" s="347"/>
      <c r="P123" s="347"/>
      <c r="Q123" s="347"/>
      <c r="R123" s="347"/>
      <c r="S123" s="347"/>
      <c r="T123" s="347"/>
      <c r="U123" s="347"/>
      <c r="V123" s="347"/>
      <c r="W123" s="347"/>
      <c r="X123" s="347"/>
    </row>
    <row r="124" spans="1:24" x14ac:dyDescent="0.2">
      <c r="N124" s="349"/>
      <c r="O124" s="349"/>
      <c r="P124" s="349"/>
      <c r="Q124" s="349"/>
      <c r="R124" s="349"/>
      <c r="S124" s="349"/>
      <c r="T124" s="349"/>
      <c r="U124" s="349"/>
      <c r="V124" s="349"/>
      <c r="W124" s="349"/>
    </row>
    <row r="125" spans="1:24" s="324" customFormat="1" ht="12" customHeight="1" x14ac:dyDescent="0.2">
      <c r="A125" s="136"/>
      <c r="B125" s="106"/>
      <c r="C125" s="350" t="s">
        <v>312</v>
      </c>
      <c r="D125" s="350"/>
      <c r="E125" s="257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</row>
    <row r="126" spans="1:24" s="324" customFormat="1" x14ac:dyDescent="0.2">
      <c r="A126" s="288"/>
      <c r="B126" s="508" t="s">
        <v>516</v>
      </c>
      <c r="C126" s="509"/>
      <c r="D126" s="509"/>
      <c r="E126" s="509"/>
      <c r="F126" s="510"/>
      <c r="G126" s="293"/>
      <c r="H126" s="351">
        <f t="shared" ref="H126:W127" si="15">H93+H117</f>
        <v>7061149.0499999998</v>
      </c>
      <c r="I126" s="351">
        <f t="shared" si="15"/>
        <v>5632745.2399999993</v>
      </c>
      <c r="J126" s="351">
        <f t="shared" si="15"/>
        <v>4973157.5299999993</v>
      </c>
      <c r="K126" s="351">
        <f t="shared" si="15"/>
        <v>4838970.57</v>
      </c>
      <c r="L126" s="351">
        <f t="shared" si="15"/>
        <v>4806467.84</v>
      </c>
      <c r="M126" s="351">
        <f t="shared" si="15"/>
        <v>4868671.84</v>
      </c>
      <c r="N126" s="351">
        <f t="shared" si="15"/>
        <v>4841411.84</v>
      </c>
      <c r="O126" s="351">
        <f t="shared" si="15"/>
        <v>3625994.84</v>
      </c>
      <c r="P126" s="351">
        <f t="shared" si="15"/>
        <v>3305220.84</v>
      </c>
      <c r="Q126" s="351">
        <f t="shared" si="15"/>
        <v>3283215.84</v>
      </c>
      <c r="R126" s="351">
        <f t="shared" si="15"/>
        <v>3457207.39</v>
      </c>
      <c r="S126" s="351">
        <f t="shared" si="15"/>
        <v>3340584</v>
      </c>
      <c r="T126" s="351">
        <f t="shared" si="15"/>
        <v>3340584</v>
      </c>
      <c r="U126" s="351">
        <f t="shared" si="15"/>
        <v>3318532</v>
      </c>
      <c r="V126" s="351">
        <f t="shared" si="15"/>
        <v>2862132</v>
      </c>
      <c r="W126" s="351">
        <f t="shared" si="15"/>
        <v>30100159.359999999</v>
      </c>
      <c r="X126" s="352">
        <f>SUM(H126:W126)</f>
        <v>93656204.180000007</v>
      </c>
    </row>
    <row r="127" spans="1:24" s="324" customFormat="1" ht="13.5" thickBot="1" x14ac:dyDescent="0.25">
      <c r="A127" s="336"/>
      <c r="B127" s="511" t="s">
        <v>505</v>
      </c>
      <c r="C127" s="511"/>
      <c r="D127" s="511"/>
      <c r="E127" s="511"/>
      <c r="F127" s="511"/>
      <c r="G127" s="353"/>
      <c r="H127" s="338">
        <f t="shared" si="15"/>
        <v>291600</v>
      </c>
      <c r="I127" s="338">
        <f t="shared" si="15"/>
        <v>278345</v>
      </c>
      <c r="J127" s="338">
        <f t="shared" si="15"/>
        <v>261170</v>
      </c>
      <c r="K127" s="338">
        <f t="shared" si="15"/>
        <v>245560</v>
      </c>
      <c r="L127" s="338">
        <f t="shared" si="15"/>
        <v>230595</v>
      </c>
      <c r="M127" s="338">
        <f t="shared" si="15"/>
        <v>214305</v>
      </c>
      <c r="N127" s="338">
        <f t="shared" si="15"/>
        <v>198560</v>
      </c>
      <c r="O127" s="338">
        <f t="shared" si="15"/>
        <v>183615</v>
      </c>
      <c r="P127" s="338">
        <f t="shared" si="15"/>
        <v>172075</v>
      </c>
      <c r="Q127" s="338">
        <f t="shared" si="15"/>
        <v>160545</v>
      </c>
      <c r="R127" s="338">
        <f t="shared" si="15"/>
        <v>149470</v>
      </c>
      <c r="S127" s="338">
        <f t="shared" si="15"/>
        <v>138200</v>
      </c>
      <c r="T127" s="338">
        <f t="shared" si="15"/>
        <v>127885</v>
      </c>
      <c r="U127" s="338">
        <f t="shared" si="15"/>
        <v>116920</v>
      </c>
      <c r="V127" s="338">
        <f t="shared" si="15"/>
        <v>106635</v>
      </c>
      <c r="W127" s="338">
        <f t="shared" si="15"/>
        <v>700225</v>
      </c>
      <c r="X127" s="339">
        <f>SUM(H127:W127)</f>
        <v>3575705</v>
      </c>
    </row>
    <row r="128" spans="1:24" s="324" customFormat="1" ht="13.5" thickTop="1" x14ac:dyDescent="0.2">
      <c r="A128" s="354"/>
      <c r="B128" s="512" t="s">
        <v>464</v>
      </c>
      <c r="C128" s="513"/>
      <c r="D128" s="513"/>
      <c r="E128" s="513"/>
      <c r="F128" s="513"/>
      <c r="G128" s="301"/>
      <c r="H128" s="302">
        <f t="shared" ref="H128:W128" si="16">SUM(H126:H127)</f>
        <v>7352749.0499999998</v>
      </c>
      <c r="I128" s="302">
        <f t="shared" si="16"/>
        <v>5911090.2399999993</v>
      </c>
      <c r="J128" s="302">
        <f t="shared" si="16"/>
        <v>5234327.5299999993</v>
      </c>
      <c r="K128" s="302">
        <f t="shared" si="16"/>
        <v>5084530.57</v>
      </c>
      <c r="L128" s="302">
        <f t="shared" si="16"/>
        <v>5037062.84</v>
      </c>
      <c r="M128" s="302">
        <f t="shared" si="16"/>
        <v>5082976.84</v>
      </c>
      <c r="N128" s="302">
        <f t="shared" si="16"/>
        <v>5039971.84</v>
      </c>
      <c r="O128" s="302">
        <f t="shared" si="16"/>
        <v>3809609.84</v>
      </c>
      <c r="P128" s="302">
        <f t="shared" si="16"/>
        <v>3477295.84</v>
      </c>
      <c r="Q128" s="302">
        <f t="shared" si="16"/>
        <v>3443760.84</v>
      </c>
      <c r="R128" s="302">
        <f t="shared" si="16"/>
        <v>3606677.39</v>
      </c>
      <c r="S128" s="302">
        <f t="shared" si="16"/>
        <v>3478784</v>
      </c>
      <c r="T128" s="302">
        <f t="shared" si="16"/>
        <v>3468469</v>
      </c>
      <c r="U128" s="302">
        <f t="shared" si="16"/>
        <v>3435452</v>
      </c>
      <c r="V128" s="302">
        <f>SUM(V126:V127)</f>
        <v>2968767</v>
      </c>
      <c r="W128" s="302">
        <f t="shared" si="16"/>
        <v>30800384.359999999</v>
      </c>
      <c r="X128" s="303">
        <f>SUM(X126:X127)</f>
        <v>97231909.180000007</v>
      </c>
    </row>
    <row r="129" spans="1:24" s="324" customFormat="1" x14ac:dyDescent="0.2">
      <c r="A129" s="304"/>
      <c r="B129" s="503" t="s">
        <v>507</v>
      </c>
      <c r="C129" s="504"/>
      <c r="D129" s="305"/>
      <c r="E129" s="305" t="s">
        <v>508</v>
      </c>
      <c r="F129" s="459">
        <f>F96</f>
        <v>63389005</v>
      </c>
      <c r="G129" s="307" t="s">
        <v>509</v>
      </c>
      <c r="H129" s="123">
        <f t="shared" ref="H129:W129" si="17">SUM(H128/$F$129)</f>
        <v>0.11599407578648695</v>
      </c>
      <c r="I129" s="123">
        <f t="shared" si="17"/>
        <v>9.3251033676897105E-2</v>
      </c>
      <c r="J129" s="123">
        <f t="shared" si="17"/>
        <v>8.2574691462659805E-2</v>
      </c>
      <c r="K129" s="123">
        <f t="shared" si="17"/>
        <v>8.0211553565164809E-2</v>
      </c>
      <c r="L129" s="123">
        <f t="shared" si="17"/>
        <v>7.9462721334717268E-2</v>
      </c>
      <c r="M129" s="123">
        <f t="shared" si="17"/>
        <v>8.0187042532060562E-2</v>
      </c>
      <c r="N129" s="123">
        <f t="shared" si="17"/>
        <v>7.9508612574057599E-2</v>
      </c>
      <c r="O129" s="123">
        <f t="shared" si="17"/>
        <v>6.0098905796044592E-2</v>
      </c>
      <c r="P129" s="124">
        <f t="shared" si="17"/>
        <v>5.4856450893968123E-2</v>
      </c>
      <c r="Q129" s="124">
        <f t="shared" si="17"/>
        <v>5.4327415929623757E-2</v>
      </c>
      <c r="R129" s="124">
        <f t="shared" si="17"/>
        <v>5.6897523316543623E-2</v>
      </c>
      <c r="S129" s="124">
        <f t="shared" si="17"/>
        <v>5.487992752055345E-2</v>
      </c>
      <c r="T129" s="124">
        <f t="shared" si="17"/>
        <v>5.4717202139393101E-2</v>
      </c>
      <c r="U129" s="124">
        <f t="shared" si="17"/>
        <v>5.4196338939221399E-2</v>
      </c>
      <c r="V129" s="124">
        <f t="shared" si="17"/>
        <v>4.6834100014663427E-2</v>
      </c>
      <c r="W129" s="124">
        <f t="shared" si="17"/>
        <v>0.48589474404906652</v>
      </c>
      <c r="X129" s="130"/>
    </row>
    <row r="130" spans="1:24" s="324" customFormat="1" x14ac:dyDescent="0.2">
      <c r="A130" s="309"/>
      <c r="B130" s="503" t="s">
        <v>786</v>
      </c>
      <c r="C130" s="504"/>
      <c r="D130" s="305"/>
      <c r="E130" s="306"/>
      <c r="F130" s="310"/>
      <c r="G130" s="311" t="s">
        <v>509</v>
      </c>
      <c r="H130" s="355">
        <f t="shared" ref="H130:W130" si="18">SUM((H128-H99-H121)/$F$129)</f>
        <v>0.11185322107516911</v>
      </c>
      <c r="I130" s="356">
        <f t="shared" si="18"/>
        <v>9.3251033676897105E-2</v>
      </c>
      <c r="J130" s="356">
        <f t="shared" si="18"/>
        <v>8.2574691462659805E-2</v>
      </c>
      <c r="K130" s="356">
        <f t="shared" si="18"/>
        <v>8.0211553565164809E-2</v>
      </c>
      <c r="L130" s="356">
        <f t="shared" si="18"/>
        <v>7.9462721334717268E-2</v>
      </c>
      <c r="M130" s="356">
        <f t="shared" si="18"/>
        <v>8.0187042532060562E-2</v>
      </c>
      <c r="N130" s="356">
        <f t="shared" si="18"/>
        <v>7.9508612574057599E-2</v>
      </c>
      <c r="O130" s="356">
        <f t="shared" si="18"/>
        <v>6.0098905796044592E-2</v>
      </c>
      <c r="P130" s="356">
        <f t="shared" si="18"/>
        <v>5.4856450893968123E-2</v>
      </c>
      <c r="Q130" s="356">
        <f t="shared" si="18"/>
        <v>5.4327415929623757E-2</v>
      </c>
      <c r="R130" s="356">
        <f t="shared" si="18"/>
        <v>5.6897523316543623E-2</v>
      </c>
      <c r="S130" s="356">
        <f t="shared" si="18"/>
        <v>5.487992752055345E-2</v>
      </c>
      <c r="T130" s="356">
        <f t="shared" si="18"/>
        <v>5.4717202139393101E-2</v>
      </c>
      <c r="U130" s="356">
        <f t="shared" si="18"/>
        <v>5.4196338939221399E-2</v>
      </c>
      <c r="V130" s="356">
        <f t="shared" si="18"/>
        <v>4.6834100014663427E-2</v>
      </c>
      <c r="W130" s="356">
        <f t="shared" si="18"/>
        <v>0.48589474404906652</v>
      </c>
      <c r="X130" s="357"/>
    </row>
    <row r="131" spans="1:24" s="324" customFormat="1" ht="15.75" x14ac:dyDescent="0.25">
      <c r="A131" s="136"/>
      <c r="B131" s="106"/>
      <c r="C131" s="257"/>
      <c r="D131" s="257"/>
      <c r="E131" s="257"/>
      <c r="F131" s="136"/>
      <c r="G131" s="136"/>
      <c r="H131" s="131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358"/>
      <c r="U131" s="358"/>
      <c r="V131" s="358"/>
      <c r="W131" s="358"/>
      <c r="X131" s="349"/>
    </row>
    <row r="132" spans="1:24" s="324" customFormat="1" ht="18.75" x14ac:dyDescent="0.3">
      <c r="A132" s="136"/>
      <c r="B132" s="106"/>
      <c r="C132" s="257"/>
      <c r="D132" s="257"/>
      <c r="E132" s="257"/>
      <c r="F132" s="136"/>
      <c r="G132" s="136"/>
      <c r="H132" s="136"/>
      <c r="I132" s="136"/>
      <c r="J132" s="136"/>
      <c r="K132" s="136"/>
      <c r="M132" s="359" t="s">
        <v>25</v>
      </c>
      <c r="N132" s="136"/>
      <c r="O132" s="136"/>
      <c r="P132" s="136"/>
      <c r="Q132" s="136"/>
      <c r="R132" s="136"/>
      <c r="S132" s="136"/>
      <c r="T132" s="360" t="s">
        <v>81</v>
      </c>
      <c r="U132" s="358"/>
      <c r="V132" s="358"/>
      <c r="W132" s="358"/>
      <c r="X132" s="349"/>
    </row>
    <row r="133" spans="1:24" s="324" customFormat="1" x14ac:dyDescent="0.2">
      <c r="A133" s="136"/>
      <c r="B133" s="106"/>
      <c r="C133" s="257"/>
      <c r="D133" s="257"/>
      <c r="E133" s="257"/>
      <c r="F133" s="136"/>
      <c r="G133" s="136"/>
      <c r="H133" s="257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</row>
    <row r="134" spans="1:24" s="324" customFormat="1" ht="18.75" x14ac:dyDescent="0.3">
      <c r="A134" s="136"/>
      <c r="B134" s="106"/>
      <c r="C134" s="257"/>
      <c r="D134" s="257"/>
      <c r="E134" s="257"/>
      <c r="F134" s="136"/>
      <c r="G134" s="136"/>
      <c r="H134" s="132"/>
      <c r="I134" s="136"/>
      <c r="M134" s="136"/>
      <c r="N134" s="136"/>
      <c r="O134" s="136"/>
      <c r="P134" s="251"/>
      <c r="Q134" s="136"/>
      <c r="R134" s="136"/>
      <c r="S134" s="136"/>
      <c r="U134" s="360"/>
      <c r="V134" s="360"/>
      <c r="W134" s="360"/>
      <c r="X134" s="136"/>
    </row>
    <row r="135" spans="1:24" s="324" customFormat="1" ht="15.75" x14ac:dyDescent="0.25">
      <c r="A135" s="136"/>
      <c r="B135" s="106"/>
      <c r="C135" s="257"/>
      <c r="D135" s="257"/>
      <c r="E135" s="257"/>
      <c r="F135" s="136"/>
      <c r="G135" s="136"/>
      <c r="H135" s="361"/>
      <c r="I135" s="362"/>
      <c r="J135" s="132"/>
      <c r="K135" s="133"/>
      <c r="L135" s="133"/>
      <c r="M135" s="133"/>
      <c r="N135" s="133"/>
      <c r="O135" s="133"/>
      <c r="P135" s="133"/>
      <c r="Q135" s="133"/>
      <c r="R135" s="133"/>
      <c r="S135" s="133"/>
      <c r="T135" s="363"/>
      <c r="U135" s="363"/>
      <c r="V135" s="363"/>
      <c r="W135" s="363"/>
      <c r="X135" s="136"/>
    </row>
    <row r="136" spans="1:24" s="324" customFormat="1" ht="15" x14ac:dyDescent="0.25">
      <c r="A136" s="136"/>
      <c r="B136" s="106"/>
      <c r="C136" s="361"/>
      <c r="D136" s="361"/>
      <c r="E136" s="255"/>
      <c r="F136" s="255"/>
      <c r="G136" s="363"/>
      <c r="H136" s="136"/>
      <c r="I136" s="136"/>
      <c r="J136" s="255"/>
      <c r="K136" s="363"/>
      <c r="L136" s="363"/>
      <c r="M136" s="363"/>
      <c r="N136" s="363"/>
      <c r="O136" s="363"/>
      <c r="P136" s="363"/>
      <c r="Q136" s="363"/>
      <c r="R136" s="363"/>
      <c r="S136" s="363"/>
      <c r="T136" s="136"/>
      <c r="U136" s="136"/>
      <c r="V136" s="136"/>
      <c r="W136" s="136"/>
      <c r="X136" s="136"/>
    </row>
    <row r="137" spans="1:24" s="324" customFormat="1" ht="15" x14ac:dyDescent="0.25">
      <c r="A137" s="136"/>
      <c r="B137" s="361"/>
      <c r="C137" s="361"/>
      <c r="D137" s="361"/>
      <c r="E137" s="255"/>
      <c r="F137" s="255"/>
      <c r="G137" s="363"/>
      <c r="H137" s="136"/>
      <c r="I137" s="134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</row>
    <row r="138" spans="1:24" ht="15" x14ac:dyDescent="0.25">
      <c r="B138" s="361"/>
      <c r="C138" s="361"/>
      <c r="D138" s="361"/>
      <c r="E138" s="255"/>
      <c r="F138" s="255"/>
      <c r="G138" s="363"/>
    </row>
    <row r="139" spans="1:24" ht="15" x14ac:dyDescent="0.25">
      <c r="B139" s="361"/>
      <c r="C139" s="361"/>
      <c r="D139" s="361"/>
      <c r="E139" s="255"/>
      <c r="F139" s="255"/>
      <c r="G139" s="363"/>
    </row>
    <row r="140" spans="1:24" ht="15" x14ac:dyDescent="0.25">
      <c r="C140" s="361"/>
      <c r="D140" s="361"/>
      <c r="E140" s="255"/>
      <c r="F140" s="255"/>
      <c r="G140" s="363"/>
    </row>
    <row r="141" spans="1:24" ht="15" x14ac:dyDescent="0.25">
      <c r="C141" s="361"/>
      <c r="D141" s="361"/>
      <c r="E141" s="255"/>
      <c r="F141" s="255"/>
      <c r="G141" s="363"/>
    </row>
  </sheetData>
  <mergeCells count="254">
    <mergeCell ref="A4:H4"/>
    <mergeCell ref="A5:A6"/>
    <mergeCell ref="B5:B6"/>
    <mergeCell ref="C5:C6"/>
    <mergeCell ref="A7:A8"/>
    <mergeCell ref="C7:C8"/>
    <mergeCell ref="D7:D8"/>
    <mergeCell ref="E7:E8"/>
    <mergeCell ref="F7:F8"/>
    <mergeCell ref="A9:A10"/>
    <mergeCell ref="C9:C10"/>
    <mergeCell ref="D9:D10"/>
    <mergeCell ref="E9:E10"/>
    <mergeCell ref="F9:F10"/>
    <mergeCell ref="A11:A12"/>
    <mergeCell ref="C11:C12"/>
    <mergeCell ref="D11:D12"/>
    <mergeCell ref="E11:E12"/>
    <mergeCell ref="F11:F12"/>
    <mergeCell ref="A13:A14"/>
    <mergeCell ref="C13:C14"/>
    <mergeCell ref="D13:D14"/>
    <mergeCell ref="E13:E14"/>
    <mergeCell ref="F13:F14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F17:F18"/>
    <mergeCell ref="A19:A20"/>
    <mergeCell ref="C19:C20"/>
    <mergeCell ref="D19:D20"/>
    <mergeCell ref="E19:E20"/>
    <mergeCell ref="F19:F20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A25:A26"/>
    <mergeCell ref="C25:C26"/>
    <mergeCell ref="D25:D26"/>
    <mergeCell ref="E25:E26"/>
    <mergeCell ref="F25:F26"/>
    <mergeCell ref="A27:A28"/>
    <mergeCell ref="C27:C28"/>
    <mergeCell ref="D27:D28"/>
    <mergeCell ref="E27:E28"/>
    <mergeCell ref="F27:F28"/>
    <mergeCell ref="A29:A30"/>
    <mergeCell ref="C29:C30"/>
    <mergeCell ref="D29:D30"/>
    <mergeCell ref="E29:E30"/>
    <mergeCell ref="F29:F30"/>
    <mergeCell ref="A31:A32"/>
    <mergeCell ref="C31:C32"/>
    <mergeCell ref="D31:D32"/>
    <mergeCell ref="E31:E32"/>
    <mergeCell ref="F31:F32"/>
    <mergeCell ref="A33:A34"/>
    <mergeCell ref="C33:C34"/>
    <mergeCell ref="D33:D34"/>
    <mergeCell ref="E33:E34"/>
    <mergeCell ref="F33:F34"/>
    <mergeCell ref="A35:A36"/>
    <mergeCell ref="C35:C36"/>
    <mergeCell ref="D35:D36"/>
    <mergeCell ref="E35:E36"/>
    <mergeCell ref="F35:F36"/>
    <mergeCell ref="A37:A38"/>
    <mergeCell ref="C37:C38"/>
    <mergeCell ref="D37:D38"/>
    <mergeCell ref="E37:E38"/>
    <mergeCell ref="F37:F38"/>
    <mergeCell ref="A39:A40"/>
    <mergeCell ref="C39:C40"/>
    <mergeCell ref="D39:D40"/>
    <mergeCell ref="E39:E40"/>
    <mergeCell ref="F39:F40"/>
    <mergeCell ref="A41:A42"/>
    <mergeCell ref="C41:C42"/>
    <mergeCell ref="D41:D42"/>
    <mergeCell ref="E41:E42"/>
    <mergeCell ref="F41:F42"/>
    <mergeCell ref="A43:A44"/>
    <mergeCell ref="C43:C44"/>
    <mergeCell ref="D43:D44"/>
    <mergeCell ref="E43:E44"/>
    <mergeCell ref="F43:F44"/>
    <mergeCell ref="A45:A46"/>
    <mergeCell ref="C45:C46"/>
    <mergeCell ref="D45:D46"/>
    <mergeCell ref="E45:E46"/>
    <mergeCell ref="F45:F46"/>
    <mergeCell ref="A47:A48"/>
    <mergeCell ref="C47:C48"/>
    <mergeCell ref="D47:D48"/>
    <mergeCell ref="E47:E48"/>
    <mergeCell ref="F47:F48"/>
    <mergeCell ref="A49:A50"/>
    <mergeCell ref="C49:C50"/>
    <mergeCell ref="D49:D50"/>
    <mergeCell ref="E49:E50"/>
    <mergeCell ref="F49:F50"/>
    <mergeCell ref="A51:A52"/>
    <mergeCell ref="C51:C52"/>
    <mergeCell ref="D51:D52"/>
    <mergeCell ref="E51:E52"/>
    <mergeCell ref="F51:F52"/>
    <mergeCell ref="A53:A54"/>
    <mergeCell ref="C53:C54"/>
    <mergeCell ref="D53:D54"/>
    <mergeCell ref="E53:E54"/>
    <mergeCell ref="F53:F54"/>
    <mergeCell ref="A55:A56"/>
    <mergeCell ref="C55:C56"/>
    <mergeCell ref="D55:D56"/>
    <mergeCell ref="E55:E56"/>
    <mergeCell ref="F55:F56"/>
    <mergeCell ref="A57:A58"/>
    <mergeCell ref="C57:C58"/>
    <mergeCell ref="D57:D58"/>
    <mergeCell ref="E57:E58"/>
    <mergeCell ref="F57:F58"/>
    <mergeCell ref="A59:A60"/>
    <mergeCell ref="C59:C60"/>
    <mergeCell ref="D59:D60"/>
    <mergeCell ref="E59:E60"/>
    <mergeCell ref="F59:F60"/>
    <mergeCell ref="A61:A62"/>
    <mergeCell ref="C61:C62"/>
    <mergeCell ref="D61:D62"/>
    <mergeCell ref="E61:E62"/>
    <mergeCell ref="F61:F62"/>
    <mergeCell ref="A63:A64"/>
    <mergeCell ref="C63:C64"/>
    <mergeCell ref="D63:D64"/>
    <mergeCell ref="E63:E64"/>
    <mergeCell ref="F63:F64"/>
    <mergeCell ref="A65:A66"/>
    <mergeCell ref="C65:C66"/>
    <mergeCell ref="D65:D66"/>
    <mergeCell ref="E65:E66"/>
    <mergeCell ref="F65:F66"/>
    <mergeCell ref="A67:A68"/>
    <mergeCell ref="C67:C68"/>
    <mergeCell ref="D67:D68"/>
    <mergeCell ref="E67:E68"/>
    <mergeCell ref="F67:F68"/>
    <mergeCell ref="A69:A70"/>
    <mergeCell ref="C69:C70"/>
    <mergeCell ref="D69:D70"/>
    <mergeCell ref="E69:E70"/>
    <mergeCell ref="F69:F70"/>
    <mergeCell ref="A71:A72"/>
    <mergeCell ref="C71:C72"/>
    <mergeCell ref="D71:D72"/>
    <mergeCell ref="E71:E72"/>
    <mergeCell ref="F71:F72"/>
    <mergeCell ref="A73:A74"/>
    <mergeCell ref="C73:C74"/>
    <mergeCell ref="D73:D74"/>
    <mergeCell ref="E73:E74"/>
    <mergeCell ref="F73:F74"/>
    <mergeCell ref="A75:A76"/>
    <mergeCell ref="C75:C76"/>
    <mergeCell ref="D75:D76"/>
    <mergeCell ref="E75:E76"/>
    <mergeCell ref="F75:F76"/>
    <mergeCell ref="A77:A78"/>
    <mergeCell ref="C77:C78"/>
    <mergeCell ref="D77:D78"/>
    <mergeCell ref="E77:E78"/>
    <mergeCell ref="F77:F78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83:A84"/>
    <mergeCell ref="C83:C84"/>
    <mergeCell ref="D83:D84"/>
    <mergeCell ref="E83:E84"/>
    <mergeCell ref="F83:F84"/>
    <mergeCell ref="A85:A86"/>
    <mergeCell ref="C85:C86"/>
    <mergeCell ref="D85:D86"/>
    <mergeCell ref="E85:E86"/>
    <mergeCell ref="F85:F86"/>
    <mergeCell ref="A87:A88"/>
    <mergeCell ref="C87:C88"/>
    <mergeCell ref="D87:D88"/>
    <mergeCell ref="E87:E88"/>
    <mergeCell ref="F87:F88"/>
    <mergeCell ref="B94:F94"/>
    <mergeCell ref="B95:F95"/>
    <mergeCell ref="B96:C96"/>
    <mergeCell ref="B97:C97"/>
    <mergeCell ref="E99:G99"/>
    <mergeCell ref="E100:G100"/>
    <mergeCell ref="A89:A90"/>
    <mergeCell ref="C89:C90"/>
    <mergeCell ref="D89:D90"/>
    <mergeCell ref="E89:E90"/>
    <mergeCell ref="F89:F90"/>
    <mergeCell ref="A91:A92"/>
    <mergeCell ref="C91:C92"/>
    <mergeCell ref="D91:D92"/>
    <mergeCell ref="E91:E92"/>
    <mergeCell ref="F91:F92"/>
    <mergeCell ref="A111:A112"/>
    <mergeCell ref="C111:C112"/>
    <mergeCell ref="E111:E112"/>
    <mergeCell ref="F111:F112"/>
    <mergeCell ref="A113:A114"/>
    <mergeCell ref="C113:C114"/>
    <mergeCell ref="E113:E114"/>
    <mergeCell ref="F113:F114"/>
    <mergeCell ref="E101:G101"/>
    <mergeCell ref="C103:G103"/>
    <mergeCell ref="C104:G104"/>
    <mergeCell ref="A109:A110"/>
    <mergeCell ref="C109:C110"/>
    <mergeCell ref="E109:E110"/>
    <mergeCell ref="F109:F110"/>
    <mergeCell ref="B129:C129"/>
    <mergeCell ref="B130:C130"/>
    <mergeCell ref="B119:F119"/>
    <mergeCell ref="E121:G121"/>
    <mergeCell ref="E122:G122"/>
    <mergeCell ref="B126:F126"/>
    <mergeCell ref="B127:F127"/>
    <mergeCell ref="B128:F128"/>
    <mergeCell ref="A115:A116"/>
    <mergeCell ref="C115:C116"/>
    <mergeCell ref="E115:E116"/>
    <mergeCell ref="F115:F116"/>
    <mergeCell ref="B117:F117"/>
    <mergeCell ref="B118:F118"/>
  </mergeCells>
  <pageMargins left="0.59055118110236227" right="0.39370078740157483" top="0.39370078740157483" bottom="0.39370078740157483" header="0.51181102362204722" footer="0.19685039370078741"/>
  <pageSetup paperSize="9" scale="90" orientation="landscape" r:id="rId1"/>
  <headerFooter alignWithMargins="0">
    <oddFooter>&amp;R&amp;P</oddFooter>
  </headerFooter>
  <rowBreaks count="2" manualBreakCount="2">
    <brk id="42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5"/>
  <sheetViews>
    <sheetView topLeftCell="A28" zoomScale="90" zoomScaleNormal="90" workbookViewId="0">
      <selection activeCell="B35" sqref="B35"/>
    </sheetView>
  </sheetViews>
  <sheetFormatPr defaultRowHeight="12.75" x14ac:dyDescent="0.2"/>
  <cols>
    <col min="1" max="1" width="10" style="376" customWidth="1"/>
    <col min="2" max="2" width="42.5703125" style="34" customWidth="1"/>
    <col min="3" max="3" width="12.5703125" style="376" customWidth="1"/>
    <col min="4" max="4" width="14.140625" style="376" customWidth="1"/>
    <col min="5" max="5" width="12.7109375" style="376" customWidth="1"/>
    <col min="6" max="6" width="9.140625" style="33" customWidth="1"/>
    <col min="7" max="16384" width="9.140625" style="33"/>
  </cols>
  <sheetData>
    <row r="1" spans="1:13" x14ac:dyDescent="0.2">
      <c r="A1" s="375"/>
      <c r="E1" s="379" t="s">
        <v>369</v>
      </c>
    </row>
    <row r="2" spans="1:13" ht="15" x14ac:dyDescent="0.2">
      <c r="E2" s="223" t="s">
        <v>846</v>
      </c>
    </row>
    <row r="3" spans="1:13" ht="15" x14ac:dyDescent="0.2">
      <c r="E3" s="223" t="s">
        <v>848</v>
      </c>
      <c r="J3" s="366"/>
      <c r="K3" s="366"/>
      <c r="L3" s="366"/>
      <c r="M3" s="366"/>
    </row>
    <row r="4" spans="1:13" ht="15" x14ac:dyDescent="0.2">
      <c r="A4" s="375"/>
      <c r="B4" s="36"/>
      <c r="C4" s="375"/>
      <c r="D4" s="375"/>
      <c r="E4" s="223"/>
      <c r="J4" s="366"/>
      <c r="K4" s="366"/>
      <c r="L4" s="366"/>
      <c r="M4" s="366"/>
    </row>
    <row r="5" spans="1:13" ht="55.5" customHeight="1" x14ac:dyDescent="0.2">
      <c r="A5" s="588" t="s">
        <v>794</v>
      </c>
      <c r="B5" s="588"/>
      <c r="C5" s="588"/>
      <c r="D5" s="588"/>
      <c r="E5" s="588"/>
    </row>
    <row r="6" spans="1:13" ht="18.75" x14ac:dyDescent="0.2">
      <c r="A6" s="374"/>
      <c r="B6" s="374"/>
      <c r="C6" s="374"/>
      <c r="D6" s="374"/>
      <c r="E6" s="374"/>
    </row>
    <row r="7" spans="1:13" ht="15.75" x14ac:dyDescent="0.25">
      <c r="A7" s="592" t="s">
        <v>801</v>
      </c>
      <c r="B7" s="592"/>
      <c r="C7" s="592"/>
      <c r="D7" s="592"/>
      <c r="E7" s="592"/>
      <c r="F7" s="35"/>
    </row>
    <row r="8" spans="1:13" s="34" customFormat="1" ht="25.5" x14ac:dyDescent="0.2">
      <c r="A8" s="224" t="s">
        <v>365</v>
      </c>
      <c r="B8" s="589" t="s">
        <v>313</v>
      </c>
      <c r="C8" s="589"/>
      <c r="D8" s="589"/>
      <c r="E8" s="224" t="s">
        <v>795</v>
      </c>
      <c r="F8" s="36"/>
    </row>
    <row r="9" spans="1:13" ht="19.5" customHeight="1" x14ac:dyDescent="0.25">
      <c r="A9" s="393" t="s">
        <v>800</v>
      </c>
      <c r="B9" s="590" t="s">
        <v>303</v>
      </c>
      <c r="C9" s="590"/>
      <c r="D9" s="590"/>
      <c r="E9" s="394">
        <f>537024+1589</f>
        <v>538613</v>
      </c>
      <c r="F9" s="35"/>
    </row>
    <row r="10" spans="1:13" ht="15.75" x14ac:dyDescent="0.25">
      <c r="A10" s="390"/>
      <c r="B10" s="591" t="s">
        <v>366</v>
      </c>
      <c r="C10" s="591"/>
      <c r="D10" s="591"/>
      <c r="E10" s="392">
        <f>SUM(E9:E9)</f>
        <v>538613</v>
      </c>
      <c r="F10" s="35"/>
    </row>
    <row r="11" spans="1:13" ht="15.75" x14ac:dyDescent="0.25">
      <c r="A11" s="377"/>
      <c r="B11" s="371"/>
      <c r="C11" s="380"/>
      <c r="D11" s="380"/>
      <c r="E11" s="381"/>
      <c r="F11" s="35"/>
    </row>
    <row r="12" spans="1:13" s="372" customFormat="1" ht="15.75" x14ac:dyDescent="0.25">
      <c r="A12" s="378"/>
      <c r="B12" s="373"/>
      <c r="C12" s="378"/>
      <c r="D12" s="378"/>
      <c r="E12" s="378"/>
    </row>
    <row r="13" spans="1:13" ht="15.75" x14ac:dyDescent="0.25">
      <c r="A13" s="592" t="s">
        <v>802</v>
      </c>
      <c r="B13" s="592"/>
      <c r="C13" s="592"/>
      <c r="D13" s="592"/>
      <c r="E13" s="592"/>
    </row>
    <row r="14" spans="1:13" s="34" customFormat="1" ht="15" customHeight="1" x14ac:dyDescent="0.2">
      <c r="A14" s="589" t="s">
        <v>803</v>
      </c>
      <c r="B14" s="589" t="s">
        <v>313</v>
      </c>
      <c r="C14" s="589" t="s">
        <v>52</v>
      </c>
      <c r="D14" s="589"/>
      <c r="E14" s="589" t="s">
        <v>797</v>
      </c>
    </row>
    <row r="15" spans="1:13" ht="40.5" x14ac:dyDescent="0.2">
      <c r="A15" s="589"/>
      <c r="B15" s="589"/>
      <c r="C15" s="201" t="s">
        <v>674</v>
      </c>
      <c r="D15" s="37" t="s">
        <v>796</v>
      </c>
      <c r="E15" s="589"/>
    </row>
    <row r="16" spans="1:13" ht="14.25" x14ac:dyDescent="0.2">
      <c r="A16" s="384" t="s">
        <v>29</v>
      </c>
      <c r="B16" s="384" t="s">
        <v>9</v>
      </c>
      <c r="C16" s="389">
        <f>C17</f>
        <v>0</v>
      </c>
      <c r="D16" s="389">
        <f>D17</f>
        <v>513028</v>
      </c>
      <c r="E16" s="386">
        <f>C16+D16</f>
        <v>513028</v>
      </c>
    </row>
    <row r="17" spans="1:5" ht="15" x14ac:dyDescent="0.2">
      <c r="A17" s="149" t="s">
        <v>185</v>
      </c>
      <c r="B17" s="183" t="s">
        <v>187</v>
      </c>
      <c r="C17" s="387">
        <v>0</v>
      </c>
      <c r="D17" s="387">
        <v>513028</v>
      </c>
      <c r="E17" s="388">
        <f t="shared" ref="E17:E27" si="0">C17+D17</f>
        <v>513028</v>
      </c>
    </row>
    <row r="18" spans="1:5" ht="14.25" x14ac:dyDescent="0.2">
      <c r="A18" s="385" t="s">
        <v>34</v>
      </c>
      <c r="B18" s="384" t="s">
        <v>14</v>
      </c>
      <c r="C18" s="389">
        <f>C19+C21</f>
        <v>0</v>
      </c>
      <c r="D18" s="389">
        <f>D19+D21+D20</f>
        <v>13366</v>
      </c>
      <c r="E18" s="386">
        <f>C18+D18</f>
        <v>13366</v>
      </c>
    </row>
    <row r="19" spans="1:5" ht="30" x14ac:dyDescent="0.2">
      <c r="A19" s="151" t="s">
        <v>75</v>
      </c>
      <c r="B19" s="184" t="s">
        <v>393</v>
      </c>
      <c r="C19" s="387">
        <v>0</v>
      </c>
      <c r="D19" s="387">
        <v>125</v>
      </c>
      <c r="E19" s="388">
        <f t="shared" si="0"/>
        <v>125</v>
      </c>
    </row>
    <row r="20" spans="1:5" ht="35.25" customHeight="1" x14ac:dyDescent="0.2">
      <c r="A20" s="151" t="s">
        <v>96</v>
      </c>
      <c r="B20" s="184" t="s">
        <v>845</v>
      </c>
      <c r="C20" s="387">
        <v>0</v>
      </c>
      <c r="D20" s="387">
        <v>1589</v>
      </c>
      <c r="E20" s="388">
        <f t="shared" si="0"/>
        <v>1589</v>
      </c>
    </row>
    <row r="21" spans="1:5" ht="15" x14ac:dyDescent="0.2">
      <c r="A21" s="151" t="s">
        <v>196</v>
      </c>
      <c r="B21" s="184" t="s">
        <v>396</v>
      </c>
      <c r="C21" s="387">
        <v>0</v>
      </c>
      <c r="D21" s="387">
        <v>11652</v>
      </c>
      <c r="E21" s="388">
        <f t="shared" si="0"/>
        <v>11652</v>
      </c>
    </row>
    <row r="22" spans="1:5" ht="14.25" x14ac:dyDescent="0.2">
      <c r="A22" s="385" t="s">
        <v>35</v>
      </c>
      <c r="B22" s="384" t="s">
        <v>15</v>
      </c>
      <c r="C22" s="389">
        <f>C23+C24</f>
        <v>0</v>
      </c>
      <c r="D22" s="389">
        <f>D23+D24</f>
        <v>4656</v>
      </c>
      <c r="E22" s="386">
        <f t="shared" si="0"/>
        <v>4656</v>
      </c>
    </row>
    <row r="23" spans="1:5" ht="30" x14ac:dyDescent="0.2">
      <c r="A23" s="151" t="s">
        <v>265</v>
      </c>
      <c r="B23" s="184" t="s">
        <v>798</v>
      </c>
      <c r="C23" s="387">
        <v>0</v>
      </c>
      <c r="D23" s="387">
        <v>2160</v>
      </c>
      <c r="E23" s="388">
        <f t="shared" si="0"/>
        <v>2160</v>
      </c>
    </row>
    <row r="24" spans="1:5" ht="30" x14ac:dyDescent="0.2">
      <c r="A24" s="151" t="s">
        <v>153</v>
      </c>
      <c r="B24" s="184" t="s">
        <v>406</v>
      </c>
      <c r="C24" s="387">
        <v>0</v>
      </c>
      <c r="D24" s="387">
        <v>2496</v>
      </c>
      <c r="E24" s="388">
        <f t="shared" si="0"/>
        <v>2496</v>
      </c>
    </row>
    <row r="25" spans="1:5" ht="14.25" x14ac:dyDescent="0.2">
      <c r="A25" s="385" t="s">
        <v>36</v>
      </c>
      <c r="B25" s="384" t="s">
        <v>16</v>
      </c>
      <c r="C25" s="389">
        <f>C26+C27</f>
        <v>0</v>
      </c>
      <c r="D25" s="389">
        <f>D26+D27</f>
        <v>7563</v>
      </c>
      <c r="E25" s="386">
        <f t="shared" si="0"/>
        <v>7563</v>
      </c>
    </row>
    <row r="26" spans="1:5" ht="15" x14ac:dyDescent="0.2">
      <c r="A26" s="149" t="s">
        <v>300</v>
      </c>
      <c r="B26" s="184" t="s">
        <v>585</v>
      </c>
      <c r="C26" s="387">
        <v>0</v>
      </c>
      <c r="D26" s="387">
        <v>500</v>
      </c>
      <c r="E26" s="388">
        <f t="shared" si="0"/>
        <v>500</v>
      </c>
    </row>
    <row r="27" spans="1:5" ht="15" x14ac:dyDescent="0.2">
      <c r="A27" s="151" t="s">
        <v>647</v>
      </c>
      <c r="B27" s="184" t="s">
        <v>667</v>
      </c>
      <c r="C27" s="387">
        <v>0</v>
      </c>
      <c r="D27" s="387">
        <v>7063</v>
      </c>
      <c r="E27" s="388">
        <f t="shared" si="0"/>
        <v>7063</v>
      </c>
    </row>
    <row r="28" spans="1:5" s="35" customFormat="1" ht="15.75" x14ac:dyDescent="0.25">
      <c r="A28" s="390"/>
      <c r="B28" s="391" t="s">
        <v>367</v>
      </c>
      <c r="C28" s="392">
        <f>C16+C18+C22+C25</f>
        <v>0</v>
      </c>
      <c r="D28" s="392">
        <f t="shared" ref="D28:E28" si="1">D16+D18+D22+D25</f>
        <v>538613</v>
      </c>
      <c r="E28" s="392">
        <f t="shared" si="1"/>
        <v>538613</v>
      </c>
    </row>
    <row r="29" spans="1:5" x14ac:dyDescent="0.2">
      <c r="A29" s="375"/>
      <c r="B29" s="36"/>
      <c r="C29" s="375"/>
      <c r="D29" s="375"/>
      <c r="E29" s="375"/>
    </row>
    <row r="30" spans="1:5" x14ac:dyDescent="0.2">
      <c r="A30" s="375"/>
      <c r="B30" s="36"/>
      <c r="C30" s="375"/>
      <c r="D30" s="375"/>
      <c r="E30" s="375"/>
    </row>
    <row r="31" spans="1:5" x14ac:dyDescent="0.2">
      <c r="A31" s="375"/>
      <c r="B31" s="36"/>
      <c r="C31" s="375"/>
      <c r="D31" s="375"/>
      <c r="E31" s="375"/>
    </row>
    <row r="32" spans="1:5" ht="15.75" x14ac:dyDescent="0.25">
      <c r="A32" s="587" t="s">
        <v>25</v>
      </c>
      <c r="B32" s="587"/>
      <c r="C32" s="382"/>
      <c r="D32" s="382"/>
      <c r="E32" s="383" t="s">
        <v>81</v>
      </c>
    </row>
    <row r="33" spans="1:5" x14ac:dyDescent="0.2">
      <c r="A33" s="375"/>
      <c r="B33" s="36"/>
      <c r="C33" s="375"/>
      <c r="D33" s="375"/>
      <c r="E33" s="375"/>
    </row>
    <row r="34" spans="1:5" x14ac:dyDescent="0.2">
      <c r="A34" s="375"/>
      <c r="B34" s="36"/>
      <c r="C34" s="375"/>
      <c r="D34" s="375"/>
      <c r="E34" s="375"/>
    </row>
    <row r="35" spans="1:5" ht="15" x14ac:dyDescent="0.25">
      <c r="B35" s="596"/>
    </row>
  </sheetData>
  <mergeCells count="11">
    <mergeCell ref="A32:B32"/>
    <mergeCell ref="A5:E5"/>
    <mergeCell ref="B8:D8"/>
    <mergeCell ref="B9:D9"/>
    <mergeCell ref="B10:D10"/>
    <mergeCell ref="A14:A15"/>
    <mergeCell ref="B14:B15"/>
    <mergeCell ref="C14:D14"/>
    <mergeCell ref="E14:E15"/>
    <mergeCell ref="A13:E13"/>
    <mergeCell ref="A7:E7"/>
  </mergeCells>
  <printOptions horizontalCentered="1"/>
  <pageMargins left="0.78740157480314965" right="0.78740157480314965" top="0.78740157480314965" bottom="0.39370078740157483" header="0.19685039370078741" footer="0.19685039370078741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89"/>
  <sheetViews>
    <sheetView showGridLines="0" topLeftCell="A73" workbookViewId="0">
      <selection activeCell="C89" sqref="C89"/>
    </sheetView>
  </sheetViews>
  <sheetFormatPr defaultRowHeight="12.75" x14ac:dyDescent="0.2"/>
  <cols>
    <col min="1" max="1" width="1.7109375" style="202" customWidth="1"/>
    <col min="2" max="2" width="3.42578125" style="202" customWidth="1"/>
    <col min="3" max="3" width="33.140625" style="202" customWidth="1"/>
    <col min="4" max="4" width="16.5703125" style="202" customWidth="1"/>
    <col min="5" max="5" width="15.42578125" style="202" customWidth="1"/>
    <col min="6" max="6" width="3" style="202" customWidth="1"/>
    <col min="7" max="7" width="2.28515625" style="202" customWidth="1"/>
    <col min="8" max="8" width="15.42578125" style="202" customWidth="1"/>
    <col min="9" max="16384" width="9.140625" style="202"/>
  </cols>
  <sheetData>
    <row r="1" spans="1:8" ht="15" x14ac:dyDescent="0.25">
      <c r="A1" s="9"/>
    </row>
    <row r="2" spans="1:8" ht="15.75" x14ac:dyDescent="0.2">
      <c r="H2" s="396" t="s">
        <v>453</v>
      </c>
    </row>
    <row r="3" spans="1:8" ht="15.75" customHeight="1" x14ac:dyDescent="0.2">
      <c r="D3" s="479" t="s">
        <v>849</v>
      </c>
      <c r="E3" s="480"/>
      <c r="F3" s="480"/>
      <c r="G3" s="480"/>
      <c r="H3" s="480"/>
    </row>
    <row r="4" spans="1:8" ht="15.75" customHeight="1" x14ac:dyDescent="0.2">
      <c r="E4" s="479" t="s">
        <v>847</v>
      </c>
      <c r="F4" s="480"/>
      <c r="G4" s="480"/>
      <c r="H4" s="480"/>
    </row>
    <row r="6" spans="1:8" ht="47.25" customHeight="1" x14ac:dyDescent="0.2">
      <c r="B6" s="481" t="s">
        <v>841</v>
      </c>
      <c r="C6" s="482"/>
      <c r="D6" s="482"/>
      <c r="E6" s="482"/>
      <c r="F6" s="482"/>
      <c r="G6" s="482"/>
      <c r="H6" s="482"/>
    </row>
    <row r="7" spans="1:8" s="206" customFormat="1" ht="24" customHeight="1" x14ac:dyDescent="0.2">
      <c r="A7" s="483" t="s">
        <v>313</v>
      </c>
      <c r="B7" s="484"/>
      <c r="C7" s="484"/>
      <c r="D7" s="484"/>
      <c r="E7" s="484"/>
      <c r="F7" s="484"/>
      <c r="G7" s="483" t="s">
        <v>813</v>
      </c>
      <c r="H7" s="484"/>
    </row>
    <row r="8" spans="1:8" ht="15.75" customHeight="1" x14ac:dyDescent="0.2">
      <c r="A8" s="486" t="s">
        <v>451</v>
      </c>
      <c r="B8" s="499"/>
      <c r="C8" s="499"/>
      <c r="D8" s="499"/>
      <c r="E8" s="499"/>
      <c r="F8" s="499"/>
      <c r="G8" s="499"/>
      <c r="H8" s="499"/>
    </row>
    <row r="9" spans="1:8" ht="15" customHeight="1" x14ac:dyDescent="0.2">
      <c r="A9" s="402"/>
      <c r="B9" s="402"/>
      <c r="C9" s="494" t="s">
        <v>314</v>
      </c>
      <c r="D9" s="499"/>
      <c r="E9" s="499"/>
      <c r="F9" s="499"/>
      <c r="G9" s="495">
        <v>513028</v>
      </c>
      <c r="H9" s="500"/>
    </row>
    <row r="10" spans="1:8" ht="15" customHeight="1" x14ac:dyDescent="0.2">
      <c r="A10" s="402"/>
      <c r="B10" s="402"/>
      <c r="C10" s="494" t="s">
        <v>419</v>
      </c>
      <c r="D10" s="499"/>
      <c r="E10" s="499"/>
      <c r="F10" s="499"/>
      <c r="G10" s="495">
        <v>13028</v>
      </c>
      <c r="H10" s="500"/>
    </row>
    <row r="11" spans="1:8" ht="15" customHeight="1" x14ac:dyDescent="0.2">
      <c r="A11" s="402"/>
      <c r="B11" s="402"/>
      <c r="C11" s="494" t="s">
        <v>417</v>
      </c>
      <c r="D11" s="499"/>
      <c r="E11" s="499"/>
      <c r="F11" s="499"/>
      <c r="G11" s="495">
        <v>500000</v>
      </c>
      <c r="H11" s="500"/>
    </row>
    <row r="12" spans="1:8" ht="15" x14ac:dyDescent="0.2">
      <c r="C12" s="397"/>
      <c r="D12" s="398"/>
      <c r="E12" s="398"/>
      <c r="F12" s="398"/>
      <c r="G12" s="399"/>
      <c r="H12" s="395"/>
    </row>
    <row r="13" spans="1:8" ht="15.75" customHeight="1" x14ac:dyDescent="0.2">
      <c r="A13" s="488" t="s">
        <v>315</v>
      </c>
      <c r="B13" s="489"/>
      <c r="C13" s="489"/>
      <c r="D13" s="489"/>
      <c r="E13" s="489"/>
      <c r="F13" s="489"/>
      <c r="G13" s="489"/>
      <c r="H13" s="489"/>
    </row>
    <row r="14" spans="1:8" ht="15" customHeight="1" x14ac:dyDescent="0.2">
      <c r="C14" s="492" t="s">
        <v>314</v>
      </c>
      <c r="D14" s="489"/>
      <c r="E14" s="489"/>
      <c r="F14" s="489"/>
      <c r="G14" s="493">
        <v>513028</v>
      </c>
      <c r="H14" s="480"/>
    </row>
    <row r="15" spans="1:8" ht="15" customHeight="1" x14ac:dyDescent="0.2">
      <c r="C15" s="492" t="s">
        <v>419</v>
      </c>
      <c r="D15" s="489"/>
      <c r="E15" s="489"/>
      <c r="F15" s="489"/>
      <c r="G15" s="493">
        <v>13028</v>
      </c>
      <c r="H15" s="480"/>
    </row>
    <row r="16" spans="1:8" ht="15" customHeight="1" x14ac:dyDescent="0.2">
      <c r="C16" s="490" t="s">
        <v>417</v>
      </c>
      <c r="D16" s="497"/>
      <c r="E16" s="497"/>
      <c r="F16" s="497"/>
      <c r="G16" s="493">
        <v>500000</v>
      </c>
      <c r="H16" s="480"/>
    </row>
    <row r="17" spans="1:8" ht="15" customHeight="1" x14ac:dyDescent="0.2">
      <c r="C17" s="397"/>
      <c r="D17" s="398"/>
      <c r="E17" s="398"/>
      <c r="F17" s="398"/>
      <c r="G17" s="399"/>
      <c r="H17" s="395"/>
    </row>
    <row r="18" spans="1:8" ht="15.75" customHeight="1" x14ac:dyDescent="0.2">
      <c r="A18" s="486" t="s">
        <v>711</v>
      </c>
      <c r="B18" s="499"/>
      <c r="C18" s="499"/>
      <c r="D18" s="499"/>
      <c r="E18" s="499"/>
      <c r="F18" s="499"/>
      <c r="G18" s="499"/>
      <c r="H18" s="499"/>
    </row>
    <row r="19" spans="1:8" ht="15" customHeight="1" x14ac:dyDescent="0.2">
      <c r="A19" s="402"/>
      <c r="B19" s="402"/>
      <c r="C19" s="494" t="s">
        <v>314</v>
      </c>
      <c r="D19" s="499"/>
      <c r="E19" s="499"/>
      <c r="F19" s="499"/>
      <c r="G19" s="495">
        <v>125</v>
      </c>
      <c r="H19" s="500"/>
    </row>
    <row r="20" spans="1:8" ht="15" customHeight="1" x14ac:dyDescent="0.2">
      <c r="A20" s="402"/>
      <c r="B20" s="402"/>
      <c r="C20" s="494" t="s">
        <v>419</v>
      </c>
      <c r="D20" s="499"/>
      <c r="E20" s="499"/>
      <c r="F20" s="499"/>
      <c r="G20" s="495">
        <v>125</v>
      </c>
      <c r="H20" s="500"/>
    </row>
    <row r="21" spans="1:8" ht="15" customHeight="1" x14ac:dyDescent="0.2">
      <c r="C21" s="397"/>
      <c r="D21" s="398"/>
      <c r="E21" s="398"/>
      <c r="F21" s="398"/>
      <c r="G21" s="399"/>
      <c r="H21" s="395"/>
    </row>
    <row r="22" spans="1:8" ht="15.75" customHeight="1" x14ac:dyDescent="0.2">
      <c r="A22" s="488" t="s">
        <v>439</v>
      </c>
      <c r="B22" s="489"/>
      <c r="C22" s="489"/>
      <c r="D22" s="489"/>
      <c r="E22" s="489"/>
      <c r="F22" s="489"/>
      <c r="G22" s="489"/>
      <c r="H22" s="489"/>
    </row>
    <row r="23" spans="1:8" s="203" customFormat="1" ht="15" customHeight="1" x14ac:dyDescent="0.2">
      <c r="C23" s="490" t="s">
        <v>314</v>
      </c>
      <c r="D23" s="497"/>
      <c r="E23" s="497"/>
      <c r="F23" s="497"/>
      <c r="G23" s="491">
        <v>125</v>
      </c>
      <c r="H23" s="498"/>
    </row>
    <row r="24" spans="1:8" ht="15" customHeight="1" x14ac:dyDescent="0.2">
      <c r="C24" s="492" t="s">
        <v>419</v>
      </c>
      <c r="D24" s="489"/>
      <c r="E24" s="489"/>
      <c r="F24" s="489"/>
      <c r="G24" s="493">
        <v>125</v>
      </c>
      <c r="H24" s="480"/>
    </row>
    <row r="25" spans="1:8" ht="15" customHeight="1" x14ac:dyDescent="0.2">
      <c r="C25" s="397"/>
      <c r="D25" s="398"/>
      <c r="E25" s="398"/>
      <c r="F25" s="398"/>
      <c r="G25" s="399"/>
      <c r="H25" s="395"/>
    </row>
    <row r="26" spans="1:8" ht="15" customHeight="1" x14ac:dyDescent="0.2">
      <c r="A26" s="486" t="s">
        <v>714</v>
      </c>
      <c r="B26" s="499"/>
      <c r="C26" s="499"/>
      <c r="D26" s="499"/>
      <c r="E26" s="499"/>
      <c r="F26" s="499"/>
      <c r="G26" s="499"/>
      <c r="H26" s="499"/>
    </row>
    <row r="27" spans="1:8" ht="15" customHeight="1" x14ac:dyDescent="0.2">
      <c r="A27" s="402"/>
      <c r="B27" s="402"/>
      <c r="C27" s="494" t="s">
        <v>314</v>
      </c>
      <c r="D27" s="499"/>
      <c r="E27" s="499"/>
      <c r="F27" s="402"/>
      <c r="G27" s="495">
        <v>1589</v>
      </c>
      <c r="H27" s="500"/>
    </row>
    <row r="28" spans="1:8" ht="15" customHeight="1" x14ac:dyDescent="0.2">
      <c r="A28" s="402"/>
      <c r="B28" s="402"/>
      <c r="C28" s="494" t="s">
        <v>419</v>
      </c>
      <c r="D28" s="499"/>
      <c r="E28" s="499"/>
      <c r="F28" s="402"/>
      <c r="G28" s="495">
        <v>1589</v>
      </c>
      <c r="H28" s="500"/>
    </row>
    <row r="29" spans="1:8" ht="15" customHeight="1" x14ac:dyDescent="0.2"/>
    <row r="30" spans="1:8" ht="15" customHeight="1" x14ac:dyDescent="0.2">
      <c r="A30" s="488" t="s">
        <v>437</v>
      </c>
      <c r="B30" s="593"/>
      <c r="C30" s="593"/>
      <c r="D30" s="593"/>
      <c r="E30" s="593"/>
      <c r="F30" s="593"/>
      <c r="G30" s="593"/>
      <c r="H30" s="593"/>
    </row>
    <row r="31" spans="1:8" ht="15" customHeight="1" x14ac:dyDescent="0.2">
      <c r="A31" s="203"/>
      <c r="B31" s="203"/>
      <c r="C31" s="490" t="s">
        <v>314</v>
      </c>
      <c r="D31" s="497"/>
      <c r="E31" s="497"/>
      <c r="F31" s="203"/>
      <c r="G31" s="491">
        <v>1589</v>
      </c>
      <c r="H31" s="498"/>
    </row>
    <row r="32" spans="1:8" ht="15" customHeight="1" x14ac:dyDescent="0.2">
      <c r="C32" s="492" t="s">
        <v>419</v>
      </c>
      <c r="D32" s="593"/>
      <c r="E32" s="593"/>
      <c r="G32" s="493">
        <v>1589</v>
      </c>
      <c r="H32" s="594"/>
    </row>
    <row r="33" spans="1:8" ht="15" customHeight="1" x14ac:dyDescent="0.2"/>
    <row r="34" spans="1:8" ht="15" customHeight="1" x14ac:dyDescent="0.2">
      <c r="C34" s="456"/>
      <c r="D34" s="455"/>
      <c r="E34" s="455"/>
      <c r="F34" s="455"/>
      <c r="G34" s="457"/>
      <c r="H34" s="454"/>
    </row>
    <row r="35" spans="1:8" ht="15.75" customHeight="1" x14ac:dyDescent="0.2">
      <c r="A35" s="486" t="s">
        <v>715</v>
      </c>
      <c r="B35" s="499"/>
      <c r="C35" s="499"/>
      <c r="D35" s="499"/>
      <c r="E35" s="499"/>
      <c r="F35" s="499"/>
      <c r="G35" s="499"/>
      <c r="H35" s="499"/>
    </row>
    <row r="36" spans="1:8" ht="15" customHeight="1" x14ac:dyDescent="0.2">
      <c r="A36" s="402"/>
      <c r="B36" s="402"/>
      <c r="C36" s="494" t="s">
        <v>314</v>
      </c>
      <c r="D36" s="499"/>
      <c r="E36" s="499"/>
      <c r="F36" s="499"/>
      <c r="G36" s="495">
        <v>11652</v>
      </c>
      <c r="H36" s="500"/>
    </row>
    <row r="37" spans="1:8" ht="15" customHeight="1" x14ac:dyDescent="0.2">
      <c r="A37" s="402"/>
      <c r="B37" s="402"/>
      <c r="C37" s="494" t="s">
        <v>420</v>
      </c>
      <c r="D37" s="499"/>
      <c r="E37" s="499"/>
      <c r="F37" s="499"/>
      <c r="G37" s="495">
        <v>3142</v>
      </c>
      <c r="H37" s="500"/>
    </row>
    <row r="38" spans="1:8" ht="15" customHeight="1" x14ac:dyDescent="0.2">
      <c r="A38" s="402"/>
      <c r="B38" s="402"/>
      <c r="C38" s="494" t="s">
        <v>419</v>
      </c>
      <c r="D38" s="499"/>
      <c r="E38" s="499"/>
      <c r="F38" s="499"/>
      <c r="G38" s="495">
        <v>8010</v>
      </c>
      <c r="H38" s="500"/>
    </row>
    <row r="39" spans="1:8" ht="15" customHeight="1" x14ac:dyDescent="0.2">
      <c r="A39" s="402"/>
      <c r="B39" s="402"/>
      <c r="C39" s="494" t="s">
        <v>417</v>
      </c>
      <c r="D39" s="499"/>
      <c r="E39" s="499"/>
      <c r="F39" s="499"/>
      <c r="G39" s="495">
        <v>500</v>
      </c>
      <c r="H39" s="500"/>
    </row>
    <row r="40" spans="1:8" ht="15" customHeight="1" x14ac:dyDescent="0.2">
      <c r="C40" s="397"/>
      <c r="D40" s="398"/>
      <c r="E40" s="398"/>
      <c r="F40" s="398"/>
      <c r="G40" s="399"/>
      <c r="H40" s="395"/>
    </row>
    <row r="41" spans="1:8" ht="15.75" customHeight="1" x14ac:dyDescent="0.2">
      <c r="A41" s="488" t="s">
        <v>436</v>
      </c>
      <c r="B41" s="489"/>
      <c r="C41" s="489"/>
      <c r="D41" s="489"/>
      <c r="E41" s="489"/>
      <c r="F41" s="489"/>
      <c r="G41" s="489"/>
      <c r="H41" s="489"/>
    </row>
    <row r="42" spans="1:8" s="203" customFormat="1" ht="15" customHeight="1" x14ac:dyDescent="0.2">
      <c r="C42" s="490" t="s">
        <v>314</v>
      </c>
      <c r="D42" s="497"/>
      <c r="E42" s="497"/>
      <c r="F42" s="497"/>
      <c r="G42" s="491">
        <v>11652</v>
      </c>
      <c r="H42" s="498"/>
    </row>
    <row r="43" spans="1:8" ht="15" customHeight="1" x14ac:dyDescent="0.2">
      <c r="C43" s="492" t="s">
        <v>420</v>
      </c>
      <c r="D43" s="489"/>
      <c r="E43" s="489"/>
      <c r="F43" s="489"/>
      <c r="G43" s="493">
        <v>3142</v>
      </c>
      <c r="H43" s="480"/>
    </row>
    <row r="44" spans="1:8" ht="15" customHeight="1" x14ac:dyDescent="0.2">
      <c r="C44" s="492" t="s">
        <v>419</v>
      </c>
      <c r="D44" s="489"/>
      <c r="E44" s="489"/>
      <c r="F44" s="489"/>
      <c r="G44" s="493">
        <v>8010</v>
      </c>
      <c r="H44" s="480"/>
    </row>
    <row r="45" spans="1:8" ht="15" customHeight="1" x14ac:dyDescent="0.2">
      <c r="C45" s="492" t="s">
        <v>417</v>
      </c>
      <c r="D45" s="489"/>
      <c r="E45" s="489"/>
      <c r="F45" s="489"/>
      <c r="G45" s="493">
        <v>500</v>
      </c>
      <c r="H45" s="480"/>
    </row>
    <row r="46" spans="1:8" ht="15" customHeight="1" x14ac:dyDescent="0.2">
      <c r="C46" s="397"/>
      <c r="D46" s="398"/>
      <c r="E46" s="398"/>
      <c r="F46" s="398"/>
      <c r="G46" s="399"/>
      <c r="H46" s="395"/>
    </row>
    <row r="47" spans="1:8" ht="31.5" customHeight="1" x14ac:dyDescent="0.2">
      <c r="A47" s="486" t="s">
        <v>815</v>
      </c>
      <c r="B47" s="499"/>
      <c r="C47" s="499"/>
      <c r="D47" s="499"/>
      <c r="E47" s="499"/>
      <c r="F47" s="499"/>
      <c r="G47" s="499"/>
      <c r="H47" s="499"/>
    </row>
    <row r="48" spans="1:8" ht="15" customHeight="1" x14ac:dyDescent="0.2">
      <c r="A48" s="402"/>
      <c r="B48" s="402"/>
      <c r="C48" s="494" t="s">
        <v>314</v>
      </c>
      <c r="D48" s="499"/>
      <c r="E48" s="499"/>
      <c r="F48" s="499"/>
      <c r="G48" s="495">
        <v>4656</v>
      </c>
      <c r="H48" s="500"/>
    </row>
    <row r="49" spans="1:8" ht="15" customHeight="1" x14ac:dyDescent="0.2">
      <c r="A49" s="402"/>
      <c r="B49" s="402"/>
      <c r="C49" s="494" t="s">
        <v>419</v>
      </c>
      <c r="D49" s="499"/>
      <c r="E49" s="499"/>
      <c r="F49" s="499"/>
      <c r="G49" s="495">
        <v>2256</v>
      </c>
      <c r="H49" s="500"/>
    </row>
    <row r="50" spans="1:8" ht="15" customHeight="1" x14ac:dyDescent="0.2">
      <c r="A50" s="402"/>
      <c r="B50" s="402"/>
      <c r="C50" s="494" t="s">
        <v>416</v>
      </c>
      <c r="D50" s="499"/>
      <c r="E50" s="499"/>
      <c r="F50" s="499"/>
      <c r="G50" s="495">
        <v>2400</v>
      </c>
      <c r="H50" s="500"/>
    </row>
    <row r="51" spans="1:8" ht="15" customHeight="1" x14ac:dyDescent="0.2">
      <c r="A51" s="402"/>
      <c r="B51" s="402"/>
      <c r="C51" s="403"/>
      <c r="D51" s="404"/>
      <c r="E51" s="404"/>
      <c r="F51" s="404"/>
      <c r="G51" s="405"/>
      <c r="H51" s="406"/>
    </row>
    <row r="52" spans="1:8" ht="31.5" customHeight="1" x14ac:dyDescent="0.2">
      <c r="A52" s="488" t="s">
        <v>810</v>
      </c>
      <c r="B52" s="489"/>
      <c r="C52" s="489"/>
      <c r="D52" s="489"/>
      <c r="E52" s="489"/>
      <c r="F52" s="489"/>
      <c r="G52" s="489"/>
      <c r="H52" s="489"/>
    </row>
    <row r="53" spans="1:8" s="203" customFormat="1" ht="15" customHeight="1" x14ac:dyDescent="0.2">
      <c r="C53" s="490" t="s">
        <v>314</v>
      </c>
      <c r="D53" s="497"/>
      <c r="E53" s="497"/>
      <c r="F53" s="497"/>
      <c r="G53" s="491">
        <v>2160</v>
      </c>
      <c r="H53" s="498"/>
    </row>
    <row r="54" spans="1:8" ht="15" customHeight="1" x14ac:dyDescent="0.2">
      <c r="C54" s="492" t="s">
        <v>419</v>
      </c>
      <c r="D54" s="489"/>
      <c r="E54" s="489"/>
      <c r="F54" s="489"/>
      <c r="G54" s="493">
        <v>2160</v>
      </c>
      <c r="H54" s="480"/>
    </row>
    <row r="55" spans="1:8" ht="9.75" customHeight="1" x14ac:dyDescent="0.2">
      <c r="C55" s="397"/>
      <c r="D55" s="398"/>
      <c r="E55" s="398"/>
      <c r="F55" s="398"/>
      <c r="G55" s="399"/>
      <c r="H55" s="395"/>
    </row>
    <row r="56" spans="1:8" ht="15.75" customHeight="1" x14ac:dyDescent="0.2">
      <c r="A56" s="488" t="s">
        <v>433</v>
      </c>
      <c r="B56" s="489"/>
      <c r="C56" s="489"/>
      <c r="D56" s="489"/>
      <c r="E56" s="489"/>
      <c r="F56" s="489"/>
      <c r="G56" s="489"/>
      <c r="H56" s="489"/>
    </row>
    <row r="57" spans="1:8" s="203" customFormat="1" ht="15" customHeight="1" x14ac:dyDescent="0.2">
      <c r="C57" s="490" t="s">
        <v>314</v>
      </c>
      <c r="D57" s="497"/>
      <c r="E57" s="497"/>
      <c r="F57" s="497"/>
      <c r="G57" s="491">
        <v>2496</v>
      </c>
      <c r="H57" s="498"/>
    </row>
    <row r="58" spans="1:8" ht="15" customHeight="1" x14ac:dyDescent="0.2">
      <c r="C58" s="492" t="s">
        <v>419</v>
      </c>
      <c r="D58" s="489"/>
      <c r="E58" s="489"/>
      <c r="F58" s="489"/>
      <c r="G58" s="493">
        <v>96</v>
      </c>
      <c r="H58" s="480"/>
    </row>
    <row r="59" spans="1:8" ht="15" customHeight="1" x14ac:dyDescent="0.2">
      <c r="C59" s="492" t="s">
        <v>416</v>
      </c>
      <c r="D59" s="489"/>
      <c r="E59" s="489"/>
      <c r="F59" s="489"/>
      <c r="G59" s="493">
        <v>2400</v>
      </c>
      <c r="H59" s="480"/>
    </row>
    <row r="60" spans="1:8" ht="15" customHeight="1" x14ac:dyDescent="0.2">
      <c r="C60" s="397"/>
      <c r="D60" s="398"/>
      <c r="E60" s="398"/>
      <c r="F60" s="398"/>
      <c r="G60" s="399"/>
      <c r="H60" s="395"/>
    </row>
    <row r="61" spans="1:8" ht="31.5" customHeight="1" x14ac:dyDescent="0.2">
      <c r="A61" s="486" t="s">
        <v>817</v>
      </c>
      <c r="B61" s="499"/>
      <c r="C61" s="499"/>
      <c r="D61" s="499"/>
      <c r="E61" s="499"/>
      <c r="F61" s="499"/>
      <c r="G61" s="499"/>
      <c r="H61" s="499"/>
    </row>
    <row r="62" spans="1:8" ht="15" customHeight="1" x14ac:dyDescent="0.2">
      <c r="A62" s="402"/>
      <c r="B62" s="402"/>
      <c r="C62" s="494" t="s">
        <v>314</v>
      </c>
      <c r="D62" s="499"/>
      <c r="E62" s="499"/>
      <c r="F62" s="499"/>
      <c r="G62" s="495">
        <v>7563</v>
      </c>
      <c r="H62" s="500"/>
    </row>
    <row r="63" spans="1:8" ht="15" customHeight="1" x14ac:dyDescent="0.2">
      <c r="A63" s="402"/>
      <c r="B63" s="402"/>
      <c r="C63" s="494" t="s">
        <v>419</v>
      </c>
      <c r="D63" s="499"/>
      <c r="E63" s="499"/>
      <c r="F63" s="499"/>
      <c r="G63" s="495">
        <v>7563</v>
      </c>
      <c r="H63" s="500"/>
    </row>
    <row r="64" spans="1:8" ht="15" customHeight="1" x14ac:dyDescent="0.2">
      <c r="C64" s="397"/>
      <c r="D64" s="398"/>
      <c r="E64" s="398"/>
      <c r="F64" s="398"/>
      <c r="G64" s="399"/>
      <c r="H64" s="395"/>
    </row>
    <row r="65" spans="1:8" ht="15.75" customHeight="1" x14ac:dyDescent="0.2">
      <c r="A65" s="488" t="s">
        <v>717</v>
      </c>
      <c r="B65" s="489"/>
      <c r="C65" s="489"/>
      <c r="D65" s="489"/>
      <c r="E65" s="489"/>
      <c r="F65" s="489"/>
      <c r="G65" s="489"/>
      <c r="H65" s="489"/>
    </row>
    <row r="66" spans="1:8" s="203" customFormat="1" ht="15" customHeight="1" x14ac:dyDescent="0.2">
      <c r="C66" s="490" t="s">
        <v>314</v>
      </c>
      <c r="D66" s="497"/>
      <c r="E66" s="497"/>
      <c r="F66" s="497"/>
      <c r="G66" s="491">
        <v>500</v>
      </c>
      <c r="H66" s="498"/>
    </row>
    <row r="67" spans="1:8" ht="15" customHeight="1" x14ac:dyDescent="0.2">
      <c r="C67" s="492" t="s">
        <v>419</v>
      </c>
      <c r="D67" s="489"/>
      <c r="E67" s="489"/>
      <c r="F67" s="489"/>
      <c r="G67" s="493">
        <v>500</v>
      </c>
      <c r="H67" s="480"/>
    </row>
    <row r="68" spans="1:8" ht="15" customHeight="1" x14ac:dyDescent="0.2">
      <c r="C68" s="397"/>
      <c r="D68" s="398"/>
      <c r="E68" s="398"/>
      <c r="F68" s="398"/>
      <c r="G68" s="399"/>
      <c r="H68" s="395"/>
    </row>
    <row r="69" spans="1:8" ht="15.75" customHeight="1" x14ac:dyDescent="0.2">
      <c r="A69" s="488" t="s">
        <v>718</v>
      </c>
      <c r="B69" s="489"/>
      <c r="C69" s="489"/>
      <c r="D69" s="489"/>
      <c r="E69" s="489"/>
      <c r="F69" s="489"/>
      <c r="G69" s="489"/>
      <c r="H69" s="489"/>
    </row>
    <row r="70" spans="1:8" s="203" customFormat="1" ht="15" customHeight="1" x14ac:dyDescent="0.2">
      <c r="C70" s="490" t="s">
        <v>314</v>
      </c>
      <c r="D70" s="497"/>
      <c r="E70" s="497"/>
      <c r="F70" s="497"/>
      <c r="G70" s="491">
        <v>7063</v>
      </c>
      <c r="H70" s="498"/>
    </row>
    <row r="71" spans="1:8" ht="15" customHeight="1" x14ac:dyDescent="0.2">
      <c r="C71" s="492" t="s">
        <v>419</v>
      </c>
      <c r="D71" s="489"/>
      <c r="E71" s="489"/>
      <c r="F71" s="489"/>
      <c r="G71" s="493">
        <v>7063</v>
      </c>
      <c r="H71" s="480"/>
    </row>
    <row r="72" spans="1:8" ht="15" customHeight="1" x14ac:dyDescent="0.2">
      <c r="C72" s="397"/>
      <c r="D72" s="398"/>
      <c r="E72" s="398"/>
      <c r="F72" s="398"/>
      <c r="G72" s="399"/>
      <c r="H72" s="395"/>
    </row>
    <row r="73" spans="1:8" ht="15.75" customHeight="1" x14ac:dyDescent="0.2">
      <c r="A73" s="488" t="s">
        <v>312</v>
      </c>
      <c r="B73" s="489"/>
      <c r="C73" s="489"/>
      <c r="D73" s="489"/>
      <c r="E73" s="489"/>
      <c r="F73" s="489"/>
      <c r="G73" s="489"/>
      <c r="H73" s="489"/>
    </row>
    <row r="74" spans="1:8" s="203" customFormat="1" ht="15" customHeight="1" x14ac:dyDescent="0.2">
      <c r="C74" s="490" t="s">
        <v>314</v>
      </c>
      <c r="D74" s="497"/>
      <c r="E74" s="497"/>
      <c r="F74" s="497"/>
      <c r="G74" s="491">
        <v>538613</v>
      </c>
      <c r="H74" s="498"/>
    </row>
    <row r="75" spans="1:8" s="203" customFormat="1" ht="15" customHeight="1" x14ac:dyDescent="0.2">
      <c r="C75" s="490" t="s">
        <v>420</v>
      </c>
      <c r="D75" s="497"/>
      <c r="E75" s="497"/>
      <c r="F75" s="497"/>
      <c r="G75" s="491">
        <v>3142</v>
      </c>
      <c r="H75" s="498"/>
    </row>
    <row r="76" spans="1:8" s="203" customFormat="1" ht="15" customHeight="1" x14ac:dyDescent="0.2">
      <c r="C76" s="490" t="s">
        <v>419</v>
      </c>
      <c r="D76" s="497"/>
      <c r="E76" s="497"/>
      <c r="F76" s="497"/>
      <c r="G76" s="491">
        <v>32571</v>
      </c>
      <c r="H76" s="498"/>
    </row>
    <row r="77" spans="1:8" s="203" customFormat="1" ht="15" customHeight="1" x14ac:dyDescent="0.2">
      <c r="C77" s="490" t="s">
        <v>417</v>
      </c>
      <c r="D77" s="497"/>
      <c r="E77" s="497"/>
      <c r="F77" s="497"/>
      <c r="G77" s="491">
        <v>500500</v>
      </c>
      <c r="H77" s="498"/>
    </row>
    <row r="78" spans="1:8" s="203" customFormat="1" ht="15" customHeight="1" x14ac:dyDescent="0.2">
      <c r="C78" s="490" t="s">
        <v>416</v>
      </c>
      <c r="D78" s="497"/>
      <c r="E78" s="497"/>
      <c r="F78" s="497"/>
      <c r="G78" s="491">
        <v>2400</v>
      </c>
      <c r="H78" s="498"/>
    </row>
    <row r="79" spans="1:8" ht="12.75" customHeight="1" x14ac:dyDescent="0.2">
      <c r="F79" s="502"/>
      <c r="G79" s="480"/>
      <c r="H79" s="480"/>
    </row>
    <row r="83" spans="3:8" ht="15.75" x14ac:dyDescent="0.25">
      <c r="C83" s="135" t="s">
        <v>25</v>
      </c>
      <c r="D83" s="135"/>
      <c r="E83" s="204"/>
      <c r="F83" s="204"/>
      <c r="G83" s="205" t="s">
        <v>26</v>
      </c>
      <c r="H83" s="204"/>
    </row>
    <row r="89" spans="3:8" ht="15" x14ac:dyDescent="0.25">
      <c r="C89" s="596"/>
    </row>
  </sheetData>
  <mergeCells count="103">
    <mergeCell ref="A52:H52"/>
    <mergeCell ref="C71:F71"/>
    <mergeCell ref="F79:H79"/>
    <mergeCell ref="C76:F76"/>
    <mergeCell ref="G76:H76"/>
    <mergeCell ref="C77:F77"/>
    <mergeCell ref="G77:H77"/>
    <mergeCell ref="C78:F78"/>
    <mergeCell ref="G78:H78"/>
    <mergeCell ref="C75:F75"/>
    <mergeCell ref="G75:H75"/>
    <mergeCell ref="G71:H71"/>
    <mergeCell ref="A73:H73"/>
    <mergeCell ref="C74:F74"/>
    <mergeCell ref="G74:H74"/>
    <mergeCell ref="C66:F66"/>
    <mergeCell ref="G66:H66"/>
    <mergeCell ref="C67:F67"/>
    <mergeCell ref="G67:H67"/>
    <mergeCell ref="A69:H69"/>
    <mergeCell ref="C70:F70"/>
    <mergeCell ref="G70:H70"/>
    <mergeCell ref="C54:F54"/>
    <mergeCell ref="G54:H54"/>
    <mergeCell ref="A65:H65"/>
    <mergeCell ref="A56:H56"/>
    <mergeCell ref="C57:F57"/>
    <mergeCell ref="G57:H57"/>
    <mergeCell ref="C58:F58"/>
    <mergeCell ref="G58:H58"/>
    <mergeCell ref="C59:F59"/>
    <mergeCell ref="G59:H59"/>
    <mergeCell ref="A61:H61"/>
    <mergeCell ref="C62:F62"/>
    <mergeCell ref="G62:H62"/>
    <mergeCell ref="C63:F63"/>
    <mergeCell ref="G63:H63"/>
    <mergeCell ref="C53:F53"/>
    <mergeCell ref="G53:H53"/>
    <mergeCell ref="C44:F44"/>
    <mergeCell ref="G44:H44"/>
    <mergeCell ref="C37:F37"/>
    <mergeCell ref="G37:H37"/>
    <mergeCell ref="C38:F38"/>
    <mergeCell ref="G38:H38"/>
    <mergeCell ref="C39:F39"/>
    <mergeCell ref="G39:H39"/>
    <mergeCell ref="A41:H41"/>
    <mergeCell ref="C42:F42"/>
    <mergeCell ref="G42:H42"/>
    <mergeCell ref="C43:F43"/>
    <mergeCell ref="G43:H43"/>
    <mergeCell ref="C45:F45"/>
    <mergeCell ref="G45:H45"/>
    <mergeCell ref="A47:H47"/>
    <mergeCell ref="C48:F48"/>
    <mergeCell ref="G48:H48"/>
    <mergeCell ref="C49:F49"/>
    <mergeCell ref="G49:H49"/>
    <mergeCell ref="C50:F50"/>
    <mergeCell ref="G50:H50"/>
    <mergeCell ref="C36:F36"/>
    <mergeCell ref="G36:H36"/>
    <mergeCell ref="A18:H18"/>
    <mergeCell ref="C19:F19"/>
    <mergeCell ref="G19:H19"/>
    <mergeCell ref="C20:F20"/>
    <mergeCell ref="G20:H20"/>
    <mergeCell ref="A22:H22"/>
    <mergeCell ref="C23:F23"/>
    <mergeCell ref="G23:H23"/>
    <mergeCell ref="C24:F24"/>
    <mergeCell ref="G24:H24"/>
    <mergeCell ref="A35:H35"/>
    <mergeCell ref="A26:H26"/>
    <mergeCell ref="C27:E27"/>
    <mergeCell ref="G27:H27"/>
    <mergeCell ref="C32:E32"/>
    <mergeCell ref="G32:H32"/>
    <mergeCell ref="A30:H30"/>
    <mergeCell ref="C31:E31"/>
    <mergeCell ref="G31:H31"/>
    <mergeCell ref="C28:E28"/>
    <mergeCell ref="G28:H28"/>
    <mergeCell ref="A8:H8"/>
    <mergeCell ref="D3:H3"/>
    <mergeCell ref="E4:H4"/>
    <mergeCell ref="B6:H6"/>
    <mergeCell ref="A7:F7"/>
    <mergeCell ref="G7:H7"/>
    <mergeCell ref="C16:F16"/>
    <mergeCell ref="G16:H16"/>
    <mergeCell ref="C9:F9"/>
    <mergeCell ref="G9:H9"/>
    <mergeCell ref="C10:F10"/>
    <mergeCell ref="G10:H10"/>
    <mergeCell ref="C11:F11"/>
    <mergeCell ref="G11:H11"/>
    <mergeCell ref="A13:H13"/>
    <mergeCell ref="C14:F14"/>
    <mergeCell ref="G14:H14"/>
    <mergeCell ref="C15:F15"/>
    <mergeCell ref="G15:H15"/>
  </mergeCells>
  <pageMargins left="0.98425196850393704" right="0.98425196850393704" top="0.39370078740157483" bottom="0.39370078740157483" header="0.19685039370078741" footer="0.19685039370078741"/>
  <pageSetup paperSize="9" scale="89" fitToHeight="0" pageOrder="overThenDown"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90" zoomScaleNormal="90" workbookViewId="0">
      <selection activeCell="C30" sqref="C30"/>
    </sheetView>
  </sheetViews>
  <sheetFormatPr defaultRowHeight="12.75" x14ac:dyDescent="0.2"/>
  <cols>
    <col min="1" max="1" width="7.28515625" style="136" customWidth="1"/>
    <col min="2" max="2" width="35.28515625" style="136" customWidth="1"/>
    <col min="3" max="3" width="13.42578125" style="136" customWidth="1"/>
    <col min="4" max="4" width="14" style="136" customWidth="1"/>
    <col min="5" max="5" width="14.42578125" style="136" customWidth="1"/>
    <col min="6" max="16384" width="9.140625" style="136"/>
  </cols>
  <sheetData>
    <row r="1" spans="1:6" ht="15.75" x14ac:dyDescent="0.25">
      <c r="A1" s="135"/>
      <c r="B1" s="135"/>
      <c r="E1" s="428" t="s">
        <v>824</v>
      </c>
    </row>
    <row r="2" spans="1:6" ht="15.75" x14ac:dyDescent="0.25">
      <c r="A2" s="135"/>
      <c r="B2" s="135"/>
      <c r="E2" s="429" t="s">
        <v>846</v>
      </c>
    </row>
    <row r="3" spans="1:6" ht="15.75" x14ac:dyDescent="0.25">
      <c r="A3" s="135"/>
      <c r="B3" s="135"/>
      <c r="D3" s="202"/>
      <c r="E3" s="429" t="s">
        <v>847</v>
      </c>
    </row>
    <row r="5" spans="1:6" ht="34.5" customHeight="1" x14ac:dyDescent="0.2">
      <c r="A5" s="595" t="s">
        <v>842</v>
      </c>
      <c r="B5" s="595"/>
      <c r="C5" s="595"/>
      <c r="D5" s="595"/>
      <c r="E5" s="595"/>
      <c r="F5" s="430"/>
    </row>
    <row r="6" spans="1:6" ht="15" x14ac:dyDescent="0.25">
      <c r="A6" s="431"/>
      <c r="B6" s="431"/>
      <c r="C6" s="431"/>
      <c r="D6" s="431"/>
      <c r="E6" s="432" t="s">
        <v>279</v>
      </c>
      <c r="F6" s="431"/>
    </row>
    <row r="7" spans="1:6" ht="15.75" x14ac:dyDescent="0.25">
      <c r="A7" s="438" t="s">
        <v>825</v>
      </c>
      <c r="B7" s="439"/>
      <c r="C7" s="440" t="s">
        <v>826</v>
      </c>
      <c r="D7" s="440" t="s">
        <v>827</v>
      </c>
      <c r="E7" s="440" t="s">
        <v>840</v>
      </c>
      <c r="F7" s="431"/>
    </row>
    <row r="8" spans="1:6" ht="15.75" x14ac:dyDescent="0.25">
      <c r="A8" s="433" t="s">
        <v>828</v>
      </c>
      <c r="B8" s="441" t="s">
        <v>52</v>
      </c>
      <c r="C8" s="442">
        <f>SUM(C9)</f>
        <v>1369537</v>
      </c>
      <c r="D8" s="442">
        <f>SUM(D9)</f>
        <v>1451000</v>
      </c>
      <c r="E8" s="442">
        <f>SUM(E9)</f>
        <v>1538000</v>
      </c>
      <c r="F8" s="434"/>
    </row>
    <row r="9" spans="1:6" ht="31.5" x14ac:dyDescent="0.25">
      <c r="A9" s="443"/>
      <c r="B9" s="444" t="s">
        <v>829</v>
      </c>
      <c r="C9" s="445">
        <v>1369537</v>
      </c>
      <c r="D9" s="446">
        <v>1451000</v>
      </c>
      <c r="E9" s="446">
        <v>1538000</v>
      </c>
      <c r="F9" s="431"/>
    </row>
    <row r="10" spans="1:6" ht="15.75" x14ac:dyDescent="0.25">
      <c r="A10" s="447" t="s">
        <v>830</v>
      </c>
      <c r="B10" s="441" t="s">
        <v>831</v>
      </c>
      <c r="C10" s="448">
        <f>SUM(C11:C15)</f>
        <v>1440568</v>
      </c>
      <c r="D10" s="448">
        <f>SUM(D11:D15)</f>
        <v>1451000</v>
      </c>
      <c r="E10" s="448">
        <f>SUM(E11:E15)</f>
        <v>1538000</v>
      </c>
      <c r="F10" s="434"/>
    </row>
    <row r="11" spans="1:6" ht="15.75" x14ac:dyDescent="0.25">
      <c r="A11" s="449">
        <v>1</v>
      </c>
      <c r="B11" s="444" t="s">
        <v>832</v>
      </c>
      <c r="C11" s="450">
        <v>267000</v>
      </c>
      <c r="D11" s="451">
        <v>200000</v>
      </c>
      <c r="E11" s="451">
        <v>229000</v>
      </c>
      <c r="F11" s="431"/>
    </row>
    <row r="12" spans="1:6" ht="15.75" x14ac:dyDescent="0.25">
      <c r="A12" s="449">
        <v>2</v>
      </c>
      <c r="B12" s="444" t="s">
        <v>833</v>
      </c>
      <c r="C12" s="450">
        <v>129325</v>
      </c>
      <c r="D12" s="451">
        <v>139000</v>
      </c>
      <c r="E12" s="451">
        <v>167000</v>
      </c>
      <c r="F12" s="431"/>
    </row>
    <row r="13" spans="1:6" ht="31.5" x14ac:dyDescent="0.25">
      <c r="A13" s="449">
        <v>2</v>
      </c>
      <c r="B13" s="444" t="s">
        <v>834</v>
      </c>
      <c r="C13" s="450">
        <v>5000</v>
      </c>
      <c r="D13" s="446">
        <v>45000</v>
      </c>
      <c r="E13" s="446">
        <v>75000</v>
      </c>
      <c r="F13" s="431"/>
    </row>
    <row r="14" spans="1:6" ht="15.75" x14ac:dyDescent="0.25">
      <c r="A14" s="449">
        <v>3</v>
      </c>
      <c r="B14" s="444" t="s">
        <v>835</v>
      </c>
      <c r="C14" s="450">
        <v>972880</v>
      </c>
      <c r="D14" s="451">
        <v>1000000</v>
      </c>
      <c r="E14" s="451">
        <v>1000000</v>
      </c>
      <c r="F14" s="431"/>
    </row>
    <row r="15" spans="1:6" ht="15.75" x14ac:dyDescent="0.25">
      <c r="A15" s="449">
        <v>4</v>
      </c>
      <c r="B15" s="444" t="s">
        <v>836</v>
      </c>
      <c r="C15" s="450">
        <v>66363</v>
      </c>
      <c r="D15" s="451">
        <v>67000</v>
      </c>
      <c r="E15" s="451">
        <v>67000</v>
      </c>
      <c r="F15" s="431"/>
    </row>
    <row r="16" spans="1:6" ht="15.75" x14ac:dyDescent="0.25">
      <c r="A16" s="447" t="s">
        <v>837</v>
      </c>
      <c r="B16" s="441" t="s">
        <v>838</v>
      </c>
      <c r="C16" s="442">
        <f>SUM(C17)</f>
        <v>71031</v>
      </c>
      <c r="D16" s="442">
        <f>SUM(D17)</f>
        <v>0</v>
      </c>
      <c r="E16" s="442">
        <f>SUM(E17)</f>
        <v>0</v>
      </c>
      <c r="F16" s="434"/>
    </row>
    <row r="17" spans="1:6" ht="15.75" x14ac:dyDescent="0.25">
      <c r="A17" s="443"/>
      <c r="B17" s="452" t="s">
        <v>839</v>
      </c>
      <c r="C17" s="453">
        <v>71031</v>
      </c>
      <c r="D17" s="453">
        <v>0</v>
      </c>
      <c r="E17" s="453">
        <v>0</v>
      </c>
      <c r="F17" s="431"/>
    </row>
    <row r="19" spans="1:6" x14ac:dyDescent="0.2">
      <c r="C19" s="437"/>
    </row>
    <row r="20" spans="1:6" ht="15.75" x14ac:dyDescent="0.25">
      <c r="A20" s="435" t="s">
        <v>25</v>
      </c>
      <c r="B20" s="435"/>
      <c r="C20" s="435"/>
      <c r="D20" s="435"/>
      <c r="E20" s="436" t="s">
        <v>26</v>
      </c>
    </row>
    <row r="21" spans="1:6" x14ac:dyDescent="0.2">
      <c r="C21" s="437"/>
    </row>
    <row r="25" spans="1:6" ht="15" x14ac:dyDescent="0.25">
      <c r="B25" s="596"/>
    </row>
  </sheetData>
  <mergeCells count="1">
    <mergeCell ref="A5:E5"/>
  </mergeCells>
  <pageMargins left="0.98425196850393704" right="0.78740157480314965" top="0.59055118110236227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1.pielikums</vt:lpstr>
      <vt:lpstr>2.pielikums</vt:lpstr>
      <vt:lpstr>3.pielikums</vt:lpstr>
      <vt:lpstr>4.pielikums</vt:lpstr>
      <vt:lpstr>5.pielikums</vt:lpstr>
      <vt:lpstr>6.pielikums</vt:lpstr>
      <vt:lpstr>7.pielikums</vt:lpstr>
      <vt:lpstr>8.pielikums</vt:lpstr>
      <vt:lpstr>'5.pielikums'!Print_Area</vt:lpstr>
      <vt:lpstr>'1.pielikums'!Print_Titles</vt:lpstr>
      <vt:lpstr>'3.pielikums'!Print_Titles</vt:lpstr>
      <vt:lpstr>'4.pielikums'!Print_Titles</vt:lpstr>
      <vt:lpstr>'5.pielikums'!Print_Titles</vt:lpstr>
      <vt:lpstr>'7.pielikums'!Print_Titles</vt:lpstr>
    </vt:vector>
  </TitlesOfParts>
  <Company>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Vera.Brauna</dc:creator>
  <cp:lastModifiedBy>Ksenija Simonova</cp:lastModifiedBy>
  <cp:lastPrinted>2020-01-28T13:17:49Z</cp:lastPrinted>
  <dcterms:created xsi:type="dcterms:W3CDTF">2007-01-09T12:30:29Z</dcterms:created>
  <dcterms:modified xsi:type="dcterms:W3CDTF">2020-01-28T13:17:58Z</dcterms:modified>
</cp:coreProperties>
</file>