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tabRatio="602" activeTab="6"/>
  </bookViews>
  <sheets>
    <sheet name="1.pielikums" sheetId="1" r:id="rId1"/>
    <sheet name="2.pielikums" sheetId="2" r:id="rId2"/>
    <sheet name="3.pielikums" sheetId="3" r:id="rId3"/>
    <sheet name="4.pielikums" sheetId="24" r:id="rId4"/>
    <sheet name="5.pielikums" sheetId="20" r:id="rId5"/>
    <sheet name="6.pielikums" sheetId="17" r:id="rId6"/>
    <sheet name="7.pielikums" sheetId="25" r:id="rId7"/>
  </sheets>
  <definedNames>
    <definedName name="_xlnm.Print_Area" localSheetId="4">'5.pielikums'!$A$1:$X$134</definedName>
    <definedName name="_xlnm.Print_Titles" localSheetId="0">'1.pielikums'!$8:$8</definedName>
    <definedName name="_xlnm.Print_Titles" localSheetId="2">'3.pielikums'!$8:$10</definedName>
    <definedName name="_xlnm.Print_Titles" localSheetId="3">'4.pielikums'!$6:$6</definedName>
    <definedName name="_xlnm.Print_Titles" localSheetId="4">'5.pielikums'!$A:$A,'5.pielikums'!$5:$6</definedName>
    <definedName name="_xlnm.Print_Titles" localSheetId="6">'7.pielikums'!$6:$6</definedName>
  </definedNames>
  <calcPr calcId="145621"/>
</workbook>
</file>

<file path=xl/calcChain.xml><?xml version="1.0" encoding="utf-8"?>
<calcChain xmlns="http://schemas.openxmlformats.org/spreadsheetml/2006/main">
  <c r="D136" i="3" l="1"/>
  <c r="D131" i="3"/>
  <c r="D209" i="3"/>
  <c r="C28" i="2"/>
  <c r="C18" i="2"/>
  <c r="H94" i="20" l="1"/>
  <c r="H100" i="20"/>
  <c r="H99" i="20"/>
  <c r="E71" i="20"/>
  <c r="E51" i="20"/>
  <c r="H19" i="20"/>
  <c r="D26" i="17" l="1"/>
  <c r="E26" i="17"/>
  <c r="F26" i="17"/>
  <c r="G26" i="17"/>
  <c r="C26" i="17"/>
  <c r="G29" i="17"/>
  <c r="E29" i="17"/>
  <c r="F22" i="17"/>
  <c r="D22" i="17"/>
  <c r="C22" i="17"/>
  <c r="E24" i="17"/>
  <c r="G24" i="17" s="1"/>
  <c r="F11" i="17"/>
  <c r="E11" i="17"/>
  <c r="G9" i="17"/>
  <c r="H114" i="20" l="1"/>
  <c r="H40" i="20" l="1"/>
  <c r="H38" i="20"/>
  <c r="H65" i="20"/>
  <c r="H70" i="20"/>
  <c r="H69" i="20"/>
  <c r="H93" i="20"/>
  <c r="H82" i="20"/>
  <c r="H81" i="20"/>
  <c r="H80" i="20"/>
  <c r="E64" i="1" l="1"/>
  <c r="E65" i="1"/>
  <c r="E63" i="1"/>
  <c r="E62" i="1" l="1"/>
  <c r="F18" i="17" l="1"/>
  <c r="F16" i="17"/>
  <c r="E28" i="17"/>
  <c r="G28" i="17" s="1"/>
  <c r="E27" i="17"/>
  <c r="G27" i="17" s="1"/>
  <c r="E25" i="17"/>
  <c r="G25" i="17" s="1"/>
  <c r="E23" i="17"/>
  <c r="E21" i="17"/>
  <c r="G21" i="17" s="1"/>
  <c r="E20" i="17"/>
  <c r="G20" i="17" s="1"/>
  <c r="E19" i="17"/>
  <c r="G19" i="17" s="1"/>
  <c r="D18" i="17"/>
  <c r="C18" i="17"/>
  <c r="E17" i="17"/>
  <c r="G17" i="17" s="1"/>
  <c r="D16" i="17"/>
  <c r="C16" i="17"/>
  <c r="F129" i="20"/>
  <c r="U119" i="20"/>
  <c r="I119" i="20"/>
  <c r="W118" i="20"/>
  <c r="V118" i="20"/>
  <c r="U118" i="20"/>
  <c r="T118" i="20"/>
  <c r="S118" i="20"/>
  <c r="R118" i="20"/>
  <c r="Q118" i="20"/>
  <c r="P118" i="20"/>
  <c r="O118" i="20"/>
  <c r="N118" i="20"/>
  <c r="M118" i="20"/>
  <c r="L118" i="20"/>
  <c r="K118" i="20"/>
  <c r="J118" i="20"/>
  <c r="I118" i="20"/>
  <c r="H118" i="20"/>
  <c r="H127" i="20" s="1"/>
  <c r="W117" i="20"/>
  <c r="W119" i="20" s="1"/>
  <c r="V117" i="20"/>
  <c r="V119" i="20" s="1"/>
  <c r="U117" i="20"/>
  <c r="T117" i="20"/>
  <c r="T119" i="20" s="1"/>
  <c r="S117" i="20"/>
  <c r="S119" i="20" s="1"/>
  <c r="R117" i="20"/>
  <c r="R119" i="20" s="1"/>
  <c r="Q117" i="20"/>
  <c r="Q119" i="20" s="1"/>
  <c r="P117" i="20"/>
  <c r="P119" i="20" s="1"/>
  <c r="O117" i="20"/>
  <c r="O119" i="20" s="1"/>
  <c r="N117" i="20"/>
  <c r="N119" i="20" s="1"/>
  <c r="M117" i="20"/>
  <c r="M119" i="20" s="1"/>
  <c r="L117" i="20"/>
  <c r="L119" i="20" s="1"/>
  <c r="K117" i="20"/>
  <c r="K119" i="20" s="1"/>
  <c r="J117" i="20"/>
  <c r="J119" i="20" s="1"/>
  <c r="I117" i="20"/>
  <c r="H117" i="20"/>
  <c r="H119" i="20" s="1"/>
  <c r="X116" i="20"/>
  <c r="X115" i="20"/>
  <c r="X114" i="20"/>
  <c r="X113" i="20"/>
  <c r="X112" i="20"/>
  <c r="X111" i="20"/>
  <c r="X110" i="20"/>
  <c r="X118" i="20" s="1"/>
  <c r="X109" i="20"/>
  <c r="X117" i="20" s="1"/>
  <c r="U94" i="20"/>
  <c r="U127" i="20" s="1"/>
  <c r="T94" i="20"/>
  <c r="S94" i="20"/>
  <c r="R94" i="20"/>
  <c r="R127" i="20" s="1"/>
  <c r="Q94" i="20"/>
  <c r="Q127" i="20" s="1"/>
  <c r="P94" i="20"/>
  <c r="O94" i="20"/>
  <c r="N94" i="20"/>
  <c r="N127" i="20" s="1"/>
  <c r="M94" i="20"/>
  <c r="M127" i="20" s="1"/>
  <c r="L94" i="20"/>
  <c r="K94" i="20"/>
  <c r="I94" i="20"/>
  <c r="I127" i="20" s="1"/>
  <c r="T93" i="20"/>
  <c r="S93" i="20"/>
  <c r="R93" i="20"/>
  <c r="R126" i="20" s="1"/>
  <c r="Q93" i="20"/>
  <c r="P93" i="20"/>
  <c r="O93" i="20"/>
  <c r="N93" i="20"/>
  <c r="N126" i="20" s="1"/>
  <c r="M93" i="20"/>
  <c r="L93" i="20"/>
  <c r="K93" i="20"/>
  <c r="J93" i="20"/>
  <c r="J126" i="20" s="1"/>
  <c r="I93" i="20"/>
  <c r="X92" i="20"/>
  <c r="X91" i="20"/>
  <c r="X90" i="20"/>
  <c r="X89" i="20"/>
  <c r="X88" i="20"/>
  <c r="X87" i="20"/>
  <c r="X86" i="20"/>
  <c r="X85" i="20"/>
  <c r="X84" i="20"/>
  <c r="X83" i="20"/>
  <c r="E83" i="20"/>
  <c r="X82" i="20"/>
  <c r="X81" i="20"/>
  <c r="E81" i="20"/>
  <c r="X80" i="20"/>
  <c r="G80" i="20"/>
  <c r="X79" i="20"/>
  <c r="E79" i="20"/>
  <c r="W78" i="20"/>
  <c r="X78" i="20" s="1"/>
  <c r="X77" i="20"/>
  <c r="E77" i="20"/>
  <c r="X76" i="20"/>
  <c r="X75" i="20"/>
  <c r="E75" i="20"/>
  <c r="X74" i="20"/>
  <c r="X73" i="20"/>
  <c r="X72" i="20"/>
  <c r="X71" i="20"/>
  <c r="X70" i="20"/>
  <c r="X69" i="20"/>
  <c r="E69" i="20"/>
  <c r="X68" i="20"/>
  <c r="X67" i="20"/>
  <c r="V67" i="20"/>
  <c r="V93" i="20" s="1"/>
  <c r="E67" i="20"/>
  <c r="X66" i="20"/>
  <c r="X65" i="20"/>
  <c r="X64" i="20"/>
  <c r="X63" i="20"/>
  <c r="X62" i="20"/>
  <c r="X61" i="20"/>
  <c r="X60" i="20"/>
  <c r="X59" i="20"/>
  <c r="X58" i="20"/>
  <c r="H57" i="20"/>
  <c r="X57" i="20" s="1"/>
  <c r="E57" i="20"/>
  <c r="X56" i="20"/>
  <c r="W56" i="20"/>
  <c r="W55" i="20"/>
  <c r="X55" i="20" s="1"/>
  <c r="E55" i="20"/>
  <c r="W54" i="20"/>
  <c r="X54" i="20" s="1"/>
  <c r="X53" i="20"/>
  <c r="E53" i="20"/>
  <c r="X52" i="20"/>
  <c r="X51" i="20"/>
  <c r="X50" i="20"/>
  <c r="W50" i="20"/>
  <c r="X49" i="20"/>
  <c r="E49" i="20"/>
  <c r="X48" i="20"/>
  <c r="X47" i="20"/>
  <c r="X46" i="20"/>
  <c r="X45" i="20"/>
  <c r="E45" i="20"/>
  <c r="X44" i="20"/>
  <c r="X43" i="20"/>
  <c r="X42" i="20"/>
  <c r="X41" i="20"/>
  <c r="E41" i="20"/>
  <c r="X40" i="20"/>
  <c r="H39" i="20"/>
  <c r="E39" i="20"/>
  <c r="X38" i="20"/>
  <c r="W37" i="20"/>
  <c r="X37" i="20" s="1"/>
  <c r="U37" i="20"/>
  <c r="E37" i="20"/>
  <c r="J36" i="20"/>
  <c r="J94" i="20" s="1"/>
  <c r="X35" i="20"/>
  <c r="E35" i="20"/>
  <c r="W34" i="20"/>
  <c r="W94" i="20" s="1"/>
  <c r="W33" i="20"/>
  <c r="X33" i="20" s="1"/>
  <c r="E33" i="20"/>
  <c r="X32" i="20"/>
  <c r="W32" i="20"/>
  <c r="X31" i="20"/>
  <c r="X30" i="20"/>
  <c r="X29" i="20"/>
  <c r="U29" i="20"/>
  <c r="X28" i="20"/>
  <c r="X27" i="20"/>
  <c r="X26" i="20"/>
  <c r="W26" i="20"/>
  <c r="X25" i="20"/>
  <c r="X24" i="20"/>
  <c r="X23" i="20"/>
  <c r="U23" i="20"/>
  <c r="X22" i="20"/>
  <c r="W21" i="20"/>
  <c r="W93" i="20" s="1"/>
  <c r="E21" i="20"/>
  <c r="X20" i="20"/>
  <c r="X19" i="20"/>
  <c r="E19" i="20"/>
  <c r="X18" i="20"/>
  <c r="U17" i="20"/>
  <c r="X17" i="20" s="1"/>
  <c r="X16" i="20"/>
  <c r="U15" i="20"/>
  <c r="X15" i="20" s="1"/>
  <c r="E15" i="20"/>
  <c r="E93" i="20" s="1"/>
  <c r="X14" i="20"/>
  <c r="X13" i="20"/>
  <c r="X12" i="20"/>
  <c r="X11" i="20"/>
  <c r="X10" i="20"/>
  <c r="X9" i="20"/>
  <c r="W8" i="20"/>
  <c r="V8" i="20"/>
  <c r="V94" i="20" s="1"/>
  <c r="V127" i="20" s="1"/>
  <c r="X7" i="20"/>
  <c r="I6" i="20"/>
  <c r="J6" i="20" s="1"/>
  <c r="K6" i="20" s="1"/>
  <c r="L6" i="20" s="1"/>
  <c r="M6" i="20" s="1"/>
  <c r="N6" i="20" s="1"/>
  <c r="O6" i="20" s="1"/>
  <c r="P6" i="20" s="1"/>
  <c r="Q6" i="20" s="1"/>
  <c r="R6" i="20" s="1"/>
  <c r="S6" i="20" s="1"/>
  <c r="T6" i="20" s="1"/>
  <c r="U6" i="20" s="1"/>
  <c r="V6" i="20" s="1"/>
  <c r="R128" i="20" l="1"/>
  <c r="R130" i="20" s="1"/>
  <c r="Q95" i="20"/>
  <c r="Q97" i="20" s="1"/>
  <c r="N128" i="20"/>
  <c r="N130" i="20" s="1"/>
  <c r="M95" i="20"/>
  <c r="M97" i="20" s="1"/>
  <c r="L95" i="20"/>
  <c r="L96" i="20" s="1"/>
  <c r="G23" i="17"/>
  <c r="G22" i="17" s="1"/>
  <c r="E22" i="17"/>
  <c r="D30" i="17"/>
  <c r="W127" i="20"/>
  <c r="O126" i="20"/>
  <c r="K127" i="20"/>
  <c r="O127" i="20"/>
  <c r="S127" i="20"/>
  <c r="P126" i="20"/>
  <c r="L127" i="20"/>
  <c r="P127" i="20"/>
  <c r="T127" i="20"/>
  <c r="K126" i="20"/>
  <c r="S126" i="20"/>
  <c r="S128" i="20" s="1"/>
  <c r="S129" i="20" s="1"/>
  <c r="T103" i="20"/>
  <c r="I95" i="20"/>
  <c r="I96" i="20" s="1"/>
  <c r="N95" i="20"/>
  <c r="R95" i="20"/>
  <c r="R97" i="20" s="1"/>
  <c r="E18" i="17"/>
  <c r="G18" i="17" s="1"/>
  <c r="E16" i="17"/>
  <c r="G16" i="17" s="1"/>
  <c r="F30" i="17"/>
  <c r="C30" i="17"/>
  <c r="W126" i="20"/>
  <c r="W95" i="20"/>
  <c r="J127" i="20"/>
  <c r="J128" i="20" s="1"/>
  <c r="J95" i="20"/>
  <c r="L97" i="20"/>
  <c r="R129" i="20"/>
  <c r="V95" i="20"/>
  <c r="V126" i="20"/>
  <c r="V128" i="20" s="1"/>
  <c r="X119" i="20"/>
  <c r="P103" i="20"/>
  <c r="L126" i="20"/>
  <c r="T126" i="20"/>
  <c r="T128" i="20" s="1"/>
  <c r="X21" i="20"/>
  <c r="X34" i="20"/>
  <c r="X94" i="20" s="1"/>
  <c r="X36" i="20"/>
  <c r="X39" i="20"/>
  <c r="X93" i="20" s="1"/>
  <c r="U93" i="20"/>
  <c r="K95" i="20"/>
  <c r="O95" i="20"/>
  <c r="S95" i="20"/>
  <c r="M103" i="20"/>
  <c r="Q103" i="20"/>
  <c r="I126" i="20"/>
  <c r="I128" i="20" s="1"/>
  <c r="M126" i="20"/>
  <c r="M128" i="20" s="1"/>
  <c r="Q126" i="20"/>
  <c r="Q128" i="20" s="1"/>
  <c r="I103" i="20"/>
  <c r="L103" i="20"/>
  <c r="X8" i="20"/>
  <c r="P95" i="20"/>
  <c r="T95" i="20"/>
  <c r="J103" i="20"/>
  <c r="N103" i="20"/>
  <c r="R103" i="20"/>
  <c r="K103" i="20"/>
  <c r="O103" i="20"/>
  <c r="S103" i="20"/>
  <c r="Q104" i="20" l="1"/>
  <c r="Q96" i="20"/>
  <c r="W128" i="20"/>
  <c r="W129" i="20" s="1"/>
  <c r="S130" i="20"/>
  <c r="N129" i="20"/>
  <c r="M104" i="20"/>
  <c r="N104" i="20"/>
  <c r="M96" i="20"/>
  <c r="L128" i="20"/>
  <c r="L130" i="20" s="1"/>
  <c r="N97" i="20"/>
  <c r="N96" i="20"/>
  <c r="I97" i="20"/>
  <c r="K128" i="20"/>
  <c r="P128" i="20"/>
  <c r="O128" i="20"/>
  <c r="R96" i="20"/>
  <c r="R104" i="20"/>
  <c r="X127" i="20"/>
  <c r="E30" i="17"/>
  <c r="G30" i="17" s="1"/>
  <c r="X95" i="20"/>
  <c r="J130" i="20"/>
  <c r="J129" i="20"/>
  <c r="I130" i="20"/>
  <c r="I129" i="20"/>
  <c r="O97" i="20"/>
  <c r="O96" i="20"/>
  <c r="O104" i="20"/>
  <c r="V97" i="20"/>
  <c r="V96" i="20"/>
  <c r="W97" i="20"/>
  <c r="W96" i="20"/>
  <c r="H126" i="20"/>
  <c r="H95" i="20"/>
  <c r="K97" i="20"/>
  <c r="K96" i="20"/>
  <c r="K104" i="20"/>
  <c r="J104" i="20"/>
  <c r="J97" i="20"/>
  <c r="J96" i="20"/>
  <c r="W130" i="20"/>
  <c r="M130" i="20"/>
  <c r="M129" i="20"/>
  <c r="S97" i="20"/>
  <c r="S96" i="20"/>
  <c r="S104" i="20"/>
  <c r="T129" i="20"/>
  <c r="T130" i="20"/>
  <c r="V130" i="20"/>
  <c r="V129" i="20"/>
  <c r="T97" i="20"/>
  <c r="T96" i="20"/>
  <c r="T104" i="20"/>
  <c r="P97" i="20"/>
  <c r="P96" i="20"/>
  <c r="P104" i="20"/>
  <c r="Q130" i="20"/>
  <c r="Q129" i="20"/>
  <c r="U95" i="20"/>
  <c r="U126" i="20"/>
  <c r="U128" i="20" s="1"/>
  <c r="U103" i="20"/>
  <c r="V103" i="20"/>
  <c r="L104" i="20"/>
  <c r="L129" i="20" l="1"/>
  <c r="O130" i="20"/>
  <c r="O129" i="20"/>
  <c r="P129" i="20"/>
  <c r="P130" i="20"/>
  <c r="K130" i="20"/>
  <c r="K129" i="20"/>
  <c r="U130" i="20"/>
  <c r="U129" i="20"/>
  <c r="U104" i="20"/>
  <c r="U97" i="20"/>
  <c r="U96" i="20"/>
  <c r="V104" i="20"/>
  <c r="H128" i="20"/>
  <c r="X126" i="20"/>
  <c r="X128" i="20" s="1"/>
  <c r="H97" i="20"/>
  <c r="H96" i="20"/>
  <c r="I104" i="20"/>
  <c r="H129" i="20" l="1"/>
  <c r="H130" i="20"/>
  <c r="C141" i="3" l="1"/>
  <c r="D135" i="3"/>
  <c r="E130" i="3"/>
  <c r="F130" i="3"/>
  <c r="G130" i="3"/>
  <c r="H130" i="3"/>
  <c r="I130" i="3"/>
  <c r="J130" i="3"/>
  <c r="K130" i="3"/>
  <c r="L130" i="3"/>
  <c r="D130" i="3"/>
  <c r="C132" i="3"/>
  <c r="C133" i="3"/>
  <c r="C130" i="3" l="1"/>
  <c r="E43" i="3"/>
  <c r="F43" i="3"/>
  <c r="G43" i="3"/>
  <c r="H43" i="3"/>
  <c r="I43" i="3"/>
  <c r="J43" i="3"/>
  <c r="K43" i="3"/>
  <c r="L43" i="3"/>
  <c r="D43" i="3"/>
  <c r="C45" i="3"/>
  <c r="C46" i="3"/>
  <c r="C47" i="3"/>
  <c r="C48" i="3"/>
  <c r="C49" i="3"/>
  <c r="L15" i="3"/>
  <c r="F15" i="3"/>
  <c r="D15" i="3"/>
  <c r="L14" i="3"/>
  <c r="F14" i="3"/>
  <c r="D14" i="3"/>
  <c r="D154" i="3"/>
  <c r="E154" i="3"/>
  <c r="F154" i="3"/>
  <c r="G154" i="3"/>
  <c r="H154" i="3"/>
  <c r="I154" i="3"/>
  <c r="J154" i="3"/>
  <c r="K154" i="3"/>
  <c r="L154" i="3"/>
  <c r="C21" i="2"/>
  <c r="C19" i="2"/>
  <c r="C17" i="2"/>
  <c r="C16" i="2"/>
  <c r="C15" i="2"/>
  <c r="C14" i="2"/>
  <c r="C13" i="2"/>
  <c r="C12" i="2"/>
  <c r="E10" i="1"/>
  <c r="C89" i="1"/>
  <c r="C88" i="1"/>
  <c r="D62" i="1"/>
  <c r="C62" i="1"/>
  <c r="E20" i="1"/>
  <c r="C10" i="1"/>
  <c r="C43" i="3" l="1"/>
  <c r="G10" i="17" l="1"/>
  <c r="G11" i="17" s="1"/>
  <c r="L169" i="3" l="1"/>
  <c r="K169" i="3"/>
  <c r="J169" i="3"/>
  <c r="I169" i="3"/>
  <c r="H169" i="3"/>
  <c r="G169" i="3"/>
  <c r="F169" i="3"/>
  <c r="E169" i="3"/>
  <c r="D169" i="3"/>
  <c r="C177" i="3"/>
  <c r="C167" i="3"/>
  <c r="L166" i="3"/>
  <c r="K166" i="3"/>
  <c r="J166" i="3"/>
  <c r="I166" i="3"/>
  <c r="H166" i="3"/>
  <c r="G166" i="3"/>
  <c r="F166" i="3"/>
  <c r="E166" i="3"/>
  <c r="D166" i="3"/>
  <c r="D162" i="3"/>
  <c r="K69" i="3"/>
  <c r="I69" i="3"/>
  <c r="G69" i="3"/>
  <c r="E69" i="3"/>
  <c r="L69" i="3"/>
  <c r="J69" i="3"/>
  <c r="H69" i="3"/>
  <c r="F69" i="3"/>
  <c r="D69" i="3"/>
  <c r="C70" i="3"/>
  <c r="C166" i="3" l="1"/>
  <c r="C69" i="3"/>
  <c r="E13" i="3" l="1"/>
  <c r="C209" i="3" l="1"/>
  <c r="L89" i="3" l="1"/>
  <c r="C193" i="3"/>
  <c r="E187" i="3"/>
  <c r="F187" i="3"/>
  <c r="G187" i="3"/>
  <c r="H187" i="3"/>
  <c r="I187" i="3"/>
  <c r="J187" i="3"/>
  <c r="K187" i="3"/>
  <c r="L187" i="3"/>
  <c r="D187" i="3"/>
  <c r="E185" i="3"/>
  <c r="F185" i="3"/>
  <c r="G185" i="3"/>
  <c r="H185" i="3"/>
  <c r="I185" i="3"/>
  <c r="J185" i="3"/>
  <c r="K185" i="3"/>
  <c r="L185" i="3"/>
  <c r="D185" i="3"/>
  <c r="D97" i="3"/>
  <c r="E122" i="3"/>
  <c r="F122" i="3"/>
  <c r="G122" i="3"/>
  <c r="H122" i="3"/>
  <c r="I122" i="3"/>
  <c r="J122" i="3"/>
  <c r="K122" i="3"/>
  <c r="L122" i="3"/>
  <c r="D122" i="3"/>
  <c r="C107" i="3"/>
  <c r="C102" i="3"/>
  <c r="C101" i="3"/>
  <c r="L78" i="3"/>
  <c r="E78" i="3"/>
  <c r="F78" i="3"/>
  <c r="G78" i="3"/>
  <c r="H78" i="3"/>
  <c r="I78" i="3"/>
  <c r="J78" i="3"/>
  <c r="K78" i="3"/>
  <c r="D78" i="3"/>
  <c r="C79" i="3"/>
  <c r="L76" i="3"/>
  <c r="K76" i="3"/>
  <c r="J76" i="3"/>
  <c r="I76" i="3"/>
  <c r="H76" i="3"/>
  <c r="G76" i="3"/>
  <c r="F76" i="3"/>
  <c r="E76" i="3"/>
  <c r="D76" i="3"/>
  <c r="C73" i="3"/>
  <c r="L67" i="3"/>
  <c r="K67" i="3"/>
  <c r="J67" i="3"/>
  <c r="I67" i="3"/>
  <c r="H67" i="3"/>
  <c r="G67" i="3"/>
  <c r="F67" i="3"/>
  <c r="E67" i="3"/>
  <c r="D67" i="3"/>
  <c r="C61" i="3"/>
  <c r="C57" i="3"/>
  <c r="C56" i="3"/>
  <c r="C53" i="3"/>
  <c r="C40" i="3"/>
  <c r="L36" i="3"/>
  <c r="K36" i="3"/>
  <c r="J36" i="3"/>
  <c r="I36" i="3"/>
  <c r="H36" i="3"/>
  <c r="G36" i="3"/>
  <c r="F36" i="3"/>
  <c r="E36" i="3"/>
  <c r="D36" i="3"/>
  <c r="L33" i="3"/>
  <c r="K33" i="3"/>
  <c r="J33" i="3"/>
  <c r="I33" i="3"/>
  <c r="H33" i="3"/>
  <c r="G33" i="3"/>
  <c r="F33" i="3"/>
  <c r="E33" i="3"/>
  <c r="D33" i="3"/>
  <c r="L27" i="3"/>
  <c r="K27" i="3"/>
  <c r="J27" i="3"/>
  <c r="I27" i="3"/>
  <c r="H27" i="3"/>
  <c r="G27" i="3"/>
  <c r="F27" i="3"/>
  <c r="E27" i="3"/>
  <c r="D27" i="3"/>
  <c r="E25" i="3"/>
  <c r="F25" i="3"/>
  <c r="G25" i="3"/>
  <c r="H25" i="3"/>
  <c r="I25" i="3"/>
  <c r="J25" i="3"/>
  <c r="K25" i="3"/>
  <c r="L25" i="3"/>
  <c r="D25" i="3"/>
  <c r="C17" i="3"/>
  <c r="F13" i="3"/>
  <c r="G13" i="3"/>
  <c r="H13" i="3"/>
  <c r="I13" i="3"/>
  <c r="J13" i="3"/>
  <c r="K13" i="3"/>
  <c r="L13" i="3"/>
  <c r="D13" i="3"/>
  <c r="E80" i="1"/>
  <c r="E81" i="1"/>
  <c r="E82" i="1"/>
  <c r="E83" i="1"/>
  <c r="D78" i="1"/>
  <c r="C78" i="1"/>
  <c r="D73" i="1"/>
  <c r="C73" i="1"/>
  <c r="D68" i="1"/>
  <c r="C68" i="1"/>
  <c r="E74" i="1"/>
  <c r="E75" i="1"/>
  <c r="E76" i="1"/>
  <c r="E77" i="1"/>
  <c r="D71" i="1"/>
  <c r="C71" i="1"/>
  <c r="E72" i="1"/>
  <c r="E71" i="1" s="1"/>
  <c r="E69" i="1"/>
  <c r="E70" i="1"/>
  <c r="D42" i="1"/>
  <c r="D18" i="1"/>
  <c r="C18" i="1"/>
  <c r="E68" i="1" l="1"/>
  <c r="C66" i="1"/>
  <c r="C33" i="3"/>
  <c r="D66" i="1"/>
  <c r="C187" i="3"/>
  <c r="C67" i="3"/>
  <c r="C36" i="3"/>
  <c r="C27" i="3"/>
  <c r="C185" i="3"/>
  <c r="C122" i="3"/>
  <c r="C76" i="3"/>
  <c r="C78" i="3"/>
  <c r="C25" i="3"/>
  <c r="E73" i="1"/>
  <c r="C142" i="3"/>
  <c r="E43" i="1" l="1"/>
  <c r="E44" i="1"/>
  <c r="C202" i="3" l="1"/>
  <c r="L97" i="3" l="1"/>
  <c r="J97" i="3"/>
  <c r="I97" i="3"/>
  <c r="H97" i="3"/>
  <c r="G97" i="3"/>
  <c r="F97" i="3"/>
  <c r="E97" i="3"/>
  <c r="C22" i="2"/>
  <c r="C42" i="1" l="1"/>
  <c r="D25" i="2" l="1"/>
  <c r="D24" i="2"/>
  <c r="C103" i="3"/>
  <c r="C176" i="3" l="1"/>
  <c r="J89" i="3"/>
  <c r="H89" i="3"/>
  <c r="F89" i="3"/>
  <c r="K89" i="3"/>
  <c r="I89" i="3"/>
  <c r="G89" i="3"/>
  <c r="E89" i="3"/>
  <c r="C95" i="3"/>
  <c r="D89" i="3" l="1"/>
  <c r="D203" i="3" l="1"/>
  <c r="D201" i="3" s="1"/>
  <c r="E45" i="1" l="1"/>
  <c r="E42" i="1" s="1"/>
  <c r="L157" i="3" l="1"/>
  <c r="K157" i="3"/>
  <c r="J157" i="3"/>
  <c r="I157" i="3"/>
  <c r="H157" i="3"/>
  <c r="G157" i="3"/>
  <c r="F157" i="3"/>
  <c r="E157" i="3"/>
  <c r="D157" i="3"/>
  <c r="C161" i="3"/>
  <c r="L50" i="3"/>
  <c r="K50" i="3"/>
  <c r="J50" i="3"/>
  <c r="I50" i="3"/>
  <c r="H50" i="3"/>
  <c r="G50" i="3"/>
  <c r="F50" i="3"/>
  <c r="E50" i="3"/>
  <c r="D50" i="3"/>
  <c r="C54" i="3"/>
  <c r="L143" i="3"/>
  <c r="K143" i="3"/>
  <c r="J143" i="3"/>
  <c r="I143" i="3"/>
  <c r="H143" i="3"/>
  <c r="G143" i="3"/>
  <c r="F143" i="3"/>
  <c r="E143" i="3"/>
  <c r="D143" i="3"/>
  <c r="C146" i="3"/>
  <c r="L147" i="3"/>
  <c r="K147" i="3"/>
  <c r="J147" i="3"/>
  <c r="I147" i="3"/>
  <c r="H147" i="3"/>
  <c r="G147" i="3"/>
  <c r="F147" i="3"/>
  <c r="E147" i="3"/>
  <c r="D147" i="3"/>
  <c r="C153" i="3"/>
  <c r="L55" i="3"/>
  <c r="K55" i="3"/>
  <c r="J55" i="3"/>
  <c r="I55" i="3"/>
  <c r="H55" i="3"/>
  <c r="G55" i="3"/>
  <c r="F55" i="3"/>
  <c r="E55" i="3"/>
  <c r="D55" i="3"/>
  <c r="C58" i="3"/>
  <c r="C55" i="3" l="1"/>
  <c r="C199" i="3"/>
  <c r="C198" i="3"/>
  <c r="E118" i="3"/>
  <c r="F118" i="3"/>
  <c r="G118" i="3"/>
  <c r="H118" i="3"/>
  <c r="I118" i="3"/>
  <c r="J118" i="3"/>
  <c r="K118" i="3"/>
  <c r="L118" i="3"/>
  <c r="D118" i="3"/>
  <c r="C121" i="3"/>
  <c r="K97" i="3"/>
  <c r="E81" i="3" l="1"/>
  <c r="E75" i="3" s="1"/>
  <c r="F81" i="3"/>
  <c r="F75" i="3" s="1"/>
  <c r="G81" i="3"/>
  <c r="G75" i="3" s="1"/>
  <c r="H81" i="3"/>
  <c r="H75" i="3" s="1"/>
  <c r="I81" i="3"/>
  <c r="I75" i="3" s="1"/>
  <c r="J81" i="3"/>
  <c r="J75" i="3" s="1"/>
  <c r="K81" i="3"/>
  <c r="K75" i="3" s="1"/>
  <c r="L81" i="3"/>
  <c r="L75" i="3" s="1"/>
  <c r="D81" i="3"/>
  <c r="D75" i="3" s="1"/>
  <c r="D84" i="1"/>
  <c r="C84" i="1"/>
  <c r="E86" i="1"/>
  <c r="E85" i="1"/>
  <c r="E135" i="3"/>
  <c r="F135" i="3"/>
  <c r="G135" i="3"/>
  <c r="H135" i="3"/>
  <c r="I135" i="3"/>
  <c r="J135" i="3"/>
  <c r="K135" i="3"/>
  <c r="L135" i="3"/>
  <c r="E84" i="1" l="1"/>
  <c r="C88" i="3" l="1"/>
  <c r="D28" i="2" l="1"/>
  <c r="E38" i="3" l="1"/>
  <c r="E35" i="3" s="1"/>
  <c r="F38" i="3"/>
  <c r="F35" i="3" s="1"/>
  <c r="G38" i="3"/>
  <c r="G35" i="3" s="1"/>
  <c r="H38" i="3"/>
  <c r="H35" i="3" s="1"/>
  <c r="I38" i="3"/>
  <c r="I35" i="3" s="1"/>
  <c r="J38" i="3"/>
  <c r="J35" i="3" s="1"/>
  <c r="K38" i="3"/>
  <c r="K35" i="3" s="1"/>
  <c r="L38" i="3"/>
  <c r="L35" i="3" s="1"/>
  <c r="D38" i="3"/>
  <c r="D35" i="3" s="1"/>
  <c r="C41" i="3"/>
  <c r="E41" i="1" l="1"/>
  <c r="E40" i="1" s="1"/>
  <c r="E39" i="1" s="1"/>
  <c r="D40" i="1"/>
  <c r="D39" i="1" s="1"/>
  <c r="C40" i="1"/>
  <c r="C39" i="1" s="1"/>
  <c r="L22" i="3" l="1"/>
  <c r="K22" i="3"/>
  <c r="J22" i="3"/>
  <c r="I22" i="3"/>
  <c r="H22" i="3"/>
  <c r="G22" i="3"/>
  <c r="F22" i="3"/>
  <c r="E22" i="3"/>
  <c r="D22" i="3"/>
  <c r="C24" i="3"/>
  <c r="C23" i="3"/>
  <c r="C22" i="3" l="1"/>
  <c r="L105" i="3"/>
  <c r="K105" i="3"/>
  <c r="J105" i="3"/>
  <c r="I105" i="3"/>
  <c r="H105" i="3"/>
  <c r="G105" i="3"/>
  <c r="F105" i="3"/>
  <c r="E105" i="3"/>
  <c r="D105" i="3"/>
  <c r="C108" i="3"/>
  <c r="F16" i="2"/>
  <c r="C94" i="3"/>
  <c r="C52" i="3"/>
  <c r="C152" i="3" l="1"/>
  <c r="C87" i="3"/>
  <c r="C81" i="3" l="1"/>
  <c r="E49" i="1" l="1"/>
  <c r="D46" i="1"/>
  <c r="C46" i="1"/>
  <c r="C51" i="1" l="1"/>
  <c r="D51" i="1"/>
  <c r="C175" i="3" l="1"/>
  <c r="C160" i="3"/>
  <c r="E52" i="1" l="1"/>
  <c r="E51" i="1" s="1"/>
  <c r="C74" i="3" l="1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203" i="3"/>
  <c r="E201" i="3" s="1"/>
  <c r="F203" i="3"/>
  <c r="F201" i="3" s="1"/>
  <c r="G203" i="3"/>
  <c r="G201" i="3" s="1"/>
  <c r="H203" i="3"/>
  <c r="H201" i="3" s="1"/>
  <c r="I203" i="3"/>
  <c r="I201" i="3" s="1"/>
  <c r="J203" i="3"/>
  <c r="J201" i="3" s="1"/>
  <c r="K203" i="3"/>
  <c r="K201" i="3" s="1"/>
  <c r="L203" i="3"/>
  <c r="L201" i="3" s="1"/>
  <c r="C208" i="3"/>
  <c r="C207" i="3"/>
  <c r="C206" i="3"/>
  <c r="C205" i="3"/>
  <c r="C204" i="3"/>
  <c r="C201" i="3" l="1"/>
  <c r="C203" i="3"/>
  <c r="H28" i="2"/>
  <c r="E196" i="3" l="1"/>
  <c r="F196" i="3"/>
  <c r="G196" i="3"/>
  <c r="H196" i="3"/>
  <c r="I196" i="3"/>
  <c r="J196" i="3"/>
  <c r="K196" i="3"/>
  <c r="L196" i="3"/>
  <c r="D196" i="3"/>
  <c r="C200" i="3"/>
  <c r="C197" i="3"/>
  <c r="E189" i="3"/>
  <c r="F189" i="3"/>
  <c r="G189" i="3"/>
  <c r="H189" i="3"/>
  <c r="I189" i="3"/>
  <c r="J189" i="3"/>
  <c r="K189" i="3"/>
  <c r="L189" i="3"/>
  <c r="D189" i="3"/>
  <c r="C191" i="3"/>
  <c r="C192" i="3"/>
  <c r="C194" i="3"/>
  <c r="C195" i="3"/>
  <c r="C190" i="3"/>
  <c r="C188" i="3"/>
  <c r="C186" i="3"/>
  <c r="E181" i="3"/>
  <c r="F181" i="3"/>
  <c r="G181" i="3"/>
  <c r="H181" i="3"/>
  <c r="I181" i="3"/>
  <c r="J181" i="3"/>
  <c r="K181" i="3"/>
  <c r="L181" i="3"/>
  <c r="D181" i="3"/>
  <c r="C183" i="3"/>
  <c r="C184" i="3"/>
  <c r="C182" i="3"/>
  <c r="E178" i="3"/>
  <c r="F178" i="3"/>
  <c r="G178" i="3"/>
  <c r="H178" i="3"/>
  <c r="I178" i="3"/>
  <c r="J178" i="3"/>
  <c r="K178" i="3"/>
  <c r="L178" i="3"/>
  <c r="D178" i="3"/>
  <c r="C180" i="3"/>
  <c r="C179" i="3"/>
  <c r="C171" i="3"/>
  <c r="C172" i="3"/>
  <c r="C173" i="3"/>
  <c r="C174" i="3"/>
  <c r="C170" i="3"/>
  <c r="D168" i="3" l="1"/>
  <c r="J168" i="3"/>
  <c r="K168" i="3"/>
  <c r="G19" i="2" s="1"/>
  <c r="G168" i="3"/>
  <c r="E19" i="2" s="1"/>
  <c r="E168" i="3"/>
  <c r="D19" i="2" s="1"/>
  <c r="I168" i="3"/>
  <c r="F19" i="2" s="1"/>
  <c r="H168" i="3"/>
  <c r="L168" i="3"/>
  <c r="F168" i="3"/>
  <c r="C196" i="3"/>
  <c r="C189" i="3"/>
  <c r="C181" i="3"/>
  <c r="C178" i="3"/>
  <c r="E162" i="3"/>
  <c r="F162" i="3"/>
  <c r="G162" i="3"/>
  <c r="H162" i="3"/>
  <c r="I162" i="3"/>
  <c r="J162" i="3"/>
  <c r="K162" i="3"/>
  <c r="L162" i="3"/>
  <c r="C165" i="3"/>
  <c r="C164" i="3"/>
  <c r="C163" i="3"/>
  <c r="C159" i="3"/>
  <c r="C158" i="3"/>
  <c r="C156" i="3"/>
  <c r="C155" i="3"/>
  <c r="C151" i="3"/>
  <c r="C150" i="3"/>
  <c r="C149" i="3"/>
  <c r="C148" i="3"/>
  <c r="C145" i="3"/>
  <c r="C144" i="3"/>
  <c r="C137" i="3"/>
  <c r="C138" i="3"/>
  <c r="C139" i="3"/>
  <c r="C140" i="3"/>
  <c r="C136" i="3"/>
  <c r="C131" i="3"/>
  <c r="E124" i="3"/>
  <c r="F124" i="3"/>
  <c r="G124" i="3"/>
  <c r="H124" i="3"/>
  <c r="I124" i="3"/>
  <c r="J124" i="3"/>
  <c r="K124" i="3"/>
  <c r="L124" i="3"/>
  <c r="D124" i="3"/>
  <c r="C126" i="3"/>
  <c r="C127" i="3"/>
  <c r="C128" i="3"/>
  <c r="C125" i="3"/>
  <c r="C123" i="3"/>
  <c r="C120" i="3"/>
  <c r="C119" i="3"/>
  <c r="E114" i="3"/>
  <c r="F114" i="3"/>
  <c r="G114" i="3"/>
  <c r="H114" i="3"/>
  <c r="I114" i="3"/>
  <c r="J114" i="3"/>
  <c r="K114" i="3"/>
  <c r="L114" i="3"/>
  <c r="D114" i="3"/>
  <c r="C117" i="3"/>
  <c r="C116" i="3"/>
  <c r="C115" i="3"/>
  <c r="E111" i="3"/>
  <c r="F111" i="3"/>
  <c r="G111" i="3"/>
  <c r="H111" i="3"/>
  <c r="I111" i="3"/>
  <c r="J111" i="3"/>
  <c r="K111" i="3"/>
  <c r="L111" i="3"/>
  <c r="D111" i="3"/>
  <c r="C113" i="3"/>
  <c r="C112" i="3"/>
  <c r="E109" i="3"/>
  <c r="F109" i="3"/>
  <c r="G109" i="3"/>
  <c r="H109" i="3"/>
  <c r="I109" i="3"/>
  <c r="J109" i="3"/>
  <c r="K109" i="3"/>
  <c r="L109" i="3"/>
  <c r="D109" i="3"/>
  <c r="C110" i="3"/>
  <c r="C106" i="3"/>
  <c r="C100" i="3"/>
  <c r="C99" i="3"/>
  <c r="C98" i="3"/>
  <c r="D104" i="3" l="1"/>
  <c r="D96" i="3" s="1"/>
  <c r="F104" i="3"/>
  <c r="F96" i="3" s="1"/>
  <c r="J134" i="3"/>
  <c r="J129" i="3" s="1"/>
  <c r="F134" i="3"/>
  <c r="F129" i="3" s="1"/>
  <c r="K134" i="3"/>
  <c r="G134" i="3"/>
  <c r="L104" i="3"/>
  <c r="L96" i="3" s="1"/>
  <c r="H104" i="3"/>
  <c r="H96" i="3" s="1"/>
  <c r="J104" i="3"/>
  <c r="J96" i="3" s="1"/>
  <c r="C111" i="3"/>
  <c r="C143" i="3"/>
  <c r="K104" i="3"/>
  <c r="G104" i="3"/>
  <c r="L134" i="3"/>
  <c r="L129" i="3" s="1"/>
  <c r="H134" i="3"/>
  <c r="H129" i="3" s="1"/>
  <c r="D134" i="3"/>
  <c r="D129" i="3" s="1"/>
  <c r="I134" i="3"/>
  <c r="E134" i="3"/>
  <c r="C118" i="3"/>
  <c r="C109" i="3"/>
  <c r="C154" i="3"/>
  <c r="C162" i="3"/>
  <c r="I104" i="3"/>
  <c r="E104" i="3"/>
  <c r="E96" i="3" s="1"/>
  <c r="C157" i="3"/>
  <c r="C147" i="3"/>
  <c r="C135" i="3"/>
  <c r="C97" i="3"/>
  <c r="C114" i="3"/>
  <c r="C124" i="3"/>
  <c r="C105" i="3"/>
  <c r="C91" i="3"/>
  <c r="C92" i="3"/>
  <c r="C93" i="3"/>
  <c r="C90" i="3"/>
  <c r="D16" i="2"/>
  <c r="E16" i="2"/>
  <c r="G16" i="2"/>
  <c r="E15" i="2"/>
  <c r="F15" i="2"/>
  <c r="G15" i="2"/>
  <c r="C83" i="3"/>
  <c r="C84" i="3"/>
  <c r="C85" i="3"/>
  <c r="C86" i="3"/>
  <c r="C82" i="3"/>
  <c r="C80" i="3"/>
  <c r="C77" i="3"/>
  <c r="G129" i="3" l="1"/>
  <c r="E18" i="2" s="1"/>
  <c r="E129" i="3"/>
  <c r="D18" i="2" s="1"/>
  <c r="I129" i="3"/>
  <c r="F18" i="2" s="1"/>
  <c r="K129" i="3"/>
  <c r="K96" i="3"/>
  <c r="G17" i="2" s="1"/>
  <c r="I96" i="3"/>
  <c r="F17" i="2" s="1"/>
  <c r="G96" i="3"/>
  <c r="E17" i="2" s="1"/>
  <c r="D15" i="2"/>
  <c r="C75" i="3"/>
  <c r="C134" i="3"/>
  <c r="C104" i="3"/>
  <c r="C89" i="3"/>
  <c r="C129" i="3" l="1"/>
  <c r="G18" i="2"/>
  <c r="D17" i="2"/>
  <c r="C96" i="3"/>
  <c r="E64" i="3"/>
  <c r="F64" i="3"/>
  <c r="G64" i="3"/>
  <c r="H64" i="3"/>
  <c r="I64" i="3"/>
  <c r="J64" i="3"/>
  <c r="K64" i="3"/>
  <c r="L64" i="3"/>
  <c r="D64" i="3"/>
  <c r="E72" i="3"/>
  <c r="F72" i="3"/>
  <c r="G72" i="3"/>
  <c r="H72" i="3"/>
  <c r="I72" i="3"/>
  <c r="J72" i="3"/>
  <c r="K72" i="3"/>
  <c r="L72" i="3"/>
  <c r="D72" i="3"/>
  <c r="C71" i="3"/>
  <c r="C68" i="3"/>
  <c r="C66" i="3"/>
  <c r="C65" i="3"/>
  <c r="E59" i="3"/>
  <c r="E42" i="3" s="1"/>
  <c r="F59" i="3"/>
  <c r="F42" i="3" s="1"/>
  <c r="G59" i="3"/>
  <c r="G42" i="3" s="1"/>
  <c r="H59" i="3"/>
  <c r="H42" i="3" s="1"/>
  <c r="I59" i="3"/>
  <c r="I42" i="3" s="1"/>
  <c r="F13" i="2" s="1"/>
  <c r="J59" i="3"/>
  <c r="J42" i="3" s="1"/>
  <c r="K59" i="3"/>
  <c r="K42" i="3" s="1"/>
  <c r="L59" i="3"/>
  <c r="L42" i="3" s="1"/>
  <c r="D59" i="3"/>
  <c r="D42" i="3" s="1"/>
  <c r="C62" i="3"/>
  <c r="C60" i="3"/>
  <c r="C51" i="3"/>
  <c r="C44" i="3"/>
  <c r="C39" i="3"/>
  <c r="E12" i="2"/>
  <c r="F12" i="2"/>
  <c r="G12" i="2"/>
  <c r="C37" i="3"/>
  <c r="C34" i="3"/>
  <c r="E29" i="3"/>
  <c r="F29" i="3"/>
  <c r="G29" i="3"/>
  <c r="H29" i="3"/>
  <c r="I29" i="3"/>
  <c r="J29" i="3"/>
  <c r="K29" i="3"/>
  <c r="L29" i="3"/>
  <c r="D29" i="3"/>
  <c r="C31" i="3"/>
  <c r="C32" i="3"/>
  <c r="C30" i="3"/>
  <c r="C26" i="3"/>
  <c r="C28" i="3"/>
  <c r="E18" i="3"/>
  <c r="F18" i="3"/>
  <c r="G18" i="3"/>
  <c r="H18" i="3"/>
  <c r="I18" i="3"/>
  <c r="J18" i="3"/>
  <c r="K18" i="3"/>
  <c r="L18" i="3"/>
  <c r="D18" i="3"/>
  <c r="C20" i="3"/>
  <c r="C21" i="3"/>
  <c r="C19" i="3"/>
  <c r="J12" i="3" l="1"/>
  <c r="E12" i="3"/>
  <c r="E63" i="3"/>
  <c r="D14" i="2" s="1"/>
  <c r="D63" i="3"/>
  <c r="K63" i="3"/>
  <c r="G14" i="2" s="1"/>
  <c r="L63" i="3"/>
  <c r="J63" i="3"/>
  <c r="I63" i="3"/>
  <c r="F14" i="2" s="1"/>
  <c r="H63" i="3"/>
  <c r="G63" i="3"/>
  <c r="E14" i="2" s="1"/>
  <c r="F63" i="3"/>
  <c r="I12" i="3"/>
  <c r="F11" i="2" s="1"/>
  <c r="F12" i="3"/>
  <c r="L12" i="3"/>
  <c r="K12" i="3"/>
  <c r="G11" i="2" s="1"/>
  <c r="H12" i="3"/>
  <c r="G12" i="3"/>
  <c r="E11" i="2" s="1"/>
  <c r="D12" i="3"/>
  <c r="D12" i="2"/>
  <c r="C18" i="3"/>
  <c r="D13" i="2"/>
  <c r="C72" i="3"/>
  <c r="C50" i="3"/>
  <c r="C64" i="3"/>
  <c r="C59" i="3"/>
  <c r="C35" i="3"/>
  <c r="C38" i="3"/>
  <c r="C29" i="3"/>
  <c r="C15" i="3"/>
  <c r="C16" i="3"/>
  <c r="C14" i="3"/>
  <c r="L11" i="3" l="1"/>
  <c r="L210" i="3" s="1"/>
  <c r="J11" i="3"/>
  <c r="J210" i="3" s="1"/>
  <c r="G13" i="2"/>
  <c r="G10" i="2" s="1"/>
  <c r="K11" i="3"/>
  <c r="K210" i="3" s="1"/>
  <c r="F10" i="2"/>
  <c r="I11" i="3"/>
  <c r="I210" i="3" s="1"/>
  <c r="G11" i="3"/>
  <c r="G210" i="3" s="1"/>
  <c r="E13" i="2"/>
  <c r="E10" i="2" s="1"/>
  <c r="H11" i="3"/>
  <c r="H210" i="3" s="1"/>
  <c r="F11" i="3"/>
  <c r="F210" i="3" s="1"/>
  <c r="C42" i="3"/>
  <c r="C63" i="3"/>
  <c r="C13" i="3"/>
  <c r="D22" i="2"/>
  <c r="D20" i="2" s="1"/>
  <c r="E22" i="2"/>
  <c r="E20" i="2" s="1"/>
  <c r="F22" i="2"/>
  <c r="F20" i="2" s="1"/>
  <c r="G22" i="2"/>
  <c r="G20" i="2" s="1"/>
  <c r="C20" i="2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89" i="1"/>
  <c r="E88" i="1"/>
  <c r="D87" i="1"/>
  <c r="C87" i="1"/>
  <c r="E79" i="1"/>
  <c r="E78" i="1" s="1"/>
  <c r="E67" i="1"/>
  <c r="D61" i="1"/>
  <c r="D60" i="1" s="1"/>
  <c r="E87" i="1" l="1"/>
  <c r="E66" i="1"/>
  <c r="E61" i="1" s="1"/>
  <c r="E60" i="1" s="1"/>
  <c r="E11" i="3"/>
  <c r="E210" i="3" s="1"/>
  <c r="D11" i="2"/>
  <c r="C61" i="1"/>
  <c r="C60" i="1" s="1"/>
  <c r="C29" i="2"/>
  <c r="H13" i="2"/>
  <c r="C12" i="3"/>
  <c r="G29" i="2"/>
  <c r="F29" i="2"/>
  <c r="E29" i="2"/>
  <c r="H22" i="2"/>
  <c r="H20" i="2"/>
  <c r="E56" i="1"/>
  <c r="E57" i="1"/>
  <c r="E55" i="1"/>
  <c r="D54" i="1"/>
  <c r="D53" i="1" s="1"/>
  <c r="C54" i="1"/>
  <c r="C53" i="1" s="1"/>
  <c r="E59" i="1"/>
  <c r="E58" i="1" s="1"/>
  <c r="D58" i="1"/>
  <c r="C58" i="1"/>
  <c r="E48" i="1"/>
  <c r="E47" i="1"/>
  <c r="E38" i="1"/>
  <c r="E37" i="1"/>
  <c r="D36" i="1"/>
  <c r="D35" i="1" s="1"/>
  <c r="C36" i="1"/>
  <c r="C35" i="1" s="1"/>
  <c r="E29" i="1"/>
  <c r="E30" i="1"/>
  <c r="E31" i="1"/>
  <c r="E32" i="1"/>
  <c r="E33" i="1"/>
  <c r="E34" i="1"/>
  <c r="E28" i="1"/>
  <c r="E25" i="1"/>
  <c r="E26" i="1"/>
  <c r="E24" i="1"/>
  <c r="E19" i="1"/>
  <c r="E18" i="1" s="1"/>
  <c r="E17" i="1"/>
  <c r="E16" i="1"/>
  <c r="E15" i="1"/>
  <c r="E13" i="1"/>
  <c r="E12" i="1"/>
  <c r="D23" i="1"/>
  <c r="C23" i="1"/>
  <c r="D27" i="1"/>
  <c r="C27" i="1"/>
  <c r="D14" i="1"/>
  <c r="C14" i="1"/>
  <c r="D11" i="1"/>
  <c r="C11" i="1"/>
  <c r="E14" i="1" l="1"/>
  <c r="E46" i="1"/>
  <c r="H11" i="2"/>
  <c r="D10" i="2"/>
  <c r="C50" i="1"/>
  <c r="D50" i="1"/>
  <c r="D10" i="1"/>
  <c r="D22" i="1"/>
  <c r="D21" i="1" s="1"/>
  <c r="E54" i="1"/>
  <c r="E53" i="1" s="1"/>
  <c r="E50" i="1" s="1"/>
  <c r="C22" i="1"/>
  <c r="C21" i="1" s="1"/>
  <c r="E27" i="1"/>
  <c r="E23" i="1"/>
  <c r="E11" i="1"/>
  <c r="E36" i="1"/>
  <c r="E35" i="1" s="1"/>
  <c r="D29" i="2" l="1"/>
  <c r="H29" i="2" s="1"/>
  <c r="H10" i="2"/>
  <c r="D9" i="1"/>
  <c r="D90" i="1" s="1"/>
  <c r="E22" i="1"/>
  <c r="E21" i="1" s="1"/>
  <c r="C9" i="1"/>
  <c r="C90" i="1" s="1"/>
  <c r="E9" i="1" l="1"/>
  <c r="E90" i="1" s="1"/>
  <c r="C169" i="3" l="1"/>
  <c r="C168" i="3" l="1"/>
  <c r="D11" i="3"/>
  <c r="C11" i="3" l="1"/>
  <c r="C210" i="3" s="1"/>
  <c r="D210" i="3"/>
</calcChain>
</file>

<file path=xl/sharedStrings.xml><?xml version="1.0" encoding="utf-8"?>
<sst xmlns="http://schemas.openxmlformats.org/spreadsheetml/2006/main" count="1615" uniqueCount="874">
  <si>
    <t>1.pielikums</t>
  </si>
  <si>
    <t>Pamatbudžeta ieņēmumi</t>
  </si>
  <si>
    <t>Rādītāju nosaukums</t>
  </si>
  <si>
    <t>Grozījumi</t>
  </si>
  <si>
    <t>Klasifikā-cijas kods</t>
  </si>
  <si>
    <t>01.110.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</si>
  <si>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</si>
  <si>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</si>
  <si>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</si>
  <si>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</si>
  <si>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</si>
  <si>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</si>
  <si>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</si>
  <si>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</si>
  <si>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</si>
  <si>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</si>
  <si>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</si>
  <si>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</si>
  <si>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</si>
  <si>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</si>
  <si>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</si>
  <si>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</si>
  <si>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</si>
  <si>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</si>
  <si>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</si>
  <si>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</si>
  <si>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</si>
  <si>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</si>
  <si>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</si>
  <si>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</si>
  <si>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</si>
  <si>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</si>
  <si>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</si>
  <si>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</si>
  <si>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</si>
  <si>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</si>
  <si>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</si>
  <si>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</si>
  <si>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</si>
  <si>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</si>
  <si>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</si>
  <si>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</si>
  <si>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</si>
  <si>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</si>
  <si>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</si>
  <si>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</si>
  <si>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</si>
  <si>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</si>
  <si>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</si>
  <si>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</si>
  <si>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</si>
  <si>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</si>
  <si>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</si>
  <si>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</si>
  <si>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</si>
  <si>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</si>
  <si>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</si>
  <si>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</si>
  <si>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</si>
  <si>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12.390.</t>
  </si>
  <si>
    <t>13.000.</t>
  </si>
  <si>
    <t>13.100.</t>
  </si>
  <si>
    <t>Ieņēmumi no ēku un būvju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</si>
  <si>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</si>
  <si>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</si>
  <si>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</si>
  <si>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</si>
  <si>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</si>
  <si>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</si>
  <si>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</si>
  <si>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</si>
  <si>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Pašvaldību no valsts budžeta iestādēm saņemtie transferti Eiropas Savienības politiku instrumentu un pārējās ārvalstu finanšu palīdzības līdzfinansētajiem projektiem (pasākumiem)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</si>
  <si>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</si>
  <si>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</si>
  <si>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</si>
  <si>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</si>
  <si>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</si>
  <si>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</si>
  <si>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</si>
  <si>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</si>
  <si>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</si>
  <si>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</si>
  <si>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</si>
  <si>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</si>
  <si>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</si>
  <si>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</si>
  <si>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</si>
  <si>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</si>
  <si>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</si>
  <si>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</si>
  <si>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</si>
  <si>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</si>
  <si>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</si>
  <si>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</si>
  <si>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</si>
  <si>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</si>
  <si>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</si>
  <si>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</si>
  <si>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</si>
  <si>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</si>
  <si>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</si>
  <si>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</si>
  <si>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</si>
  <si>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</si>
  <si>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</si>
  <si>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</si>
  <si>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</si>
  <si>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</si>
  <si>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</si>
  <si>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</si>
  <si>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</si>
  <si>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</si>
  <si>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</si>
  <si>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</si>
  <si>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</si>
  <si>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</si>
  <si>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</si>
  <si>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</si>
  <si>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</si>
  <si>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</si>
  <si>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</si>
  <si>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</si>
  <si>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</si>
  <si>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</si>
  <si>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</si>
  <si>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</si>
  <si>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</si>
  <si>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</si>
  <si>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</si>
  <si>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</si>
  <si>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</si>
  <si>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</si>
  <si>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</si>
  <si>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</si>
  <si>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</si>
  <si>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</si>
  <si>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</si>
  <si>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</si>
  <si>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</si>
  <si>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</si>
  <si>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</si>
  <si>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</si>
  <si>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</si>
  <si>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</si>
  <si>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</si>
  <si>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</si>
  <si>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</si>
  <si>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</si>
  <si>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</si>
  <si>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</si>
  <si>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</si>
  <si>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</si>
  <si>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</si>
  <si>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Nekustamā īpašuma nodokļa un citu pašvaldības ieņēmumu administrēšana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</si>
  <si>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</si>
  <si>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</si>
  <si>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</si>
  <si>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</si>
  <si>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</si>
  <si>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</si>
  <si>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</si>
  <si>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</si>
  <si>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</si>
  <si>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Ugunsdrošības, ugunsdzēsības, glābšanas un civilās drošības dienesti</t>
  </si>
  <si>
    <t>04.510.</t>
  </si>
  <si>
    <t>04.511.</t>
  </si>
  <si>
    <t>04.515.</t>
  </si>
  <si>
    <t>04.730.</t>
  </si>
  <si>
    <t>04.733.</t>
  </si>
  <si>
    <t>04.900.</t>
  </si>
  <si>
    <t>04.901.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</si>
  <si>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</si>
  <si>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</si>
  <si>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</si>
  <si>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</si>
  <si>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</si>
  <si>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</si>
  <si>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</si>
  <si>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05.100.</t>
  </si>
  <si>
    <t>05.101.</t>
  </si>
  <si>
    <t>05.102.</t>
  </si>
  <si>
    <t>05.202.</t>
  </si>
  <si>
    <t>05.300.</t>
  </si>
  <si>
    <t>05.600.</t>
  </si>
  <si>
    <t>Atkritumu apsaimniekošana</t>
  </si>
  <si>
    <t>Notekūdeņu apsaimniekošana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</si>
  <si>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</si>
  <si>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</si>
  <si>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</si>
  <si>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</si>
  <si>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</si>
  <si>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</si>
  <si>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</si>
  <si>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</si>
  <si>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</si>
  <si>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</si>
  <si>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</si>
  <si>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</si>
  <si>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</si>
  <si>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</si>
  <si>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</si>
  <si>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</si>
  <si>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</si>
  <si>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</si>
  <si>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</si>
  <si>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</si>
  <si>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</si>
  <si>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</si>
  <si>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</si>
  <si>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</si>
  <si>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</si>
  <si>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</si>
  <si>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</si>
  <si>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</si>
  <si>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</si>
  <si>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</si>
  <si>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</si>
  <si>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</si>
  <si>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</si>
  <si>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</si>
  <si>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</si>
  <si>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</si>
  <si>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</si>
  <si>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</si>
  <si>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</si>
  <si>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</si>
  <si>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</si>
  <si>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</si>
  <si>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</si>
  <si>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</si>
  <si>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</si>
  <si>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</si>
  <si>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</si>
  <si>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</si>
  <si>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</si>
  <si>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</si>
  <si>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</si>
  <si>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</si>
  <si>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</si>
  <si>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</si>
  <si>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</si>
  <si>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</si>
  <si>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</si>
  <si>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</si>
  <si>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</si>
  <si>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</si>
  <si>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</si>
  <si>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</si>
  <si>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</si>
  <si>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</si>
  <si>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</si>
  <si>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</si>
  <si>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</si>
  <si>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</si>
  <si>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</si>
  <si>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</si>
  <si>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</si>
  <si>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</si>
  <si>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</si>
  <si>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</si>
  <si>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</si>
  <si>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</si>
  <si>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</si>
  <si>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</si>
  <si>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</si>
  <si>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</si>
  <si>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</si>
  <si>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</si>
  <si>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</si>
  <si>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</si>
  <si>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</si>
  <si>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</si>
  <si>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</si>
  <si>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</si>
  <si>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</si>
  <si>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</si>
  <si>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Bērnu un jauniešu izglītības centra "Junda" projektu īstenošana</t>
  </si>
  <si>
    <t>Pārējā izglītības vadība</t>
  </si>
  <si>
    <t>Pirmsskolas izglītības iestāžu darbības nodrošināšana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</si>
  <si>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</si>
  <si>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</si>
  <si>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</si>
  <si>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</si>
  <si>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</si>
  <si>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</si>
  <si>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</si>
  <si>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</si>
  <si>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</si>
  <si>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</si>
  <si>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</si>
  <si>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</si>
  <si>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10.504.</t>
  </si>
  <si>
    <t>10.601.</t>
  </si>
  <si>
    <t>10.700.</t>
  </si>
  <si>
    <t>10.701.</t>
  </si>
  <si>
    <t>10.704.</t>
  </si>
  <si>
    <t>10.705.2.</t>
  </si>
  <si>
    <t>10.707.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</si>
  <si>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</si>
  <si>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</si>
  <si>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</si>
  <si>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</si>
  <si>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</si>
  <si>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</si>
  <si>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</si>
  <si>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</si>
  <si>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</si>
  <si>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</si>
  <si>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</si>
  <si>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</si>
  <si>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</si>
  <si>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</si>
  <si>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</si>
  <si>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</si>
  <si>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</si>
  <si>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</si>
  <si>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</si>
  <si>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</si>
  <si>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</si>
  <si>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</si>
  <si>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</si>
  <si>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</si>
  <si>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</si>
  <si>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</si>
  <si>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</si>
  <si>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</si>
  <si>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</si>
  <si>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</si>
  <si>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</si>
  <si>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</si>
  <si>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</si>
  <si>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</si>
  <si>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</si>
  <si>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</si>
  <si>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</si>
  <si>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</si>
  <si>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</si>
  <si>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</si>
  <si>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</si>
  <si>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</si>
  <si>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</si>
  <si>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</si>
  <si>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</si>
  <si>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</si>
  <si>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</si>
  <si>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</si>
  <si>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</si>
  <si>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</si>
  <si>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</si>
  <si>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</si>
  <si>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</si>
  <si>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</si>
  <si>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</si>
  <si>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</si>
  <si>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</si>
  <si>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</si>
  <si>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</si>
  <si>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</si>
  <si>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</si>
  <si>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</si>
  <si>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</si>
  <si>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</si>
  <si>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</si>
  <si>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</si>
  <si>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</si>
  <si>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</si>
  <si>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</si>
  <si>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</si>
  <si>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</si>
  <si>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</si>
  <si>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04.735.</t>
  </si>
  <si>
    <t>07.452.</t>
  </si>
  <si>
    <t>08.213.</t>
  </si>
  <si>
    <t>01.331.</t>
  </si>
  <si>
    <t>Pārējo vispārējas nozīmes dienestu darbība un pakalpojumi</t>
  </si>
  <si>
    <t>01.332.</t>
  </si>
  <si>
    <t>05.603.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</si>
  <si>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</si>
  <si>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</si>
  <si>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</si>
  <si>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</si>
  <si>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03.206.</t>
  </si>
  <si>
    <t>06.608.</t>
  </si>
  <si>
    <t>21.400.</t>
  </si>
  <si>
    <t>08.295.</t>
  </si>
  <si>
    <t>04.740.</t>
  </si>
  <si>
    <t>Vairāku mērķu attīstības projekti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</si>
  <si>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</si>
  <si>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</si>
  <si>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</si>
  <si>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</si>
  <si>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</si>
  <si>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</si>
  <si>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</si>
  <si>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</si>
  <si>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</si>
  <si>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</si>
  <si>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</si>
  <si>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</si>
  <si>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</si>
  <si>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</si>
  <si>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</si>
  <si>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</si>
  <si>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</si>
  <si>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</si>
  <si>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</si>
  <si>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</si>
  <si>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</si>
  <si>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</si>
  <si>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</si>
  <si>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</si>
  <si>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</si>
  <si>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12.399.</t>
  </si>
  <si>
    <t>Pārējie 21.300.grupā neklasificētie iestāžu ieņēmumi par iestāžu sniegtajiem maksas pakalpojumiem un citu pašu ieņēmumi</t>
  </si>
  <si>
    <t>08.108.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</si>
  <si>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</si>
  <si>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</si>
  <si>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</si>
  <si>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</si>
  <si>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Nosaukums</t>
  </si>
  <si>
    <t>Pārējie dažādi nenodokļu ieņēmumi, kas nav iepriekš klasificēti šajā klasifikācijā</t>
  </si>
  <si>
    <t>Nodibinājums "Jelgavnieku veselības veicināšanas fonds"</t>
  </si>
  <si>
    <t>08.109.</t>
  </si>
  <si>
    <t>Dienas centrs "Harmonija"</t>
  </si>
  <si>
    <t>Piedzītie un labprātīgi atmaksātie līdzekļi</t>
  </si>
  <si>
    <t>12.395.</t>
  </si>
  <si>
    <t>04.510.527.</t>
  </si>
  <si>
    <t>ERAF projekts "Tehniskās infrastruktūras sakārtošana uzņēmējdarbības attīstībai degradētajā teritorijā, 1.kārta"</t>
  </si>
  <si>
    <t>04.510.528.</t>
  </si>
  <si>
    <t>Projekts "Miera ielas un Aizsargu ielas asfalta seguma atjaunošana un tilta pār Platones upi pārbūve"</t>
  </si>
  <si>
    <t>09.219.6.</t>
  </si>
  <si>
    <t>ERAF projekts "Jelgavas Amatu vidusskolas infrastruktūras uzlabošana un mācību aprīkojuma modernizācija, 2.kārta"</t>
  </si>
  <si>
    <t>01.100.</t>
  </si>
  <si>
    <t>Ieņēmumi no iedzīvotāju ienākuma nodokļa</t>
  </si>
  <si>
    <t>05.400.</t>
  </si>
  <si>
    <t>Nodokļi atsevišķām precēm un pakalpojumu veidiem</t>
  </si>
  <si>
    <t>Pašvaldības nodeva par būvatļaujas izdošanu vai būvniecības ieceres akceptu</t>
  </si>
  <si>
    <t>Citi dažādi nenodokļu ieņēmumi</t>
  </si>
  <si>
    <t>12.393.</t>
  </si>
  <si>
    <t>Līgumsodi un procentu maksājumi par saistību neizpildi</t>
  </si>
  <si>
    <t>13.210.</t>
  </si>
  <si>
    <t>17.000.</t>
  </si>
  <si>
    <t>17.200.</t>
  </si>
  <si>
    <t>Pašvaldību saņemtie transferti no valsts budžeta</t>
  </si>
  <si>
    <t>Pašvaldību saņemtie valsts budžeta transferti</t>
  </si>
  <si>
    <t>Saņemtie aizņēmumi</t>
  </si>
  <si>
    <t>Ieņēmumi no zemes īpašuma pārdošanas</t>
  </si>
  <si>
    <t>21.194.</t>
  </si>
  <si>
    <t>Ieņēmumi no vadošā partnera partneru grupas īstenotajiem ārvalstu finanšu palīdzības projektiem</t>
  </si>
  <si>
    <t>21.351.</t>
  </si>
  <si>
    <t>Mācību maksa</t>
  </si>
  <si>
    <t>Pārējie ieņēmumi par izglītības pakalpojumiem</t>
  </si>
  <si>
    <t>21.379.</t>
  </si>
  <si>
    <t>21.359.</t>
  </si>
  <si>
    <t>Ieņēmumi par pārējo dokumentu izsniegšanu un pārējiem kancelejas pakalpojumiem</t>
  </si>
  <si>
    <t>21.831.</t>
  </si>
  <si>
    <t>Ieņēmumi par telpu nomu</t>
  </si>
  <si>
    <t>21.383.</t>
  </si>
  <si>
    <t>Ieņēmumi no kustamā īpašuma iznomāšanas</t>
  </si>
  <si>
    <t>Ieņēmumi par zemes nomu</t>
  </si>
  <si>
    <t>21.384.</t>
  </si>
  <si>
    <t>21.389.</t>
  </si>
  <si>
    <t>Pārējie ieņēmumi par nomu un īri</t>
  </si>
  <si>
    <t>21.391.</t>
  </si>
  <si>
    <t>21.393.</t>
  </si>
  <si>
    <t>21.394.</t>
  </si>
  <si>
    <t>21.395.</t>
  </si>
  <si>
    <t>21.399.</t>
  </si>
  <si>
    <t>Maksa par personu uzturēšanos sociālās aprūpes iestādēs</t>
  </si>
  <si>
    <t>Ieņēmumi par biļešu realizāciju</t>
  </si>
  <si>
    <t>Ieņēmumi par komunālajiem pakalpojumiem</t>
  </si>
  <si>
    <t>Ieņēmumi par projektu īstenošanu</t>
  </si>
  <si>
    <t>Citi ieņēmumi par maksas pakalpojumiem</t>
  </si>
  <si>
    <t>21.499.</t>
  </si>
  <si>
    <t>Pārējie iepriekš neklasificētie pašu ieņēmumi</t>
  </si>
  <si>
    <t>ESF projekts "Integrētu teritoriālo investīciju projektu iesniegumu atlases nodrošināšana Jelgavas pilsētas pašvaldībā"</t>
  </si>
  <si>
    <t>ESF projekts "Tehniskā palīdzība integrētu teritoriālo investīciju projektu iesniegumu atlašu nodrošināšanai Jelgavas pilsētas pašvaldībā"</t>
  </si>
  <si>
    <t>Finanšu un fiskālā darbība</t>
  </si>
  <si>
    <t>Zvērināto auditoru pakalpojumi un grāmatvedības programmu uzturēšana</t>
  </si>
  <si>
    <t>Pārējie iepriekš neklasificētie vispārējie valdības dienesti</t>
  </si>
  <si>
    <t>01.601.</t>
  </si>
  <si>
    <t>01.721.</t>
  </si>
  <si>
    <t>Pašvaldību budžetu parāda darījumi</t>
  </si>
  <si>
    <t>01.891.</t>
  </si>
  <si>
    <t>Pārējie citur neklasificētie vispārēja rakstura transferti starp dažādiem valsts pārvaldes līmeņiem</t>
  </si>
  <si>
    <t>03.100.</t>
  </si>
  <si>
    <t>Policija</t>
  </si>
  <si>
    <t>05.200.</t>
  </si>
  <si>
    <t>Vides piesārņojuma novēršana un samazināšana</t>
  </si>
  <si>
    <t>06.200.</t>
  </si>
  <si>
    <t>Teritoriju attīstība</t>
  </si>
  <si>
    <t>06.400.</t>
  </si>
  <si>
    <t>06.403.</t>
  </si>
  <si>
    <t>Emisiju kvotu izsolīšanas instrumenta projekts "Siltumnīcefekta gāzu emisiju samazināšana ar viedajām pilsētvides tehnoloģijām Jelgavā"</t>
  </si>
  <si>
    <t>Pārējā citur neklasificētā teritoriju un mājokļu apsaimniekošanas darbība</t>
  </si>
  <si>
    <t>Pašvaldības īpašumu apsaimniekošana</t>
  </si>
  <si>
    <t>Nodibinājums "Sporta tālākizglītības atbalsta fonds"</t>
  </si>
  <si>
    <t>Nacionālās sporta bāzes SIA "Zemgales olimpiskais centrs"-uzturēšanas izdevumu segšana</t>
  </si>
  <si>
    <t>Interreg V-A Latvijas - Lietuvas programmas projekts "Inovatīvu bibliotēku darbības risinājumu izveide dažādām paaudzēm pierobežas reģionā"</t>
  </si>
  <si>
    <t>08.330.</t>
  </si>
  <si>
    <t>Izdevniecība</t>
  </si>
  <si>
    <t>Nodibinājums "Kultūras tālākizglītības atbalsta fonds"</t>
  </si>
  <si>
    <t>Dotācijas biedrībām un nodibinājumiem</t>
  </si>
  <si>
    <t>Vispārējā izglītība. Pamatizglītība</t>
  </si>
  <si>
    <t>Interreg V - A Latvijas - Lietuvas programmas projekts "Tehniskās bāzes un operatīvo dienestu speciālistu fiziskās kapacitātes uzlabošana Latvijas un Lietuvas pierobežas reģionā"</t>
  </si>
  <si>
    <t>Nodibinājums "Izglītības atbalsta fonds"</t>
  </si>
  <si>
    <t>Pedagogu profesionālās meistarības pilnveidošana, rezidentu apmācība, tālākizglītība, Valsts administrācijas skolas nodrošinātā apmācība</t>
  </si>
  <si>
    <t>Līmeņos nedefinēta izglītība pieaugušajiem</t>
  </si>
  <si>
    <t>10.500.</t>
  </si>
  <si>
    <t>10.600.</t>
  </si>
  <si>
    <t>Mājokļa atbalsts</t>
  </si>
  <si>
    <t>10.710.</t>
  </si>
  <si>
    <t>Sociālo pakalpojumu centrs bērniem</t>
  </si>
  <si>
    <t>10.711.</t>
  </si>
  <si>
    <t>Projekts "Sabiedrībā balstītu sociālo pakalpojumu infrastruktūras izveide, Jelgavā"</t>
  </si>
  <si>
    <t>01.115.</t>
  </si>
  <si>
    <t>Projekts "Airēšanas bāzes būvniecība, I kārta "Lielupes krasta nostiprināšana Pilssalā, Jelgavā""</t>
  </si>
  <si>
    <t>4.pielikums</t>
  </si>
  <si>
    <t>01. JELGAVAS PILSĒTAS DOME</t>
  </si>
  <si>
    <t>Izdevumi kopā</t>
  </si>
  <si>
    <t>1000. Atlīdzība</t>
  </si>
  <si>
    <t>2000. Preces un pakalpojumi</t>
  </si>
  <si>
    <t>3000. Subsīdijas un dotācijas</t>
  </si>
  <si>
    <t>5000. Pamatkapitāla veidošana</t>
  </si>
  <si>
    <t>7000. Uzturēšanas izdevumu transferti, pašu resursu maksājumi, starptautiskā sadarbība</t>
  </si>
  <si>
    <t>01.111. Izpildvaras institūcija</t>
  </si>
  <si>
    <t>01.113. Projekts - 'Komunikācija ar sabiedrību tās iesaistei pašvaldības lēmumu pieņemšanā'</t>
  </si>
  <si>
    <t>01.115. ESF projekts - 'Tehniskā palīdzība integrētu teritoriālo investīciju projektu iesniegumu atlašu nodrošināšanai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</si>
  <si>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</si>
  <si>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</si>
  <si>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</si>
  <si>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</si>
  <si>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</si>
  <si>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</si>
  <si>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</si>
  <si>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04.901. Zemes reformas darbība, zemes īpašuma un lietošanas tiesību pārveidošana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</si>
  <si>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</si>
  <si>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</si>
  <si>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</si>
  <si>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</si>
  <si>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</si>
  <si>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</si>
  <si>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</si>
  <si>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</si>
  <si>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08.292. Pilsētas nozīmes pasākumi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</si>
  <si>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</si>
  <si>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</si>
  <si>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</si>
  <si>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</si>
  <si>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</si>
  <si>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</si>
  <si>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</si>
  <si>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</si>
  <si>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02. JELGAVAS PILSĒTAS DOMES FINANŠU NODAĻA</t>
  </si>
  <si>
    <t>01.122. Nekustamā īpašuma nodokļa u.c. pašvaldības ieņēmumu administrēšana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</si>
  <si>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</si>
  <si>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</si>
  <si>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</si>
  <si>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</si>
  <si>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</si>
  <si>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Nodibinājums 'Sporta tālākizglītības atbalsta fonds'</t>
  </si>
  <si>
    <t>08.401. Dotācijas projektu realizācijai NVO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</si>
  <si>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</si>
  <si>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</si>
  <si>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</si>
  <si>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</si>
  <si>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</si>
  <si>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</si>
  <si>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</si>
  <si>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</si>
  <si>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</si>
  <si>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</si>
  <si>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06. JELGAVAS PILSĒTAS PAŠVALDĪBAS IESTĀDE 'JELGAVAS REĢIONĀLAIS TŪRISMA CENTRS'</t>
  </si>
  <si>
    <t>04.733. PI 'Jelgavas reģionālais tūrisma centrs' darbības nodrošināšana</t>
  </si>
  <si>
    <t>07. JELGAVAS PILSĒTAS PAŠVALDĪBAS IESTĀDE 'PILSĒTSAIMNIECĪBA'</t>
  </si>
  <si>
    <t>6000. Sociālie pabalsti</t>
  </si>
  <si>
    <t>04.511. Ceļu un ielu infrastruktūras funkcionēšana, izmantošana, būvniecība un uzturēšana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</si>
  <si>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</si>
  <si>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</si>
  <si>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05.101. Ielu, laukumu, publisko dārzu un parku tīrīšana, atkritumu savākšana</t>
  </si>
  <si>
    <t>05.202. Notekūdeņu apsaimniekošana</t>
  </si>
  <si>
    <t>06.401. Ielu apgaismošana</t>
  </si>
  <si>
    <t>06.403. Emisijas kvotu izsolīšanas instrumenta projekts - 'Situmnīcefekta gāzu emisiju samazināšana ar viedajām pilsētvides tehnoloģijām Jelgavā'</t>
  </si>
  <si>
    <t>06.601. PI 'Pilsētsaimniecība' darbības nodrošināšana</t>
  </si>
  <si>
    <t>10.504. Atbalsts Bezdarba gadījumā</t>
  </si>
  <si>
    <t>08. JELGAVAS PILSĒTAS PAŠVALDĪBAS IESTĀDE 'SPORTA SERVISA CENTRS'</t>
  </si>
  <si>
    <t>08.101. PI 'Sporta servisa centrs' darbības nodrošināšana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</si>
  <si>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</si>
  <si>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</si>
  <si>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</si>
  <si>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</si>
  <si>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</si>
  <si>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</si>
  <si>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</si>
  <si>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</si>
  <si>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</si>
  <si>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</si>
  <si>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</si>
  <si>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</si>
  <si>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</si>
  <si>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</si>
  <si>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</si>
  <si>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09.531. PI 'Zemgales reģiona kompetenču attīstības centrs' darbības nodrošināšana</t>
  </si>
  <si>
    <t>09.532. PI 'Zemgales reģiona kompetenču attīstības centrs' projektu īstenošana</t>
  </si>
  <si>
    <t>01.831. Transferti citām pašvaldībām izglītības funkciju nodrošināšanai</t>
  </si>
  <si>
    <t>09.101. Jelgavas pirmsskolas izglītības iestāžu darbības nodrošināšana - kopsavilkums</t>
  </si>
  <si>
    <t>09.219.1. Jelgavas vispārizglītojošo skolu darbības nodrošināšana - kopsavilkums</t>
  </si>
  <si>
    <t>09.219.3. Jelgavas vispārizglītojošo skolu projektu īstenošana</t>
  </si>
  <si>
    <t>09.222.2. Jelgavas Amatu vidusskolas darbības nodrošināšana</t>
  </si>
  <si>
    <t>09.222.3. Jelgavas Amatu vidusskolas projektu īstenošana - kopsavilkums</t>
  </si>
  <si>
    <t>09.512. Jelgavas Mākslas skolas darbības nodrošināšana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</si>
  <si>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</si>
  <si>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</si>
  <si>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</si>
  <si>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</si>
  <si>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10.403. PI 'Jelgavas pilsētas bāriņtiesa' darbības nodrošināšana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</si>
  <si>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</si>
  <si>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</si>
  <si>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</si>
  <si>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</si>
  <si>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</si>
  <si>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10.121. Invalīdu rehabilitācijas pasākumi, invalīdu transporta izdevumi u.c. kompensācijas</t>
  </si>
  <si>
    <t>10.122. Dienas centrs 'Harmonija'</t>
  </si>
  <si>
    <t>10.123. Dienas centrs 'Integra'</t>
  </si>
  <si>
    <t>10.124. Dienas centrs 'Atbalsts'</t>
  </si>
  <si>
    <t>10.125. Grupu dzīvokļi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</si>
  <si>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</si>
  <si>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</si>
  <si>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</si>
  <si>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</si>
  <si>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</si>
  <si>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</si>
  <si>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</si>
  <si>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</si>
  <si>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10.710. Sociālo pakalpojumu centrs bērniem</t>
  </si>
  <si>
    <t>10.911. PI 'Jelgavas sociālo lietu pārvalde' darbības nodrošināšana</t>
  </si>
  <si>
    <t>10.921. Pabalsti ārkārtas gadījumos, citi pabalsti un maksājumi</t>
  </si>
  <si>
    <t>F40020000 Aizdevumu pamatsummu atmaksa</t>
  </si>
  <si>
    <t>F50010000.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</si>
  <si>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</si>
  <si>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</si>
  <si>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</si>
  <si>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PAVISAM KOPĀ</t>
  </si>
  <si>
    <t>ESF projekts "Sabiedrībā balstītu sociālo pakalpojumu nodrošināšana bērniem ar funkcionāliem traucējumiem"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</si>
  <si>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</si>
  <si>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</si>
  <si>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</si>
  <si>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</si>
  <si>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</si>
  <si>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</si>
  <si>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</si>
  <si>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</si>
  <si>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</si>
  <si>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</si>
  <si>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KOPĀ</t>
  </si>
  <si>
    <t>Valsts kase</t>
  </si>
  <si>
    <t>Investīciju projektu īstenošanai (saistību pārjaunojums)</t>
  </si>
  <si>
    <t>06.07.2018.-20.11.2034.</t>
  </si>
  <si>
    <t>Pamatsumma</t>
  </si>
  <si>
    <t>A2/1/18/441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</si>
  <si>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</si>
  <si>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</si>
  <si>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</si>
  <si>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</si>
  <si>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</si>
  <si>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</si>
  <si>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</si>
  <si>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</si>
  <si>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</si>
  <si>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</si>
  <si>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</si>
  <si>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</si>
  <si>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</si>
  <si>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</si>
  <si>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</si>
  <si>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</si>
  <si>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</si>
  <si>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</si>
  <si>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</si>
  <si>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</si>
  <si>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</si>
  <si>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Atmodas ielas posmu asfalta seguma atjaunošana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</si>
  <si>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</si>
  <si>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</si>
  <si>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</si>
  <si>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</si>
  <si>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</si>
  <si>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</si>
  <si>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</si>
  <si>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SIA "Jelgavas ūdens" pamatkapitāla palielināšanai projekta "Ūdenssaimniecības pakalpojumu attīstība Jelgavā, V kārta" īstenošanai</t>
  </si>
  <si>
    <t>31.08.2017.-20.03.2047.</t>
  </si>
  <si>
    <t>A2/1/17/632</t>
  </si>
  <si>
    <t>Izglītības iestāžu invest.pr. "Jelgavas PII "Rotaļa" ēkas rekonstrukcija"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</si>
  <si>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</si>
  <si>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</si>
  <si>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</si>
  <si>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</si>
  <si>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</si>
  <si>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</si>
  <si>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24.11.2017.-20.11.2022</t>
  </si>
  <si>
    <t>A2/1/17/842</t>
  </si>
  <si>
    <t>MUZEJA jumta skārda seguma nomaiņa un bēniņu pārseguma siltināšana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</si>
  <si>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</si>
  <si>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</si>
  <si>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</si>
  <si>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</si>
  <si>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</si>
  <si>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</si>
  <si>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</si>
  <si>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</si>
  <si>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</si>
  <si>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</si>
  <si>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</si>
  <si>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Pašvaldības izglītības iestāžu investīciju projekts "Jelgavas pilsētas pašvaldības ēkas Zemgales prospekts 7 pārbūve un jaunais būvapjoms (piebūve)", I un III kārta ("Junda" izvietošanai)</t>
  </si>
  <si>
    <t>05.07.2018.-20.03.2048.</t>
  </si>
  <si>
    <t>A2/1/18/435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</si>
  <si>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</si>
  <si>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</si>
  <si>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07.08.2018.- 20.06.2048.</t>
  </si>
  <si>
    <t>A2/1/18/541</t>
  </si>
  <si>
    <t>ERAF projekts ""Jelgavas pilsētas pašvaldības ēkas Zemgales prospekts 7 energoefektivitātes paaugstināšana" II kārta"</t>
  </si>
  <si>
    <t>07.08.2018.- 20.03.2048.</t>
  </si>
  <si>
    <t>A2/1/18/542</t>
  </si>
  <si>
    <t>Projekts "Asfaltbetona seguma izbūve Romas ielā posmā no Zemeņu ielas līdz Turaidas ielai"</t>
  </si>
  <si>
    <t>07.08.2018.- 20.03.2038.</t>
  </si>
  <si>
    <t>A2/1/18/543</t>
  </si>
  <si>
    <t>Jelgavas Valsts ģimnāzijas pārbūves papilddarbi</t>
  </si>
  <si>
    <t>30.08.2018.- 20.06.2038.</t>
  </si>
  <si>
    <t>A2/1/18/602</t>
  </si>
  <si>
    <t>Lat-Lit pārrobežu sadarbības programmas projekts "Civilās aizsardzības sistēmas pilnveidošana Jelgavas un Šauļu pilsētās (C-System)</t>
  </si>
  <si>
    <t>30.08.2018. -20.06.2028.</t>
  </si>
  <si>
    <t>A2/1/18/603</t>
  </si>
  <si>
    <t>Izglītības iestādes investīciju projekts "Jelgavas pilsētas pašvaldības PII "Gaismina" telpu vienkāršota atjaunošana"</t>
  </si>
  <si>
    <t>30.08.2018. - 20.06.2038.</t>
  </si>
  <si>
    <t>A2/1/18/604</t>
  </si>
  <si>
    <t>Pašvaldības prioritārais investīciju projekts "Jelgavas Kultūras nama ēkas fasādes, pamatu vertikālās hidroizolācijas atjaunošana un teritorijas sakārtošana"</t>
  </si>
  <si>
    <t>10.10.2018. -20.09.2038.</t>
  </si>
  <si>
    <t>A2/1/18/709</t>
  </si>
  <si>
    <t>SIA "Jelgavas ūdens" pamatkapitāla palielināšanai projektam "Ūdenssaimniecības pakalpojumu attīstība Jelgavā, V kārta"</t>
  </si>
  <si>
    <t>22.10.2018. - 20.09.2047.</t>
  </si>
  <si>
    <t>A2/1/18/736</t>
  </si>
  <si>
    <t>Lat -Lit pārrobežu sadarbības projekts "Tehniskās bāzes un operatīvo dienestu speciālistu fziskās kapacitātes uzlabošana Latvijas un Lietuvas pierobežas reģionā (All for safety)"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</si>
  <si>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</si>
  <si>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</si>
  <si>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</si>
  <si>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</si>
  <si>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Lat-Lit pārrobežu sadarbības programmas projekts "Inovatīvu bibliotēku darbības risinājumu izveide dažādām paaudzēm pierobežas reģionā"</t>
  </si>
  <si>
    <t>11.03.2019.-20.11.2038.</t>
  </si>
  <si>
    <t>A2/1/19/65</t>
  </si>
  <si>
    <t>02.04.2019.- 20.03.2049.</t>
  </si>
  <si>
    <t>A2/1/19/84</t>
  </si>
  <si>
    <t>17.05.2019.- 20.03.2049.</t>
  </si>
  <si>
    <t>A2/1/19/156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</si>
  <si>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</si>
  <si>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</si>
  <si>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</si>
  <si>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</si>
  <si>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</si>
  <si>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pieaugums pret iepriekšējo gadu</t>
  </si>
  <si>
    <t>Kopējo saistību pieaugums pret iepriekšējo gadu</t>
  </si>
  <si>
    <t>Galvojumi:</t>
  </si>
  <si>
    <t>SIA Jelgavas ūdens - Ūdenssaimniecība II kārta</t>
  </si>
  <si>
    <t>03.12.2010. - 20.12.2030.</t>
  </si>
  <si>
    <t>A/1/10/1025</t>
  </si>
  <si>
    <t>SIA Jelgavas ūdens - Ūdenssaimniecība III kārta</t>
  </si>
  <si>
    <t>18.12.2013. - 20.12.2030.</t>
  </si>
  <si>
    <t>G/13/1206</t>
  </si>
  <si>
    <t xml:space="preserve">  Kopā pamatsummas                  </t>
  </si>
  <si>
    <t>Galvojumu saistības kopā</t>
  </si>
  <si>
    <t xml:space="preserve"> Kopā pamatsummas                  </t>
  </si>
  <si>
    <t xml:space="preserve">         JELGAVAS PILSĒTAS PAŠVALDĪBAS ILGTERMIŅA SAISTĪBAS</t>
  </si>
  <si>
    <t>Nodibinājumas "J.Bisenieka fonds"</t>
  </si>
  <si>
    <t>03.206. Interreg V-A Latvijas - Lietuvas programmas projekts  - 'Civilās aizsardzības saistēmas pilnveidošana Jelgavas un Šauļu pilsētās'</t>
  </si>
  <si>
    <t>07.623. Fonds 'Jelgavnieku veselības veicināšanas fonds'</t>
  </si>
  <si>
    <t>A2/1/19/231</t>
  </si>
  <si>
    <t>19.06.2019.-20.03.2049.</t>
  </si>
  <si>
    <t>KF projekts "Loka maģistrāles pārbūve posmā no Kalnciema ceļa līdz Jelgavas administratīvajai robežai"</t>
  </si>
  <si>
    <t>18.09.2019.-20.03.2049.</t>
  </si>
  <si>
    <t>A2/1/19/337</t>
  </si>
  <si>
    <t>ERAF projekts "Tehniskās infrastruktūras sakārtošana uzņēmējdarbības attīstībai degradētajā teritorijā, 1.kārta" (Riska likme)</t>
  </si>
  <si>
    <t>A2/1/19/338</t>
  </si>
  <si>
    <t>A2/1/19/339</t>
  </si>
  <si>
    <t>VB līdzfinansēts projekts "Miera ielas un Aizsargu ielas asfalta seguma atjaunošana un tilta pār Platones upi pārbūve"</t>
  </si>
  <si>
    <t>A2/1/19/340</t>
  </si>
  <si>
    <t>Pamatsummu atmaksa pēc grafika</t>
  </si>
  <si>
    <t xml:space="preserve"> Saistību īpatsvars bez priekšfinansējuma atmaksām</t>
  </si>
  <si>
    <t>Jelgavas speciālo skolu un speciālās pirmsskolas izglītības programma</t>
  </si>
  <si>
    <t>21.429.</t>
  </si>
  <si>
    <t>Pārējie iepriekš neklasificētie īpašiem mērķiem noteiktie ieņēmumi</t>
  </si>
  <si>
    <t>05.303.</t>
  </si>
  <si>
    <t>09.534.</t>
  </si>
  <si>
    <t>ESF projekts "Nodarbināto personu profesionālās kompetences pilnveide"</t>
  </si>
  <si>
    <t>09.820.</t>
  </si>
  <si>
    <t>09.821.</t>
  </si>
  <si>
    <t>Projekts "Jelgava jauniešiem II"</t>
  </si>
  <si>
    <t>Pārējie citur neklasificētie izglītības pakalpojumi</t>
  </si>
  <si>
    <t>10.129.</t>
  </si>
  <si>
    <t>ESF projekts "Par individuālā budžeta modeļa aprobāciju pilngadīgām personām ar garīga rakstura traucējumiem sabiedrībā balstītu sociālo pakalpojumu nodrošināšanai"</t>
  </si>
  <si>
    <t>6.pielikums</t>
  </si>
  <si>
    <t>Ieņēmumu grozījumi               + vai -</t>
  </si>
  <si>
    <t>PAVISAM RESURSI KOPĀ</t>
  </si>
  <si>
    <t>Izdevumu grozījumi          + vai -</t>
  </si>
  <si>
    <t>Ziedojumi/ dāvinājumi</t>
  </si>
  <si>
    <t>PAVISAM IZDEVUMI KOPĀ</t>
  </si>
  <si>
    <t>09.821. Projekts 'Jelgava jauniešiem'</t>
  </si>
  <si>
    <t>4000. Procentu izdevumi</t>
  </si>
  <si>
    <t>09.513.1. Jelgavas Bērnu un jaunatnes sporta skola</t>
  </si>
  <si>
    <t>09.513.2. Jelgavas Specializētā peldēšanas skola</t>
  </si>
  <si>
    <t>09.513.3. Jelgavas Ledus sporta skola</t>
  </si>
  <si>
    <t>09.219.2. Jelgavas speciālo skolu un speciālās pirmsskolas izglītības programma - kopsavilkums</t>
  </si>
  <si>
    <t>10.129. ESF projekts 'Par individuālā budžeta modeļa aprobāciju pilngadīgām personām ar garīga rakstura traucējumiem sabiedrībā balstītu sociālo pakalpojumu nodrošināšanai'</t>
  </si>
  <si>
    <t>JELGAVAS PILSĒTAS PAŠVALDĪBAS 2020.GADA BUDŽETS</t>
  </si>
  <si>
    <t>Plāns 2020.gadam</t>
  </si>
  <si>
    <t>05.530.</t>
  </si>
  <si>
    <t>Dabas resursu nodoklis</t>
  </si>
  <si>
    <t>Pašvaldības nodeva par domes izstrādāto oficiālo dokumentu un apliecinātu to kopiju saņemšanu</t>
  </si>
  <si>
    <t>21.191.</t>
  </si>
  <si>
    <t>Ieņēmumi no citu Eiropas Savienības politiku instrumentu līdzfinansēto projektu un pasākumu īstenošanas, kas nav Eiropas Savienības struktūrfondi</t>
  </si>
  <si>
    <t>Naudas līdzekļu atlikums uz 31.12.2019.</t>
  </si>
  <si>
    <t>04.510.529.</t>
  </si>
  <si>
    <t>ERAF projekts "Tehniskās infrastruktūras sakārtošana uzņēmējdarbības attīstībai degradētajā teritorijā, 2.kārta"</t>
  </si>
  <si>
    <t>Dotācija pašvaldības kapitālsabiedrībām no dabas resursu nodokļa fonda</t>
  </si>
  <si>
    <t>09.111.</t>
  </si>
  <si>
    <t>Projekts "Ēkas pārbūve par pirmskolas izglītības iestādi Brīvības bulvārī 31 A, Jelgavā"</t>
  </si>
  <si>
    <t>09.219.8.</t>
  </si>
  <si>
    <t>ERAF projekts "Jelgavas pilsētas pašvaldības izglītības iestādes "Jelgavas Tehnoloģiju vidusskola" energoefektivitātes paaugstināšana"</t>
  </si>
  <si>
    <t>2035-2050</t>
  </si>
  <si>
    <t>SIA Jelgavas ūdens - Ūdenssaimniecības pakalpojumu attīstība Jelgavā, V kārta</t>
  </si>
  <si>
    <t>Pirmstermiņa atmaksas uz xx.xx.2020.</t>
  </si>
  <si>
    <t>Jelgavas pilsētas pašvaldības 2020.gada ziedojumu un dāvinājumu budžeta kopsavilkums</t>
  </si>
  <si>
    <t>Resursu plāns 2020.gadam</t>
  </si>
  <si>
    <t>Ziedojumu un dāvinājumu budžeta izdevumi</t>
  </si>
  <si>
    <t>Valdības funkcijas kods</t>
  </si>
  <si>
    <t>Izdevumu plāns uz 2020.gadam</t>
  </si>
  <si>
    <t>PI "Ģ.Eliasa Jelgavas Vēstures un mākslas muzejs" muzeja krājumu iegādei</t>
  </si>
  <si>
    <t>PI  "Kultūra" darbības nodrošināšana</t>
  </si>
  <si>
    <t>PI "Jelgavas Izglītības pārvalde" darbības nodrošināšana</t>
  </si>
  <si>
    <t>2020.gada plāns</t>
  </si>
  <si>
    <t>JELGAVAS PILSĒTAS PAŠVALDĪBAS 2020.GADA PAMATBUDŽETS ATŠIFRĒJUMĀ PA PROGRAMMĀM UN EKONOMISKĀS KLASIFIKĀCIJAS KODIEM</t>
  </si>
  <si>
    <t>04.510.529. ERAF projekts 'Tehniskās infrastruktūras sakārtošana uzņēmējdarbības attīstībai degradētajā teritorijā, 2.kārta'</t>
  </si>
  <si>
    <t>09.111. Projekts - 'Ēkas pārbūve par pirmskolas izglītības iestādi Brīvības bulvārī 31 A, Jelgavā'</t>
  </si>
  <si>
    <t>09.219.8. ERAF projekts - 'Jelgavas pilsētas pašvaldības izglītības iestādes 'Jelgavas Tehnoloģiju vidusskola' energoefektivitātes paaugstināšana'</t>
  </si>
  <si>
    <t>16.03.2020.-20.02.2050.</t>
  </si>
  <si>
    <t>G/20/86</t>
  </si>
  <si>
    <t>Precizētais plāns uz 18.062020.</t>
  </si>
  <si>
    <t>Precizētais plāns uz 18.06.2020.</t>
  </si>
  <si>
    <t>Precizētais resursu plāns uz 18.06.2020.</t>
  </si>
  <si>
    <t>Precizētais izdevumu plāns uz 18.06.2020.</t>
  </si>
  <si>
    <t>10.923.</t>
  </si>
  <si>
    <t>Ārkārtas pabalstu izmaksa (JIP)</t>
  </si>
  <si>
    <t>23.410.</t>
  </si>
  <si>
    <t>Ieņēmumi no juridiskām personām</t>
  </si>
  <si>
    <t>Priekšfinansējuma atmaksas uz 31.05.2020.</t>
  </si>
  <si>
    <t>Citi interešu izglītības pasākumi, t.sk. Jaunrades nams "Junda"</t>
  </si>
  <si>
    <t>Ziedojumu un dāvinājumu budžeta resursi</t>
  </si>
  <si>
    <t>01.601. Vēlēšanu organizēšana</t>
  </si>
  <si>
    <t>01.721. Parāda procentu nomaksa</t>
  </si>
  <si>
    <t>05.303. Dotācija pašvaldības komersantiem</t>
  </si>
  <si>
    <t>06.602. Pašvaldības teritorijas, mežu un kapsētu apsaimniekošana, klaiņojošo dzīvnieku likvidācija</t>
  </si>
  <si>
    <t>13. JELGAVAS PILSĒTAS PAŠVALDĪBAS IESTĀDE 'ZEMGALES REĢIONA KOMPETENČU ATTĪSTĪBAS CENTRS'</t>
  </si>
  <si>
    <t>14. JELGAVAS PILSĒTAS PAŠVALDĪBAS IESTĀDE 'JELGAVAS IZGLĪTĪBAS PĀRVALDE'</t>
  </si>
  <si>
    <t>10.923. Ārkārtas pabalstu izmaksa (JIP)</t>
  </si>
  <si>
    <t>15. JELGAVAS PILSĒTAS PAŠVALDIBAS IESTĀDE 'JELGAVAS PILSĒTAS BĀRIŅTIESA'</t>
  </si>
  <si>
    <t>16. JELGAVAS PILSĒTAS PAŠVALDĪBAS IESTĀDE 'JELGAVAS SOCIĀLO LIETU PĀRVALDE'</t>
  </si>
  <si>
    <t>17. FINANSĒŠANA</t>
  </si>
  <si>
    <t>09.511. Pārējie interešu izglītības pasākumi, t.sk. 'Jaunrades nams 'Junda'' darbības nodrošināšana</t>
  </si>
  <si>
    <t>7.pielikums</t>
  </si>
  <si>
    <t>JELGAVAS PILSĒTAS PAŠVALDĪBAS 2020.GADA ZIEDOJUMU UN DĀVINĀJUMU BUDŽETA ATŠIFRĒJUMS PA PROGRAMMĀM UN EKONOMISKĀS KLASIFIKĀCIJAS KODIEM</t>
  </si>
  <si>
    <t>Grozījumi       + vai -</t>
  </si>
  <si>
    <t>Grozījumi        + vai -</t>
  </si>
  <si>
    <t>09.511. Pārējie interešu izglītības pasākumi, t.sk. Jaunrades nams 'Junda' darbības nodrošināšana</t>
  </si>
  <si>
    <t>SAISTOŠAJIEM NOTEIKUMIEM Nr.20-27</t>
  </si>
  <si>
    <t>18.06.2020. prot. Nr.11/3</t>
  </si>
  <si>
    <t>18.06.2020. prot.Nr.11/3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</si>
</sst>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_-* #,##0\ _L_s_-;\-* #,##0\ _L_s_-;_-* &quot;-&quot;??\ _L_s_-;_-@_-"/>
    <numFmt numFmtId="167" formatCode="#,##0.00_ ;\-#,##0.00\ "/>
    <numFmt numFmtId="168" formatCode="0.000%"/>
  </numFmts>
  <fonts count="6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i/>
      <sz val="9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"/>
      <family val="1"/>
      <charset val="186"/>
    </font>
    <font>
      <sz val="7.5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0" fontId="14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6" fillId="0" borderId="0"/>
    <xf numFmtId="0" fontId="14" fillId="0" borderId="0"/>
    <xf numFmtId="0" fontId="13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6" applyNumberFormat="0" applyAlignment="0" applyProtection="0"/>
    <xf numFmtId="0" fontId="28" fillId="9" borderId="7" applyNumberFormat="0" applyAlignment="0" applyProtection="0"/>
    <xf numFmtId="0" fontId="29" fillId="9" borderId="6" applyNumberFormat="0" applyAlignment="0" applyProtection="0"/>
    <xf numFmtId="0" fontId="30" fillId="0" borderId="8" applyNumberFormat="0" applyFill="0" applyAlignment="0" applyProtection="0"/>
    <xf numFmtId="0" fontId="31" fillId="10" borderId="9" applyNumberFormat="0" applyAlignment="0" applyProtection="0"/>
    <xf numFmtId="0" fontId="32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33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34" fillId="35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3" fillId="0" borderId="0"/>
    <xf numFmtId="0" fontId="47" fillId="0" borderId="0"/>
    <xf numFmtId="164" fontId="14" fillId="0" borderId="0" applyFont="0" applyFill="0" applyBorder="0" applyAlignment="0" applyProtection="0"/>
    <xf numFmtId="0" fontId="14" fillId="0" borderId="0"/>
    <xf numFmtId="0" fontId="6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65" fillId="0" borderId="0"/>
  </cellStyleXfs>
  <cellXfs count="5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1" fillId="0" borderId="0" xfId="0" applyFont="1" applyFill="1"/>
    <xf numFmtId="0" fontId="11" fillId="0" borderId="0" xfId="0" applyFont="1"/>
    <xf numFmtId="0" fontId="42" fillId="0" borderId="0" xfId="0" applyFont="1"/>
    <xf numFmtId="0" fontId="17" fillId="0" borderId="12" xfId="0" applyFont="1" applyBorder="1" applyAlignment="1">
      <alignment wrapText="1"/>
    </xf>
    <xf numFmtId="0" fontId="11" fillId="0" borderId="1" xfId="0" applyFont="1" applyBorder="1"/>
    <xf numFmtId="3" fontId="17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2"/>
    </xf>
    <xf numFmtId="3" fontId="17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3" fontId="35" fillId="0" borderId="1" xfId="0" applyNumberFormat="1" applyFont="1" applyFill="1" applyBorder="1" applyAlignment="1">
      <alignment vertical="center"/>
    </xf>
    <xf numFmtId="3" fontId="2" fillId="0" borderId="0" xfId="0" applyNumberFormat="1" applyFont="1"/>
    <xf numFmtId="0" fontId="11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7" fillId="4" borderId="1" xfId="0" applyNumberFormat="1" applyFont="1" applyFill="1" applyBorder="1" applyAlignment="1">
      <alignment vertical="center"/>
    </xf>
    <xf numFmtId="3" fontId="1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4" fillId="3" borderId="1" xfId="0" applyFont="1" applyFill="1" applyBorder="1" applyAlignment="1">
      <alignment vertical="center"/>
    </xf>
    <xf numFmtId="0" fontId="39" fillId="3" borderId="1" xfId="0" applyFont="1" applyFill="1" applyBorder="1"/>
    <xf numFmtId="0" fontId="44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44" fillId="3" borderId="1" xfId="0" applyFont="1" applyFill="1" applyBorder="1"/>
    <xf numFmtId="3" fontId="44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right" vertical="center"/>
    </xf>
    <xf numFmtId="0" fontId="46" fillId="36" borderId="1" xfId="0" applyFont="1" applyFill="1" applyBorder="1" applyAlignment="1">
      <alignment horizontal="left" vertical="center" wrapText="1" indent="2"/>
    </xf>
    <xf numFmtId="0" fontId="43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 indent="2"/>
    </xf>
    <xf numFmtId="3" fontId="37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8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vertical="center"/>
    </xf>
    <xf numFmtId="0" fontId="12" fillId="36" borderId="1" xfId="0" applyFont="1" applyFill="1" applyBorder="1" applyAlignment="1">
      <alignment horizontal="right" vertical="center"/>
    </xf>
    <xf numFmtId="0" fontId="12" fillId="36" borderId="1" xfId="0" applyFont="1" applyFill="1" applyBorder="1" applyAlignment="1">
      <alignment horizontal="left" vertical="center" wrapText="1" indent="2"/>
    </xf>
    <xf numFmtId="3" fontId="37" fillId="36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horizontal="right" vertical="center"/>
    </xf>
    <xf numFmtId="3" fontId="37" fillId="36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 indent="1"/>
    </xf>
    <xf numFmtId="0" fontId="4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3" fontId="49" fillId="0" borderId="0" xfId="0" applyNumberFormat="1" applyFont="1"/>
    <xf numFmtId="0" fontId="49" fillId="0" borderId="0" xfId="0" applyFont="1"/>
    <xf numFmtId="3" fontId="17" fillId="4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2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3" fontId="48" fillId="2" borderId="1" xfId="0" applyNumberFormat="1" applyFont="1" applyFill="1" applyBorder="1" applyAlignment="1">
      <alignment horizontal="center" vertical="center"/>
    </xf>
    <xf numFmtId="3" fontId="50" fillId="2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6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3" fontId="4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45" fillId="3" borderId="1" xfId="0" applyNumberFormat="1" applyFont="1" applyFill="1" applyBorder="1" applyAlignment="1">
      <alignment vertical="center"/>
    </xf>
    <xf numFmtId="165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 indent="2"/>
    </xf>
    <xf numFmtId="0" fontId="11" fillId="0" borderId="0" xfId="0" applyFont="1" applyAlignment="1">
      <alignment vertical="center" wrapText="1"/>
    </xf>
    <xf numFmtId="0" fontId="10" fillId="0" borderId="0" xfId="0" applyFont="1"/>
    <xf numFmtId="0" fontId="17" fillId="0" borderId="1" xfId="0" applyFont="1" applyFill="1" applyBorder="1" applyAlignment="1">
      <alignment horizontal="left" vertical="center"/>
    </xf>
    <xf numFmtId="3" fontId="35" fillId="0" borderId="1" xfId="0" applyNumberFormat="1" applyFont="1" applyFill="1" applyBorder="1" applyAlignment="1">
      <alignment horizontal="right" vertical="center"/>
    </xf>
    <xf numFmtId="0" fontId="37" fillId="0" borderId="0" xfId="54" applyFont="1" applyAlignment="1">
      <alignment horizontal="right"/>
    </xf>
    <xf numFmtId="0" fontId="11" fillId="0" borderId="0" xfId="54" applyFont="1" applyFill="1" applyBorder="1" applyAlignment="1">
      <alignment horizontal="right"/>
    </xf>
    <xf numFmtId="4" fontId="54" fillId="36" borderId="29" xfId="9" applyNumberFormat="1" applyFont="1" applyFill="1" applyBorder="1"/>
    <xf numFmtId="0" fontId="54" fillId="0" borderId="31" xfId="56" applyFont="1" applyFill="1" applyBorder="1" applyAlignment="1">
      <alignment horizontal="center" vertical="center"/>
    </xf>
    <xf numFmtId="10" fontId="54" fillId="0" borderId="31" xfId="9" applyNumberFormat="1" applyFont="1" applyFill="1" applyBorder="1" applyAlignment="1">
      <alignment horizontal="center" vertical="center"/>
    </xf>
    <xf numFmtId="4" fontId="54" fillId="36" borderId="34" xfId="9" applyNumberFormat="1" applyFont="1" applyFill="1" applyBorder="1"/>
    <xf numFmtId="0" fontId="54" fillId="0" borderId="36" xfId="9" applyFont="1" applyFill="1" applyBorder="1" applyAlignment="1">
      <alignment horizontal="center" wrapText="1"/>
    </xf>
    <xf numFmtId="3" fontId="54" fillId="0" borderId="36" xfId="9" applyNumberFormat="1" applyFont="1" applyFill="1" applyBorder="1"/>
    <xf numFmtId="0" fontId="54" fillId="0" borderId="39" xfId="9" applyFont="1" applyFill="1" applyBorder="1" applyAlignment="1">
      <alignment horizontal="center" wrapText="1"/>
    </xf>
    <xf numFmtId="3" fontId="54" fillId="0" borderId="39" xfId="9" applyNumberFormat="1" applyFont="1" applyFill="1" applyBorder="1"/>
    <xf numFmtId="4" fontId="54" fillId="0" borderId="26" xfId="9" applyNumberFormat="1" applyFont="1" applyFill="1" applyBorder="1"/>
    <xf numFmtId="3" fontId="54" fillId="0" borderId="31" xfId="9" applyNumberFormat="1" applyFont="1" applyFill="1" applyBorder="1"/>
    <xf numFmtId="4" fontId="54" fillId="0" borderId="36" xfId="59" applyNumberFormat="1" applyFont="1" applyFill="1" applyBorder="1" applyAlignment="1">
      <alignment horizontal="right" vertical="center"/>
    </xf>
    <xf numFmtId="3" fontId="54" fillId="0" borderId="37" xfId="59" applyNumberFormat="1" applyFont="1" applyFill="1" applyBorder="1" applyAlignment="1">
      <alignment horizontal="right" vertical="center"/>
    </xf>
    <xf numFmtId="3" fontId="54" fillId="0" borderId="39" xfId="59" applyNumberFormat="1" applyFont="1" applyFill="1" applyBorder="1" applyAlignment="1">
      <alignment horizontal="right" vertical="center"/>
    </xf>
    <xf numFmtId="3" fontId="54" fillId="0" borderId="40" xfId="59" applyNumberFormat="1" applyFont="1" applyFill="1" applyBorder="1" applyAlignment="1">
      <alignment horizontal="right" vertical="center"/>
    </xf>
    <xf numFmtId="4" fontId="54" fillId="0" borderId="26" xfId="59" applyNumberFormat="1" applyFont="1" applyFill="1" applyBorder="1" applyAlignment="1">
      <alignment horizontal="right" vertical="center"/>
    </xf>
    <xf numFmtId="4" fontId="54" fillId="0" borderId="28" xfId="59" applyNumberFormat="1" applyFont="1" applyFill="1" applyBorder="1" applyAlignment="1">
      <alignment horizontal="right" vertical="center"/>
    </xf>
    <xf numFmtId="3" fontId="54" fillId="0" borderId="31" xfId="59" applyNumberFormat="1" applyFont="1" applyFill="1" applyBorder="1" applyAlignment="1">
      <alignment horizontal="right" vertical="center"/>
    </xf>
    <xf numFmtId="3" fontId="54" fillId="0" borderId="33" xfId="59" applyNumberFormat="1" applyFont="1" applyFill="1" applyBorder="1" applyAlignment="1">
      <alignment horizontal="right" vertical="center"/>
    </xf>
    <xf numFmtId="3" fontId="54" fillId="0" borderId="26" xfId="56" applyNumberFormat="1" applyFont="1" applyFill="1" applyBorder="1"/>
    <xf numFmtId="3" fontId="54" fillId="0" borderId="31" xfId="56" applyNumberFormat="1" applyFont="1" applyFill="1" applyBorder="1"/>
    <xf numFmtId="3" fontId="54" fillId="0" borderId="28" xfId="56" applyNumberFormat="1" applyFont="1" applyFill="1" applyBorder="1"/>
    <xf numFmtId="3" fontId="54" fillId="0" borderId="33" xfId="56" applyNumberFormat="1" applyFont="1" applyFill="1" applyBorder="1"/>
    <xf numFmtId="3" fontId="54" fillId="0" borderId="26" xfId="9" applyNumberFormat="1" applyFont="1" applyFill="1" applyBorder="1"/>
    <xf numFmtId="4" fontId="54" fillId="0" borderId="26" xfId="56" applyNumberFormat="1" applyFont="1" applyFill="1" applyBorder="1"/>
    <xf numFmtId="4" fontId="54" fillId="0" borderId="28" xfId="56" applyNumberFormat="1" applyFont="1" applyFill="1" applyBorder="1"/>
    <xf numFmtId="0" fontId="54" fillId="0" borderId="0" xfId="9" applyFont="1" applyFill="1" applyBorder="1" applyAlignment="1"/>
    <xf numFmtId="0" fontId="54" fillId="0" borderId="31" xfId="56" applyFont="1" applyFill="1" applyBorder="1" applyAlignment="1">
      <alignment horizontal="center"/>
    </xf>
    <xf numFmtId="0" fontId="52" fillId="0" borderId="31" xfId="56" applyFont="1" applyFill="1" applyBorder="1"/>
    <xf numFmtId="10" fontId="57" fillId="38" borderId="55" xfId="11" applyNumberFormat="1" applyFont="1" applyFill="1" applyBorder="1" applyAlignment="1">
      <alignment horizontal="center"/>
    </xf>
    <xf numFmtId="10" fontId="57" fillId="38" borderId="53" xfId="11" applyNumberFormat="1" applyFont="1" applyFill="1" applyBorder="1" applyAlignment="1">
      <alignment horizontal="center"/>
    </xf>
    <xf numFmtId="10" fontId="57" fillId="39" borderId="56" xfId="11" applyNumberFormat="1" applyFont="1" applyFill="1" applyBorder="1" applyAlignment="1">
      <alignment horizontal="center"/>
    </xf>
    <xf numFmtId="4" fontId="56" fillId="0" borderId="26" xfId="9" applyNumberFormat="1" applyFont="1" applyFill="1" applyBorder="1"/>
    <xf numFmtId="4" fontId="56" fillId="0" borderId="28" xfId="9" applyNumberFormat="1" applyFont="1" applyFill="1" applyBorder="1"/>
    <xf numFmtId="4" fontId="56" fillId="0" borderId="31" xfId="9" applyNumberFormat="1" applyFont="1" applyFill="1" applyBorder="1"/>
    <xf numFmtId="4" fontId="56" fillId="0" borderId="33" xfId="9" applyNumberFormat="1" applyFont="1" applyFill="1" applyBorder="1"/>
    <xf numFmtId="4" fontId="54" fillId="0" borderId="31" xfId="9" applyNumberFormat="1" applyFont="1" applyFill="1" applyBorder="1"/>
    <xf numFmtId="0" fontId="60" fillId="0" borderId="0" xfId="60" applyFont="1" applyProtection="1">
      <protection locked="0"/>
    </xf>
    <xf numFmtId="0" fontId="38" fillId="0" borderId="0" xfId="60" applyFont="1" applyProtection="1">
      <protection locked="0"/>
    </xf>
    <xf numFmtId="0" fontId="38" fillId="0" borderId="0" xfId="60" applyFont="1" applyBorder="1" applyProtection="1">
      <protection locked="0"/>
    </xf>
    <xf numFmtId="14" fontId="37" fillId="0" borderId="0" xfId="60" applyNumberFormat="1" applyFont="1" applyProtection="1"/>
    <xf numFmtId="3" fontId="8" fillId="0" borderId="0" xfId="0" applyNumberFormat="1" applyFont="1"/>
    <xf numFmtId="3" fontId="17" fillId="39" borderId="54" xfId="9" applyNumberFormat="1" applyFont="1" applyFill="1" applyBorder="1" applyAlignment="1">
      <alignment horizontal="center"/>
    </xf>
    <xf numFmtId="0" fontId="54" fillId="0" borderId="31" xfId="56" applyFont="1" applyFill="1" applyBorder="1"/>
    <xf numFmtId="3" fontId="62" fillId="39" borderId="12" xfId="9" applyNumberFormat="1" applyFont="1" applyFill="1" applyBorder="1" applyAlignment="1"/>
    <xf numFmtId="4" fontId="54" fillId="0" borderId="28" xfId="9" applyNumberFormat="1" applyFont="1" applyFill="1" applyBorder="1"/>
    <xf numFmtId="4" fontId="54" fillId="0" borderId="33" xfId="9" applyNumberFormat="1" applyFont="1" applyFill="1" applyBorder="1"/>
    <xf numFmtId="0" fontId="11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right" vertical="center"/>
    </xf>
    <xf numFmtId="0" fontId="44" fillId="0" borderId="0" xfId="0" applyFont="1"/>
    <xf numFmtId="0" fontId="45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3" fontId="10" fillId="0" borderId="1" xfId="0" applyNumberFormat="1" applyFont="1" applyBorder="1"/>
    <xf numFmtId="3" fontId="11" fillId="4" borderId="1" xfId="0" applyNumberFormat="1" applyFont="1" applyFill="1" applyBorder="1"/>
    <xf numFmtId="0" fontId="11" fillId="3" borderId="1" xfId="0" applyFont="1" applyFill="1" applyBorder="1"/>
    <xf numFmtId="3" fontId="9" fillId="3" borderId="1" xfId="0" applyNumberFormat="1" applyFont="1" applyFill="1" applyBorder="1"/>
    <xf numFmtId="3" fontId="45" fillId="3" borderId="1" xfId="0" applyNumberFormat="1" applyFont="1" applyFill="1" applyBorder="1"/>
    <xf numFmtId="0" fontId="63" fillId="0" borderId="0" xfId="0" applyFont="1" applyAlignment="1">
      <alignment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54" fillId="0" borderId="26" xfId="9" applyFont="1" applyFill="1" applyBorder="1" applyAlignment="1">
      <alignment horizontal="center" wrapText="1"/>
    </xf>
    <xf numFmtId="0" fontId="54" fillId="0" borderId="31" xfId="9" applyFont="1" applyFill="1" applyBorder="1" applyAlignment="1">
      <alignment horizontal="center" wrapText="1"/>
    </xf>
    <xf numFmtId="0" fontId="54" fillId="0" borderId="26" xfId="9" applyFont="1" applyFill="1" applyBorder="1" applyAlignment="1">
      <alignment horizontal="center" vertical="center" wrapText="1"/>
    </xf>
    <xf numFmtId="0" fontId="54" fillId="0" borderId="31" xfId="9" applyFont="1" applyFill="1" applyBorder="1" applyAlignment="1">
      <alignment horizontal="center" vertical="center" wrapText="1"/>
    </xf>
    <xf numFmtId="0" fontId="54" fillId="0" borderId="36" xfId="9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 indent="2"/>
    </xf>
    <xf numFmtId="0" fontId="12" fillId="0" borderId="1" xfId="0" applyFont="1" applyFill="1" applyBorder="1" applyAlignment="1">
      <alignment horizontal="left" wrapText="1" indent="2"/>
    </xf>
    <xf numFmtId="0" fontId="12" fillId="0" borderId="1" xfId="0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right" vertical="center"/>
    </xf>
    <xf numFmtId="0" fontId="46" fillId="0" borderId="1" xfId="0" applyFont="1" applyFill="1" applyBorder="1" applyAlignment="1">
      <alignment horizontal="right" vertical="center"/>
    </xf>
    <xf numFmtId="0" fontId="46" fillId="0" borderId="1" xfId="0" applyFont="1" applyFill="1" applyBorder="1" applyAlignment="1">
      <alignment horizontal="left" vertical="center" wrapText="1" indent="2"/>
    </xf>
    <xf numFmtId="0" fontId="14" fillId="0" borderId="0" xfId="9"/>
    <xf numFmtId="0" fontId="37" fillId="0" borderId="0" xfId="9" applyFont="1" applyFill="1"/>
    <xf numFmtId="0" fontId="37" fillId="0" borderId="0" xfId="9" applyFont="1" applyAlignment="1">
      <alignment vertical="center"/>
    </xf>
    <xf numFmtId="0" fontId="37" fillId="0" borderId="0" xfId="9" applyFont="1"/>
    <xf numFmtId="0" fontId="37" fillId="0" borderId="0" xfId="9" applyFont="1" applyAlignment="1">
      <alignment horizontal="right"/>
    </xf>
    <xf numFmtId="0" fontId="14" fillId="0" borderId="0" xfId="9" applyFill="1"/>
    <xf numFmtId="0" fontId="14" fillId="0" borderId="0" xfId="9" applyAlignment="1">
      <alignment vertical="center"/>
    </xf>
    <xf numFmtId="0" fontId="54" fillId="0" borderId="0" xfId="9" applyFont="1"/>
    <xf numFmtId="0" fontId="55" fillId="2" borderId="17" xfId="9" applyFont="1" applyFill="1" applyBorder="1" applyAlignment="1">
      <alignment horizontal="center" vertical="center"/>
    </xf>
    <xf numFmtId="0" fontId="55" fillId="2" borderId="17" xfId="9" applyFont="1" applyFill="1" applyBorder="1" applyAlignment="1">
      <alignment vertical="center"/>
    </xf>
    <xf numFmtId="0" fontId="55" fillId="2" borderId="18" xfId="9" applyFont="1" applyFill="1" applyBorder="1" applyAlignment="1">
      <alignment vertical="center"/>
    </xf>
    <xf numFmtId="0" fontId="55" fillId="2" borderId="19" xfId="9" applyFont="1" applyFill="1" applyBorder="1" applyAlignment="1">
      <alignment horizontal="center" vertical="center"/>
    </xf>
    <xf numFmtId="0" fontId="55" fillId="2" borderId="22" xfId="9" applyFont="1" applyFill="1" applyBorder="1" applyAlignment="1">
      <alignment horizontal="center" vertical="center"/>
    </xf>
    <xf numFmtId="0" fontId="55" fillId="2" borderId="23" xfId="9" applyFont="1" applyFill="1" applyBorder="1" applyAlignment="1">
      <alignment horizontal="center" vertical="center"/>
    </xf>
    <xf numFmtId="0" fontId="55" fillId="2" borderId="24" xfId="9" applyFont="1" applyFill="1" applyBorder="1" applyAlignment="1">
      <alignment horizontal="center" vertical="center"/>
    </xf>
    <xf numFmtId="10" fontId="54" fillId="0" borderId="26" xfId="62" applyNumberFormat="1" applyFont="1" applyFill="1" applyBorder="1" applyAlignment="1">
      <alignment horizontal="center" vertical="center"/>
    </xf>
    <xf numFmtId="3" fontId="54" fillId="0" borderId="26" xfId="62" applyNumberFormat="1" applyFont="1" applyFill="1" applyBorder="1"/>
    <xf numFmtId="3" fontId="54" fillId="0" borderId="28" xfId="62" applyNumberFormat="1" applyFont="1" applyFill="1" applyBorder="1"/>
    <xf numFmtId="3" fontId="54" fillId="0" borderId="31" xfId="62" applyNumberFormat="1" applyFont="1" applyFill="1" applyBorder="1"/>
    <xf numFmtId="3" fontId="54" fillId="0" borderId="33" xfId="62" applyNumberFormat="1" applyFont="1" applyFill="1" applyBorder="1"/>
    <xf numFmtId="10" fontId="54" fillId="0" borderId="36" xfId="9" applyNumberFormat="1" applyFont="1" applyFill="1" applyBorder="1" applyAlignment="1">
      <alignment horizontal="center" vertical="center"/>
    </xf>
    <xf numFmtId="3" fontId="54" fillId="0" borderId="37" xfId="9" applyNumberFormat="1" applyFont="1" applyFill="1" applyBorder="1"/>
    <xf numFmtId="3" fontId="54" fillId="0" borderId="40" xfId="9" applyNumberFormat="1" applyFont="1" applyFill="1" applyBorder="1"/>
    <xf numFmtId="10" fontId="54" fillId="0" borderId="26" xfId="9" applyNumberFormat="1" applyFont="1" applyFill="1" applyBorder="1" applyAlignment="1">
      <alignment horizontal="center" vertical="center"/>
    </xf>
    <xf numFmtId="3" fontId="54" fillId="0" borderId="33" xfId="9" applyNumberFormat="1" applyFont="1" applyFill="1" applyBorder="1"/>
    <xf numFmtId="0" fontId="14" fillId="4" borderId="0" xfId="9" applyFill="1"/>
    <xf numFmtId="4" fontId="54" fillId="0" borderId="36" xfId="9" applyNumberFormat="1" applyFont="1" applyFill="1" applyBorder="1"/>
    <xf numFmtId="4" fontId="54" fillId="0" borderId="37" xfId="9" applyNumberFormat="1" applyFont="1" applyFill="1" applyBorder="1"/>
    <xf numFmtId="0" fontId="14" fillId="0" borderId="0" xfId="9" applyFont="1" applyFill="1"/>
    <xf numFmtId="3" fontId="54" fillId="0" borderId="28" xfId="9" applyNumberFormat="1" applyFont="1" applyFill="1" applyBorder="1"/>
    <xf numFmtId="4" fontId="54" fillId="0" borderId="26" xfId="62" applyNumberFormat="1" applyFont="1" applyFill="1" applyBorder="1"/>
    <xf numFmtId="0" fontId="54" fillId="0" borderId="39" xfId="56" applyFont="1" applyFill="1" applyBorder="1" applyAlignment="1">
      <alignment horizontal="center" vertical="center"/>
    </xf>
    <xf numFmtId="10" fontId="54" fillId="0" borderId="39" xfId="9" applyNumberFormat="1" applyFont="1" applyFill="1" applyBorder="1" applyAlignment="1">
      <alignment horizontal="center" vertical="center"/>
    </xf>
    <xf numFmtId="3" fontId="54" fillId="0" borderId="39" xfId="62" applyNumberFormat="1" applyFont="1" applyFill="1" applyBorder="1"/>
    <xf numFmtId="3" fontId="54" fillId="0" borderId="40" xfId="62" applyNumberFormat="1" applyFont="1" applyFill="1" applyBorder="1"/>
    <xf numFmtId="4" fontId="54" fillId="36" borderId="66" xfId="9" applyNumberFormat="1" applyFont="1" applyFill="1" applyBorder="1"/>
    <xf numFmtId="0" fontId="54" fillId="0" borderId="68" xfId="9" applyFont="1" applyFill="1" applyBorder="1" applyAlignment="1">
      <alignment horizontal="center" vertical="center" wrapText="1"/>
    </xf>
    <xf numFmtId="10" fontId="54" fillId="0" borderId="68" xfId="62" applyNumberFormat="1" applyFont="1" applyFill="1" applyBorder="1" applyAlignment="1">
      <alignment horizontal="center" vertical="center"/>
    </xf>
    <xf numFmtId="3" fontId="54" fillId="0" borderId="68" xfId="62" applyNumberFormat="1" applyFont="1" applyFill="1" applyBorder="1"/>
    <xf numFmtId="4" fontId="54" fillId="0" borderId="68" xfId="62" applyNumberFormat="1" applyFont="1" applyFill="1" applyBorder="1"/>
    <xf numFmtId="4" fontId="54" fillId="36" borderId="69" xfId="9" applyNumberFormat="1" applyFont="1" applyFill="1" applyBorder="1"/>
    <xf numFmtId="0" fontId="54" fillId="0" borderId="44" xfId="56" applyFont="1" applyFill="1" applyBorder="1" applyAlignment="1">
      <alignment horizontal="center" vertical="center"/>
    </xf>
    <xf numFmtId="10" fontId="54" fillId="0" borderId="44" xfId="9" applyNumberFormat="1" applyFont="1" applyFill="1" applyBorder="1" applyAlignment="1">
      <alignment horizontal="center" vertical="center"/>
    </xf>
    <xf numFmtId="3" fontId="54" fillId="0" borderId="44" xfId="62" applyNumberFormat="1" applyFont="1" applyFill="1" applyBorder="1"/>
    <xf numFmtId="4" fontId="54" fillId="36" borderId="71" xfId="9" applyNumberFormat="1" applyFont="1" applyFill="1" applyBorder="1"/>
    <xf numFmtId="10" fontId="54" fillId="0" borderId="36" xfId="62" applyNumberFormat="1" applyFont="1" applyFill="1" applyBorder="1" applyAlignment="1">
      <alignment horizontal="center" vertical="center"/>
    </xf>
    <xf numFmtId="4" fontId="54" fillId="0" borderId="36" xfId="62" applyNumberFormat="1" applyFont="1" applyFill="1" applyBorder="1"/>
    <xf numFmtId="3" fontId="54" fillId="0" borderId="36" xfId="62" applyNumberFormat="1" applyFont="1" applyFill="1" applyBorder="1"/>
    <xf numFmtId="3" fontId="54" fillId="0" borderId="37" xfId="62" applyNumberFormat="1" applyFont="1" applyFill="1" applyBorder="1"/>
    <xf numFmtId="4" fontId="54" fillId="36" borderId="72" xfId="9" applyNumberFormat="1" applyFont="1" applyFill="1" applyBorder="1"/>
    <xf numFmtId="4" fontId="54" fillId="0" borderId="28" xfId="62" applyNumberFormat="1" applyFont="1" applyFill="1" applyBorder="1"/>
    <xf numFmtId="3" fontId="56" fillId="0" borderId="26" xfId="62" applyNumberFormat="1" applyFont="1" applyFill="1" applyBorder="1"/>
    <xf numFmtId="3" fontId="56" fillId="0" borderId="28" xfId="62" applyNumberFormat="1" applyFont="1" applyFill="1" applyBorder="1"/>
    <xf numFmtId="3" fontId="56" fillId="0" borderId="31" xfId="62" applyNumberFormat="1" applyFont="1" applyFill="1" applyBorder="1"/>
    <xf numFmtId="3" fontId="56" fillId="0" borderId="33" xfId="62" applyNumberFormat="1" applyFont="1" applyFill="1" applyBorder="1"/>
    <xf numFmtId="0" fontId="54" fillId="38" borderId="41" xfId="9" applyFont="1" applyFill="1" applyBorder="1" applyAlignment="1"/>
    <xf numFmtId="0" fontId="17" fillId="38" borderId="26" xfId="9" applyFont="1" applyFill="1" applyBorder="1" applyAlignment="1"/>
    <xf numFmtId="0" fontId="17" fillId="38" borderId="45" xfId="9" applyFont="1" applyFill="1" applyBorder="1" applyAlignment="1"/>
    <xf numFmtId="4" fontId="17" fillId="38" borderId="45" xfId="9" applyNumberFormat="1" applyFont="1" applyFill="1" applyBorder="1" applyAlignment="1"/>
    <xf numFmtId="0" fontId="17" fillId="38" borderId="46" xfId="9" applyFont="1" applyFill="1" applyBorder="1" applyAlignment="1"/>
    <xf numFmtId="166" fontId="40" fillId="38" borderId="26" xfId="9" applyNumberFormat="1" applyFont="1" applyFill="1" applyBorder="1" applyAlignment="1">
      <alignment horizontal="center"/>
    </xf>
    <xf numFmtId="4" fontId="40" fillId="38" borderId="27" xfId="9" applyNumberFormat="1" applyFont="1" applyFill="1" applyBorder="1" applyAlignment="1">
      <alignment horizontal="center"/>
    </xf>
    <xf numFmtId="4" fontId="40" fillId="38" borderId="64" xfId="9" applyNumberFormat="1" applyFont="1" applyFill="1" applyBorder="1" applyAlignment="1">
      <alignment horizontal="center"/>
    </xf>
    <xf numFmtId="0" fontId="54" fillId="38" borderId="42" xfId="9" applyFont="1" applyFill="1" applyBorder="1" applyAlignment="1">
      <alignment horizontal="left"/>
    </xf>
    <xf numFmtId="0" fontId="17" fillId="38" borderId="31" xfId="9" applyFont="1" applyFill="1" applyBorder="1" applyAlignment="1">
      <alignment horizontal="right"/>
    </xf>
    <xf numFmtId="4" fontId="40" fillId="38" borderId="31" xfId="9" applyNumberFormat="1" applyFont="1" applyFill="1" applyBorder="1" applyAlignment="1">
      <alignment horizontal="center"/>
    </xf>
    <xf numFmtId="4" fontId="40" fillId="38" borderId="34" xfId="9" applyNumberFormat="1" applyFont="1" applyFill="1" applyBorder="1" applyAlignment="1">
      <alignment horizontal="center"/>
    </xf>
    <xf numFmtId="0" fontId="40" fillId="38" borderId="49" xfId="9" applyFont="1" applyFill="1" applyBorder="1" applyAlignment="1">
      <alignment horizontal="left"/>
    </xf>
    <xf numFmtId="0" fontId="40" fillId="38" borderId="50" xfId="9" applyFont="1" applyFill="1" applyBorder="1" applyAlignment="1">
      <alignment horizontal="center"/>
    </xf>
    <xf numFmtId="4" fontId="40" fillId="38" borderId="50" xfId="9" applyNumberFormat="1" applyFont="1" applyFill="1" applyBorder="1" applyAlignment="1">
      <alignment horizontal="center" vertical="center"/>
    </xf>
    <xf numFmtId="4" fontId="40" fillId="38" borderId="51" xfId="9" applyNumberFormat="1" applyFont="1" applyFill="1" applyBorder="1" applyAlignment="1">
      <alignment horizontal="center" vertical="center"/>
    </xf>
    <xf numFmtId="0" fontId="37" fillId="39" borderId="52" xfId="9" applyFont="1" applyFill="1" applyBorder="1" applyAlignment="1"/>
    <xf numFmtId="0" fontId="17" fillId="39" borderId="12" xfId="9" applyFont="1" applyFill="1" applyBorder="1" applyAlignment="1">
      <alignment horizontal="left"/>
    </xf>
    <xf numFmtId="0" fontId="17" fillId="39" borderId="12" xfId="9" applyFont="1" applyFill="1" applyBorder="1" applyAlignment="1"/>
    <xf numFmtId="0" fontId="17" fillId="38" borderId="55" xfId="9" applyFont="1" applyFill="1" applyBorder="1" applyAlignment="1">
      <alignment horizontal="center"/>
    </xf>
    <xf numFmtId="0" fontId="37" fillId="39" borderId="13" xfId="9" applyFont="1" applyFill="1" applyBorder="1" applyAlignment="1"/>
    <xf numFmtId="0" fontId="17" fillId="38" borderId="14" xfId="9" applyFont="1" applyFill="1" applyBorder="1" applyAlignment="1">
      <alignment horizontal="center"/>
    </xf>
    <xf numFmtId="10" fontId="40" fillId="38" borderId="73" xfId="11" applyNumberFormat="1" applyFont="1" applyFill="1" applyBorder="1" applyAlignment="1">
      <alignment horizontal="center"/>
    </xf>
    <xf numFmtId="10" fontId="40" fillId="38" borderId="74" xfId="11" applyNumberFormat="1" applyFont="1" applyFill="1" applyBorder="1" applyAlignment="1">
      <alignment horizontal="center"/>
    </xf>
    <xf numFmtId="10" fontId="57" fillId="39" borderId="75" xfId="11" applyNumberFormat="1" applyFont="1" applyFill="1" applyBorder="1" applyAlignment="1">
      <alignment horizontal="center"/>
    </xf>
    <xf numFmtId="0" fontId="56" fillId="0" borderId="0" xfId="9" applyFont="1" applyAlignment="1">
      <alignment horizontal="center"/>
    </xf>
    <xf numFmtId="4" fontId="54" fillId="0" borderId="0" xfId="9" applyNumberFormat="1" applyFont="1" applyBorder="1"/>
    <xf numFmtId="4" fontId="59" fillId="0" borderId="0" xfId="9" applyNumberFormat="1" applyFont="1"/>
    <xf numFmtId="0" fontId="56" fillId="0" borderId="0" xfId="9" applyFont="1" applyAlignment="1">
      <alignment vertical="center"/>
    </xf>
    <xf numFmtId="0" fontId="56" fillId="0" borderId="0" xfId="9" applyFont="1" applyAlignment="1">
      <alignment vertical="top"/>
    </xf>
    <xf numFmtId="4" fontId="58" fillId="0" borderId="0" xfId="9" applyNumberFormat="1" applyFont="1"/>
    <xf numFmtId="164" fontId="54" fillId="0" borderId="0" xfId="9" applyNumberFormat="1" applyFont="1"/>
    <xf numFmtId="4" fontId="55" fillId="0" borderId="1" xfId="9" applyNumberFormat="1" applyFont="1" applyBorder="1"/>
    <xf numFmtId="4" fontId="55" fillId="0" borderId="76" xfId="9" applyNumberFormat="1" applyFont="1" applyBorder="1"/>
    <xf numFmtId="0" fontId="14" fillId="0" borderId="0" xfId="9" applyFill="1" applyBorder="1"/>
    <xf numFmtId="0" fontId="14" fillId="0" borderId="0" xfId="9" applyAlignment="1"/>
    <xf numFmtId="0" fontId="51" fillId="0" borderId="0" xfId="9" applyFont="1" applyAlignment="1"/>
    <xf numFmtId="0" fontId="59" fillId="0" borderId="0" xfId="9" applyFont="1"/>
    <xf numFmtId="166" fontId="59" fillId="0" borderId="0" xfId="9" applyNumberFormat="1" applyFont="1"/>
    <xf numFmtId="0" fontId="17" fillId="0" borderId="0" xfId="9" applyFont="1" applyAlignment="1"/>
    <xf numFmtId="10" fontId="54" fillId="0" borderId="26" xfId="9" applyNumberFormat="1" applyFont="1" applyFill="1" applyBorder="1" applyAlignment="1">
      <alignment horizontal="center"/>
    </xf>
    <xf numFmtId="168" fontId="54" fillId="0" borderId="31" xfId="9" applyNumberFormat="1" applyFont="1" applyFill="1" applyBorder="1" applyAlignment="1">
      <alignment horizontal="center"/>
    </xf>
    <xf numFmtId="0" fontId="54" fillId="38" borderId="35" xfId="9" applyFont="1" applyFill="1" applyBorder="1" applyAlignment="1"/>
    <xf numFmtId="166" fontId="40" fillId="38" borderId="36" xfId="9" applyNumberFormat="1" applyFont="1" applyFill="1" applyBorder="1" applyAlignment="1">
      <alignment horizontal="center"/>
    </xf>
    <xf numFmtId="4" fontId="40" fillId="38" borderId="36" xfId="9" applyNumberFormat="1" applyFont="1" applyFill="1" applyBorder="1" applyAlignment="1">
      <alignment horizontal="center" vertical="center"/>
    </xf>
    <xf numFmtId="4" fontId="40" fillId="38" borderId="29" xfId="9" applyNumberFormat="1" applyFont="1" applyFill="1" applyBorder="1" applyAlignment="1">
      <alignment horizontal="center" vertical="center"/>
    </xf>
    <xf numFmtId="0" fontId="54" fillId="38" borderId="59" xfId="9" applyFont="1" applyFill="1" applyBorder="1" applyAlignment="1">
      <alignment horizontal="center"/>
    </xf>
    <xf numFmtId="0" fontId="17" fillId="38" borderId="60" xfId="9" applyFont="1" applyFill="1" applyBorder="1" applyAlignment="1">
      <alignment horizontal="center"/>
    </xf>
    <xf numFmtId="4" fontId="40" fillId="38" borderId="60" xfId="9" applyNumberFormat="1" applyFont="1" applyFill="1" applyBorder="1" applyAlignment="1">
      <alignment horizontal="center" vertical="center"/>
    </xf>
    <xf numFmtId="4" fontId="40" fillId="38" borderId="65" xfId="9" applyNumberFormat="1" applyFont="1" applyFill="1" applyBorder="1" applyAlignment="1">
      <alignment horizontal="center" vertical="center"/>
    </xf>
    <xf numFmtId="0" fontId="40" fillId="38" borderId="61" xfId="9" applyFont="1" applyFill="1" applyBorder="1" applyAlignment="1">
      <alignment horizontal="center"/>
    </xf>
    <xf numFmtId="0" fontId="40" fillId="38" borderId="62" xfId="9" applyFont="1" applyFill="1" applyBorder="1" applyAlignment="1">
      <alignment horizontal="center"/>
    </xf>
    <xf numFmtId="4" fontId="40" fillId="38" borderId="62" xfId="9" applyNumberFormat="1" applyFont="1" applyFill="1" applyBorder="1" applyAlignment="1">
      <alignment horizontal="center" vertical="center"/>
    </xf>
    <xf numFmtId="4" fontId="40" fillId="38" borderId="63" xfId="9" applyNumberFormat="1" applyFont="1" applyFill="1" applyBorder="1" applyAlignment="1">
      <alignment horizontal="center" vertical="center"/>
    </xf>
    <xf numFmtId="0" fontId="40" fillId="0" borderId="0" xfId="9" applyFont="1" applyFill="1" applyBorder="1" applyAlignment="1">
      <alignment horizontal="center"/>
    </xf>
    <xf numFmtId="166" fontId="40" fillId="0" borderId="0" xfId="9" applyNumberFormat="1" applyFont="1" applyFill="1" applyBorder="1" applyAlignment="1">
      <alignment horizontal="left"/>
    </xf>
    <xf numFmtId="0" fontId="40" fillId="0" borderId="0" xfId="9" applyFont="1" applyFill="1" applyBorder="1" applyAlignment="1">
      <alignment horizontal="left"/>
    </xf>
    <xf numFmtId="4" fontId="40" fillId="0" borderId="0" xfId="9" applyNumberFormat="1" applyFont="1" applyFill="1" applyBorder="1" applyAlignment="1">
      <alignment horizontal="center" vertical="center"/>
    </xf>
    <xf numFmtId="0" fontId="57" fillId="0" borderId="0" xfId="9" applyFont="1" applyAlignment="1">
      <alignment horizontal="right"/>
    </xf>
    <xf numFmtId="4" fontId="14" fillId="0" borderId="0" xfId="9" applyNumberFormat="1"/>
    <xf numFmtId="0" fontId="51" fillId="0" borderId="0" xfId="9" applyFont="1" applyAlignment="1">
      <alignment vertical="center"/>
    </xf>
    <xf numFmtId="4" fontId="40" fillId="38" borderId="26" xfId="9" applyNumberFormat="1" applyFont="1" applyFill="1" applyBorder="1" applyAlignment="1">
      <alignment horizontal="center" vertical="center"/>
    </xf>
    <xf numFmtId="4" fontId="40" fillId="38" borderId="64" xfId="9" applyNumberFormat="1" applyFont="1" applyFill="1" applyBorder="1" applyAlignment="1">
      <alignment horizontal="center" vertical="center"/>
    </xf>
    <xf numFmtId="0" fontId="17" fillId="39" borderId="60" xfId="9" applyFont="1" applyFill="1" applyBorder="1" applyAlignment="1">
      <alignment horizontal="center"/>
    </xf>
    <xf numFmtId="0" fontId="40" fillId="38" borderId="49" xfId="9" applyFont="1" applyFill="1" applyBorder="1" applyAlignment="1">
      <alignment horizontal="center"/>
    </xf>
    <xf numFmtId="10" fontId="57" fillId="38" borderId="77" xfId="11" applyNumberFormat="1" applyFont="1" applyFill="1" applyBorder="1" applyAlignment="1">
      <alignment horizontal="center"/>
    </xf>
    <xf numFmtId="10" fontId="40" fillId="39" borderId="73" xfId="63" applyNumberFormat="1" applyFont="1" applyFill="1" applyBorder="1" applyAlignment="1">
      <alignment horizontal="center" vertical="center"/>
    </xf>
    <xf numFmtId="10" fontId="40" fillId="39" borderId="74" xfId="63" applyNumberFormat="1" applyFont="1" applyFill="1" applyBorder="1" applyAlignment="1">
      <alignment horizontal="center" vertical="center"/>
    </xf>
    <xf numFmtId="0" fontId="40" fillId="39" borderId="75" xfId="9" applyFont="1" applyFill="1" applyBorder="1" applyAlignment="1">
      <alignment horizontal="center" vertical="center"/>
    </xf>
    <xf numFmtId="0" fontId="38" fillId="0" borderId="0" xfId="9" applyFont="1" applyBorder="1" applyAlignment="1">
      <alignment wrapText="1"/>
    </xf>
    <xf numFmtId="0" fontId="39" fillId="0" borderId="0" xfId="9" applyFont="1" applyAlignment="1">
      <alignment horizontal="right"/>
    </xf>
    <xf numFmtId="0" fontId="11" fillId="0" borderId="0" xfId="9" applyFont="1"/>
    <xf numFmtId="0" fontId="12" fillId="0" borderId="0" xfId="9" applyFont="1"/>
    <xf numFmtId="3" fontId="11" fillId="0" borderId="0" xfId="9" applyNumberFormat="1" applyFont="1"/>
    <xf numFmtId="0" fontId="38" fillId="2" borderId="1" xfId="7" applyFont="1" applyFill="1" applyBorder="1" applyAlignment="1">
      <alignment vertical="center"/>
    </xf>
    <xf numFmtId="3" fontId="41" fillId="2" borderId="1" xfId="7" applyNumberFormat="1" applyFont="1" applyFill="1" applyBorder="1" applyAlignment="1">
      <alignment vertical="center"/>
    </xf>
    <xf numFmtId="0" fontId="35" fillId="2" borderId="1" xfId="1" applyFont="1" applyFill="1" applyBorder="1" applyAlignment="1">
      <alignment horizontal="center" vertical="center" wrapText="1"/>
    </xf>
    <xf numFmtId="0" fontId="35" fillId="2" borderId="1" xfId="7" applyFont="1" applyFill="1" applyBorder="1" applyAlignment="1">
      <alignment horizontal="center" vertical="center" wrapText="1"/>
    </xf>
    <xf numFmtId="0" fontId="9" fillId="40" borderId="1" xfId="1" applyFont="1" applyFill="1" applyBorder="1" applyAlignment="1">
      <alignment vertical="center" wrapText="1"/>
    </xf>
    <xf numFmtId="3" fontId="9" fillId="40" borderId="1" xfId="7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left" vertical="center" wrapText="1" indent="2"/>
    </xf>
    <xf numFmtId="3" fontId="10" fillId="0" borderId="1" xfId="7" applyNumberFormat="1" applyFont="1" applyBorder="1" applyAlignment="1">
      <alignment horizontal="center" vertical="center"/>
    </xf>
    <xf numFmtId="0" fontId="9" fillId="40" borderId="1" xfId="1" applyFont="1" applyFill="1" applyBorder="1" applyAlignment="1">
      <alignment wrapText="1"/>
    </xf>
    <xf numFmtId="0" fontId="10" fillId="0" borderId="1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 wrapText="1" indent="2"/>
    </xf>
    <xf numFmtId="4" fontId="54" fillId="41" borderId="26" xfId="62" applyNumberFormat="1" applyFont="1" applyFill="1" applyBorder="1"/>
    <xf numFmtId="4" fontId="54" fillId="41" borderId="36" xfId="62" applyNumberFormat="1" applyFont="1" applyFill="1" applyBorder="1"/>
    <xf numFmtId="4" fontId="54" fillId="41" borderId="0" xfId="9" applyNumberFormat="1" applyFont="1" applyFill="1" applyBorder="1"/>
    <xf numFmtId="0" fontId="44" fillId="0" borderId="0" xfId="0" applyFont="1" applyAlignment="1"/>
    <xf numFmtId="0" fontId="41" fillId="2" borderId="1" xfId="7" applyFont="1" applyFill="1" applyBorder="1" applyAlignment="1">
      <alignment horizontal="left" wrapText="1"/>
    </xf>
    <xf numFmtId="3" fontId="9" fillId="0" borderId="1" xfId="0" applyNumberFormat="1" applyFont="1" applyBorder="1" applyAlignment="1">
      <alignment horizontal="center" vertical="center"/>
    </xf>
    <xf numFmtId="4" fontId="54" fillId="42" borderId="26" xfId="57" applyNumberFormat="1" applyFont="1" applyFill="1" applyBorder="1"/>
    <xf numFmtId="4" fontId="54" fillId="0" borderId="31" xfId="57" applyNumberFormat="1" applyFont="1" applyFill="1" applyBorder="1"/>
    <xf numFmtId="4" fontId="54" fillId="41" borderId="26" xfId="57" applyNumberFormat="1" applyFont="1" applyFill="1" applyBorder="1"/>
    <xf numFmtId="3" fontId="54" fillId="0" borderId="26" xfId="57" applyNumberFormat="1" applyFont="1" applyFill="1" applyBorder="1"/>
    <xf numFmtId="3" fontId="54" fillId="0" borderId="28" xfId="57" applyNumberFormat="1" applyFont="1" applyFill="1" applyBorder="1"/>
    <xf numFmtId="4" fontId="54" fillId="0" borderId="28" xfId="57" applyNumberFormat="1" applyFont="1" applyFill="1" applyBorder="1"/>
    <xf numFmtId="3" fontId="54" fillId="0" borderId="31" xfId="57" applyNumberFormat="1" applyFont="1" applyFill="1" applyBorder="1"/>
    <xf numFmtId="3" fontId="54" fillId="0" borderId="33" xfId="57" applyNumberFormat="1" applyFont="1" applyFill="1" applyBorder="1"/>
    <xf numFmtId="4" fontId="54" fillId="0" borderId="26" xfId="57" applyNumberFormat="1" applyFont="1" applyFill="1" applyBorder="1"/>
    <xf numFmtId="3" fontId="54" fillId="0" borderId="39" xfId="1" applyNumberFormat="1" applyFont="1" applyFill="1" applyBorder="1"/>
    <xf numFmtId="3" fontId="54" fillId="0" borderId="31" xfId="1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4" fillId="0" borderId="26" xfId="1" applyFont="1" applyFill="1" applyBorder="1" applyAlignment="1">
      <alignment horizontal="center" wrapText="1"/>
    </xf>
    <xf numFmtId="0" fontId="54" fillId="0" borderId="26" xfId="1" applyFont="1" applyFill="1" applyBorder="1" applyAlignment="1">
      <alignment horizontal="center" vertical="center" wrapText="1"/>
    </xf>
    <xf numFmtId="10" fontId="54" fillId="0" borderId="26" xfId="1" applyNumberFormat="1" applyFont="1" applyFill="1" applyBorder="1" applyAlignment="1">
      <alignment horizontal="center"/>
    </xf>
    <xf numFmtId="0" fontId="54" fillId="0" borderId="31" xfId="1" applyFont="1" applyFill="1" applyBorder="1" applyAlignment="1">
      <alignment horizontal="center" wrapText="1"/>
    </xf>
    <xf numFmtId="0" fontId="54" fillId="0" borderId="31" xfId="1" applyFont="1" applyFill="1" applyBorder="1" applyAlignment="1">
      <alignment horizontal="center" vertical="center" wrapText="1"/>
    </xf>
    <xf numFmtId="168" fontId="54" fillId="0" borderId="31" xfId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 vertical="center"/>
    </xf>
    <xf numFmtId="3" fontId="45" fillId="40" borderId="1" xfId="7" applyNumberFormat="1" applyFont="1" applyFill="1" applyBorder="1" applyAlignment="1">
      <alignment horizontal="center" vertical="center"/>
    </xf>
    <xf numFmtId="3" fontId="9" fillId="40" borderId="1" xfId="7" applyNumberFormat="1" applyFont="1" applyFill="1" applyBorder="1" applyAlignment="1">
      <alignment horizontal="center" vertical="center" wrapText="1"/>
    </xf>
    <xf numFmtId="0" fontId="9" fillId="40" borderId="1" xfId="0" applyFont="1" applyFill="1" applyBorder="1" applyAlignment="1">
      <alignment horizontal="center" vertical="center"/>
    </xf>
    <xf numFmtId="3" fontId="9" fillId="40" borderId="1" xfId="0" applyNumberFormat="1" applyFont="1" applyFill="1" applyBorder="1" applyAlignment="1">
      <alignment horizontal="center" vertical="center"/>
    </xf>
    <xf numFmtId="3" fontId="45" fillId="0" borderId="1" xfId="7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54" fillId="41" borderId="26" xfId="56" applyNumberFormat="1" applyFont="1" applyFill="1" applyBorder="1"/>
    <xf numFmtId="168" fontId="54" fillId="0" borderId="31" xfId="9" applyNumberFormat="1" applyFont="1" applyFill="1" applyBorder="1" applyAlignment="1">
      <alignment horizontal="center" vertical="center"/>
    </xf>
    <xf numFmtId="3" fontId="17" fillId="39" borderId="54" xfId="9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14" fillId="0" borderId="0" xfId="1" applyFont="1"/>
    <xf numFmtId="3" fontId="11" fillId="37" borderId="0" xfId="1" applyNumberFormat="1" applyFont="1" applyFill="1" applyAlignment="1">
      <alignment horizontal="right" vertical="top" wrapText="1"/>
    </xf>
    <xf numFmtId="0" fontId="9" fillId="37" borderId="1" xfId="1" applyFont="1" applyFill="1" applyBorder="1" applyAlignment="1">
      <alignment horizontal="center" vertical="center" wrapText="1"/>
    </xf>
    <xf numFmtId="0" fontId="11" fillId="37" borderId="0" xfId="1" applyFont="1" applyFill="1" applyAlignment="1">
      <alignment horizontal="left" vertical="top" wrapText="1"/>
    </xf>
    <xf numFmtId="0" fontId="37" fillId="37" borderId="0" xfId="1" applyFont="1" applyFill="1" applyAlignment="1">
      <alignment horizontal="right" vertical="top" wrapText="1"/>
    </xf>
    <xf numFmtId="0" fontId="37" fillId="0" borderId="0" xfId="1" applyFont="1"/>
    <xf numFmtId="0" fontId="1" fillId="0" borderId="0" xfId="0" applyFont="1" applyAlignment="1">
      <alignment horizontal="right" vertical="top" wrapText="1"/>
    </xf>
    <xf numFmtId="0" fontId="38" fillId="0" borderId="0" xfId="1" applyFont="1"/>
    <xf numFmtId="0" fontId="66" fillId="0" borderId="0" xfId="0" applyFont="1" applyAlignment="1">
      <alignment horizontal="right" vertical="top" wrapText="1"/>
    </xf>
    <xf numFmtId="0" fontId="17" fillId="43" borderId="0" xfId="1" applyFont="1" applyFill="1"/>
    <xf numFmtId="0" fontId="45" fillId="43" borderId="0" xfId="1" applyFont="1" applyFill="1" applyAlignment="1">
      <alignment horizontal="left" vertical="top" wrapText="1"/>
    </xf>
    <xf numFmtId="3" fontId="45" fillId="43" borderId="0" xfId="1" applyNumberFormat="1" applyFont="1" applyFill="1" applyAlignment="1">
      <alignment horizontal="right" vertical="top" wrapText="1"/>
    </xf>
    <xf numFmtId="0" fontId="17" fillId="0" borderId="0" xfId="1" applyFont="1"/>
    <xf numFmtId="0" fontId="9" fillId="37" borderId="0" xfId="1" applyFont="1" applyFill="1" applyAlignment="1">
      <alignment horizontal="left" vertical="top" wrapText="1"/>
    </xf>
    <xf numFmtId="3" fontId="9" fillId="37" borderId="0" xfId="1" applyNumberFormat="1" applyFont="1" applyFill="1" applyAlignment="1">
      <alignment horizontal="right" vertical="top" wrapText="1"/>
    </xf>
    <xf numFmtId="0" fontId="35" fillId="43" borderId="0" xfId="1" applyFont="1" applyFill="1"/>
    <xf numFmtId="0" fontId="53" fillId="43" borderId="0" xfId="1" applyFont="1" applyFill="1"/>
    <xf numFmtId="0" fontId="14" fillId="43" borderId="0" xfId="1" applyFont="1" applyFill="1"/>
    <xf numFmtId="0" fontId="51" fillId="0" borderId="0" xfId="1" applyFont="1"/>
    <xf numFmtId="3" fontId="41" fillId="2" borderId="1" xfId="7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4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41" fillId="37" borderId="0" xfId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1" fillId="43" borderId="0" xfId="1" applyFont="1" applyFill="1" applyAlignment="1">
      <alignment horizontal="left" vertical="top" wrapText="1"/>
    </xf>
    <xf numFmtId="0" fontId="3" fillId="43" borderId="0" xfId="0" applyFont="1" applyFill="1" applyAlignment="1">
      <alignment horizontal="left" vertical="top" wrapText="1"/>
    </xf>
    <xf numFmtId="0" fontId="66" fillId="0" borderId="0" xfId="0" applyFont="1" applyAlignment="1">
      <alignment horizontal="right" vertical="top" wrapText="1"/>
    </xf>
    <xf numFmtId="0" fontId="44" fillId="37" borderId="78" xfId="1" applyFont="1" applyFill="1" applyBorder="1" applyAlignment="1">
      <alignment horizontal="center" vertical="top" wrapText="1"/>
    </xf>
    <xf numFmtId="0" fontId="1" fillId="0" borderId="78" xfId="0" applyFont="1" applyBorder="1" applyAlignment="1">
      <alignment horizontal="center" vertical="top" wrapText="1"/>
    </xf>
    <xf numFmtId="0" fontId="9" fillId="37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4" fillId="43" borderId="0" xfId="1" applyFont="1" applyFill="1" applyAlignment="1">
      <alignment horizontal="left" vertical="top" wrapText="1"/>
    </xf>
    <xf numFmtId="0" fontId="67" fillId="43" borderId="0" xfId="0" applyFont="1" applyFill="1" applyAlignment="1">
      <alignment horizontal="left" vertical="top" wrapText="1"/>
    </xf>
    <xf numFmtId="0" fontId="64" fillId="43" borderId="0" xfId="1" applyFont="1" applyFill="1" applyAlignment="1">
      <alignment horizontal="left" vertical="center" wrapText="1"/>
    </xf>
    <xf numFmtId="0" fontId="67" fillId="43" borderId="0" xfId="0" applyFont="1" applyFill="1" applyAlignment="1">
      <alignment horizontal="left" vertical="center" wrapText="1"/>
    </xf>
    <xf numFmtId="0" fontId="17" fillId="39" borderId="53" xfId="9" applyFont="1" applyFill="1" applyBorder="1" applyAlignment="1">
      <alignment horizontal="left"/>
    </xf>
    <xf numFmtId="0" fontId="17" fillId="39" borderId="12" xfId="9" applyFont="1" applyFill="1" applyBorder="1" applyAlignment="1">
      <alignment horizontal="left"/>
    </xf>
    <xf numFmtId="166" fontId="40" fillId="38" borderId="62" xfId="9" applyNumberFormat="1" applyFont="1" applyFill="1" applyBorder="1" applyAlignment="1">
      <alignment horizontal="left"/>
    </xf>
    <xf numFmtId="0" fontId="40" fillId="38" borderId="62" xfId="9" applyFont="1" applyFill="1" applyBorder="1" applyAlignment="1">
      <alignment horizontal="left"/>
    </xf>
    <xf numFmtId="0" fontId="57" fillId="0" borderId="0" xfId="9" applyFont="1" applyAlignment="1">
      <alignment horizontal="right"/>
    </xf>
    <xf numFmtId="0" fontId="17" fillId="38" borderId="26" xfId="9" applyFont="1" applyFill="1" applyBorder="1" applyAlignment="1">
      <alignment horizontal="left"/>
    </xf>
    <xf numFmtId="0" fontId="17" fillId="38" borderId="45" xfId="9" applyFont="1" applyFill="1" applyBorder="1" applyAlignment="1">
      <alignment horizontal="left"/>
    </xf>
    <xf numFmtId="0" fontId="17" fillId="38" borderId="46" xfId="9" applyFont="1" applyFill="1" applyBorder="1" applyAlignment="1">
      <alignment horizontal="left"/>
    </xf>
    <xf numFmtId="166" fontId="17" fillId="38" borderId="60" xfId="9" applyNumberFormat="1" applyFont="1" applyFill="1" applyBorder="1" applyAlignment="1">
      <alignment horizontal="left"/>
    </xf>
    <xf numFmtId="166" fontId="40" fillId="38" borderId="50" xfId="9" applyNumberFormat="1" applyFont="1" applyFill="1" applyBorder="1" applyAlignment="1">
      <alignment horizontal="left"/>
    </xf>
    <xf numFmtId="0" fontId="40" fillId="38" borderId="50" xfId="9" applyFont="1" applyFill="1" applyBorder="1" applyAlignment="1">
      <alignment horizontal="left"/>
    </xf>
    <xf numFmtId="0" fontId="54" fillId="0" borderId="25" xfId="9" applyFont="1" applyFill="1" applyBorder="1" applyAlignment="1">
      <alignment horizontal="center"/>
    </xf>
    <xf numFmtId="0" fontId="54" fillId="0" borderId="30" xfId="9" applyFont="1" applyFill="1" applyBorder="1" applyAlignment="1">
      <alignment horizontal="center"/>
    </xf>
    <xf numFmtId="3" fontId="54" fillId="0" borderId="26" xfId="9" applyNumberFormat="1" applyFont="1" applyFill="1" applyBorder="1" applyAlignment="1">
      <alignment horizontal="center" vertical="center" wrapText="1"/>
    </xf>
    <xf numFmtId="0" fontId="54" fillId="0" borderId="31" xfId="9" applyFont="1" applyFill="1" applyBorder="1" applyAlignment="1">
      <alignment horizontal="center" vertical="center" wrapText="1"/>
    </xf>
    <xf numFmtId="167" fontId="54" fillId="0" borderId="26" xfId="59" applyNumberFormat="1" applyFont="1" applyFill="1" applyBorder="1" applyAlignment="1">
      <alignment horizontal="center" vertical="center"/>
    </xf>
    <xf numFmtId="167" fontId="54" fillId="0" borderId="31" xfId="59" applyNumberFormat="1" applyFont="1" applyFill="1" applyBorder="1" applyAlignment="1">
      <alignment horizontal="center" vertical="center"/>
    </xf>
    <xf numFmtId="0" fontId="54" fillId="0" borderId="26" xfId="9" applyFont="1" applyFill="1" applyBorder="1" applyAlignment="1">
      <alignment horizontal="center" wrapText="1"/>
    </xf>
    <xf numFmtId="0" fontId="54" fillId="0" borderId="31" xfId="9" applyFont="1" applyFill="1" applyBorder="1" applyAlignment="1">
      <alignment horizontal="center" wrapText="1"/>
    </xf>
    <xf numFmtId="0" fontId="17" fillId="38" borderId="36" xfId="9" applyFont="1" applyFill="1" applyBorder="1" applyAlignment="1">
      <alignment horizontal="center"/>
    </xf>
    <xf numFmtId="0" fontId="17" fillId="38" borderId="57" xfId="9" applyFont="1" applyFill="1" applyBorder="1" applyAlignment="1">
      <alignment horizontal="center"/>
    </xf>
    <xf numFmtId="0" fontId="17" fillId="38" borderId="58" xfId="9" applyFont="1" applyFill="1" applyBorder="1" applyAlignment="1">
      <alignment horizontal="center"/>
    </xf>
    <xf numFmtId="0" fontId="54" fillId="0" borderId="41" xfId="9" applyFont="1" applyFill="1" applyBorder="1" applyAlignment="1">
      <alignment horizontal="center" vertical="center"/>
    </xf>
    <xf numFmtId="0" fontId="54" fillId="0" borderId="42" xfId="9" applyFont="1" applyFill="1" applyBorder="1" applyAlignment="1">
      <alignment horizontal="center" vertical="center"/>
    </xf>
    <xf numFmtId="0" fontId="54" fillId="0" borderId="26" xfId="9" applyFont="1" applyFill="1" applyBorder="1" applyAlignment="1">
      <alignment horizontal="center" vertical="center" wrapText="1"/>
    </xf>
    <xf numFmtId="0" fontId="56" fillId="0" borderId="25" xfId="9" applyFont="1" applyFill="1" applyBorder="1" applyAlignment="1">
      <alignment horizontal="center" vertical="center"/>
    </xf>
    <xf numFmtId="0" fontId="56" fillId="0" borderId="30" xfId="9" applyFont="1" applyFill="1" applyBorder="1" applyAlignment="1">
      <alignment horizontal="center" vertical="center"/>
    </xf>
    <xf numFmtId="0" fontId="54" fillId="0" borderId="26" xfId="1" applyFont="1" applyFill="1" applyBorder="1" applyAlignment="1">
      <alignment horizontal="center" vertical="center" wrapText="1"/>
    </xf>
    <xf numFmtId="0" fontId="54" fillId="0" borderId="31" xfId="1" applyFont="1" applyFill="1" applyBorder="1" applyAlignment="1">
      <alignment horizontal="center" vertical="center" wrapText="1"/>
    </xf>
    <xf numFmtId="0" fontId="50" fillId="0" borderId="0" xfId="9" applyFont="1" applyAlignment="1">
      <alignment horizontal="center"/>
    </xf>
    <xf numFmtId="0" fontId="55" fillId="0" borderId="0" xfId="9" applyFont="1" applyAlignment="1">
      <alignment horizontal="center"/>
    </xf>
    <xf numFmtId="166" fontId="17" fillId="38" borderId="33" xfId="9" applyNumberFormat="1" applyFont="1" applyFill="1" applyBorder="1" applyAlignment="1">
      <alignment horizontal="left"/>
    </xf>
    <xf numFmtId="166" fontId="17" fillId="38" borderId="47" xfId="9" applyNumberFormat="1" applyFont="1" applyFill="1" applyBorder="1" applyAlignment="1">
      <alignment horizontal="left"/>
    </xf>
    <xf numFmtId="166" fontId="17" fillId="38" borderId="48" xfId="9" applyNumberFormat="1" applyFont="1" applyFill="1" applyBorder="1" applyAlignment="1">
      <alignment horizontal="left"/>
    </xf>
    <xf numFmtId="166" fontId="40" fillId="39" borderId="50" xfId="9" applyNumberFormat="1" applyFont="1" applyFill="1" applyBorder="1" applyAlignment="1">
      <alignment horizontal="left"/>
    </xf>
    <xf numFmtId="0" fontId="40" fillId="39" borderId="50" xfId="9" applyFont="1" applyFill="1" applyBorder="1" applyAlignment="1">
      <alignment horizontal="left"/>
    </xf>
    <xf numFmtId="0" fontId="54" fillId="0" borderId="41" xfId="9" applyFont="1" applyFill="1" applyBorder="1" applyAlignment="1">
      <alignment horizontal="center"/>
    </xf>
    <xf numFmtId="0" fontId="54" fillId="0" borderId="42" xfId="9" applyFont="1" applyFill="1" applyBorder="1" applyAlignment="1">
      <alignment horizontal="center"/>
    </xf>
    <xf numFmtId="0" fontId="56" fillId="0" borderId="26" xfId="56" applyFont="1" applyFill="1" applyBorder="1" applyAlignment="1">
      <alignment horizontal="center" vertical="center" wrapText="1"/>
    </xf>
    <xf numFmtId="0" fontId="56" fillId="0" borderId="31" xfId="56" applyFont="1" applyFill="1" applyBorder="1" applyAlignment="1">
      <alignment horizontal="center" vertical="center" wrapText="1"/>
    </xf>
    <xf numFmtId="4" fontId="56" fillId="0" borderId="26" xfId="59" applyNumberFormat="1" applyFont="1" applyFill="1" applyBorder="1" applyAlignment="1">
      <alignment horizontal="center" vertical="center"/>
    </xf>
    <xf numFmtId="4" fontId="56" fillId="0" borderId="31" xfId="59" applyNumberFormat="1" applyFont="1" applyFill="1" applyBorder="1" applyAlignment="1">
      <alignment horizontal="center" vertical="center"/>
    </xf>
    <xf numFmtId="0" fontId="56" fillId="0" borderId="26" xfId="9" applyFont="1" applyFill="1" applyBorder="1" applyAlignment="1">
      <alignment horizontal="center" vertical="center" wrapText="1"/>
    </xf>
    <xf numFmtId="0" fontId="56" fillId="0" borderId="31" xfId="9" applyFont="1" applyFill="1" applyBorder="1" applyAlignment="1">
      <alignment horizontal="center" vertical="center" wrapText="1"/>
    </xf>
    <xf numFmtId="0" fontId="54" fillId="0" borderId="26" xfId="56" applyFont="1" applyFill="1" applyBorder="1" applyAlignment="1">
      <alignment horizontal="center" vertical="center" wrapText="1"/>
    </xf>
    <xf numFmtId="0" fontId="54" fillId="0" borderId="31" xfId="56" applyFont="1" applyFill="1" applyBorder="1" applyAlignment="1">
      <alignment horizontal="center" vertical="center" wrapText="1"/>
    </xf>
    <xf numFmtId="4" fontId="54" fillId="0" borderId="26" xfId="59" applyNumberFormat="1" applyFont="1" applyFill="1" applyBorder="1" applyAlignment="1">
      <alignment horizontal="center" vertical="center"/>
    </xf>
    <xf numFmtId="4" fontId="54" fillId="0" borderId="31" xfId="59" applyNumberFormat="1" applyFont="1" applyFill="1" applyBorder="1" applyAlignment="1">
      <alignment horizontal="center" vertical="center"/>
    </xf>
    <xf numFmtId="0" fontId="54" fillId="0" borderId="35" xfId="9" applyFont="1" applyFill="1" applyBorder="1" applyAlignment="1">
      <alignment horizontal="center"/>
    </xf>
    <xf numFmtId="0" fontId="54" fillId="0" borderId="38" xfId="9" applyFont="1" applyFill="1" applyBorder="1" applyAlignment="1">
      <alignment horizontal="center"/>
    </xf>
    <xf numFmtId="4" fontId="54" fillId="0" borderId="26" xfId="59" applyNumberFormat="1" applyFont="1" applyFill="1" applyBorder="1" applyAlignment="1">
      <alignment horizontal="center" vertical="center" wrapText="1"/>
    </xf>
    <xf numFmtId="4" fontId="54" fillId="0" borderId="31" xfId="59" applyNumberFormat="1" applyFont="1" applyFill="1" applyBorder="1" applyAlignment="1">
      <alignment horizontal="center" vertical="center" wrapText="1"/>
    </xf>
    <xf numFmtId="0" fontId="54" fillId="0" borderId="36" xfId="56" applyFont="1" applyFill="1" applyBorder="1" applyAlignment="1">
      <alignment horizontal="center" vertical="center" wrapText="1"/>
    </xf>
    <xf numFmtId="4" fontId="54" fillId="0" borderId="36" xfId="59" applyNumberFormat="1" applyFont="1" applyFill="1" applyBorder="1" applyAlignment="1">
      <alignment horizontal="center" vertical="center"/>
    </xf>
    <xf numFmtId="0" fontId="54" fillId="0" borderId="36" xfId="9" applyFont="1" applyFill="1" applyBorder="1" applyAlignment="1">
      <alignment horizontal="center" vertical="center" wrapText="1"/>
    </xf>
    <xf numFmtId="0" fontId="54" fillId="0" borderId="39" xfId="56" applyFont="1" applyFill="1" applyBorder="1" applyAlignment="1">
      <alignment horizontal="center" vertical="center" wrapText="1"/>
    </xf>
    <xf numFmtId="4" fontId="54" fillId="0" borderId="39" xfId="59" applyNumberFormat="1" applyFont="1" applyFill="1" applyBorder="1" applyAlignment="1">
      <alignment horizontal="center" vertical="center"/>
    </xf>
    <xf numFmtId="0" fontId="54" fillId="0" borderId="39" xfId="9" applyFont="1" applyFill="1" applyBorder="1" applyAlignment="1">
      <alignment horizontal="center" vertical="center" wrapText="1"/>
    </xf>
    <xf numFmtId="0" fontId="54" fillId="0" borderId="67" xfId="9" applyFont="1" applyFill="1" applyBorder="1" applyAlignment="1">
      <alignment horizontal="center"/>
    </xf>
    <xf numFmtId="0" fontId="54" fillId="0" borderId="70" xfId="9" applyFont="1" applyFill="1" applyBorder="1" applyAlignment="1">
      <alignment horizontal="center"/>
    </xf>
    <xf numFmtId="0" fontId="54" fillId="0" borderId="68" xfId="56" applyFont="1" applyFill="1" applyBorder="1" applyAlignment="1">
      <alignment horizontal="center" vertical="center" wrapText="1"/>
    </xf>
    <xf numFmtId="0" fontId="54" fillId="0" borderId="44" xfId="56" applyFont="1" applyFill="1" applyBorder="1" applyAlignment="1">
      <alignment horizontal="center" vertical="center" wrapText="1"/>
    </xf>
    <xf numFmtId="4" fontId="54" fillId="0" borderId="68" xfId="59" applyNumberFormat="1" applyFont="1" applyFill="1" applyBorder="1" applyAlignment="1">
      <alignment horizontal="center" vertical="center"/>
    </xf>
    <xf numFmtId="4" fontId="54" fillId="0" borderId="44" xfId="59" applyNumberFormat="1" applyFont="1" applyFill="1" applyBorder="1" applyAlignment="1">
      <alignment horizontal="center" vertical="center"/>
    </xf>
    <xf numFmtId="0" fontId="54" fillId="0" borderId="68" xfId="9" applyFont="1" applyFill="1" applyBorder="1" applyAlignment="1">
      <alignment horizontal="center" vertical="center" wrapText="1"/>
    </xf>
    <xf numFmtId="0" fontId="54" fillId="0" borderId="44" xfId="9" applyFont="1" applyFill="1" applyBorder="1" applyAlignment="1">
      <alignment horizontal="center" vertical="center" wrapText="1"/>
    </xf>
    <xf numFmtId="0" fontId="54" fillId="0" borderId="27" xfId="56" applyFont="1" applyFill="1" applyBorder="1" applyAlignment="1">
      <alignment horizontal="center" vertical="center" wrapText="1"/>
    </xf>
    <xf numFmtId="0" fontId="54" fillId="0" borderId="32" xfId="56" applyFont="1" applyFill="1" applyBorder="1" applyAlignment="1">
      <alignment horizontal="center" vertical="center" wrapText="1"/>
    </xf>
    <xf numFmtId="4" fontId="54" fillId="0" borderId="27" xfId="59" applyNumberFormat="1" applyFont="1" applyFill="1" applyBorder="1" applyAlignment="1">
      <alignment horizontal="center" vertical="center" wrapText="1"/>
    </xf>
    <xf numFmtId="4" fontId="54" fillId="0" borderId="32" xfId="59" applyNumberFormat="1" applyFont="1" applyFill="1" applyBorder="1" applyAlignment="1">
      <alignment horizontal="center" vertical="center" wrapText="1"/>
    </xf>
    <xf numFmtId="0" fontId="54" fillId="0" borderId="27" xfId="9" applyFont="1" applyFill="1" applyBorder="1" applyAlignment="1">
      <alignment horizontal="center" vertical="center" wrapText="1"/>
    </xf>
    <xf numFmtId="0" fontId="54" fillId="0" borderId="32" xfId="9" applyFont="1" applyFill="1" applyBorder="1" applyAlignment="1">
      <alignment horizontal="center" vertical="center" wrapText="1"/>
    </xf>
    <xf numFmtId="4" fontId="54" fillId="0" borderId="27" xfId="59" applyNumberFormat="1" applyFont="1" applyFill="1" applyBorder="1" applyAlignment="1">
      <alignment horizontal="center" vertical="center"/>
    </xf>
    <xf numFmtId="4" fontId="54" fillId="0" borderId="32" xfId="59" applyNumberFormat="1" applyFont="1" applyFill="1" applyBorder="1" applyAlignment="1">
      <alignment horizontal="center" vertical="center"/>
    </xf>
    <xf numFmtId="4" fontId="54" fillId="0" borderId="43" xfId="59" applyNumberFormat="1" applyFont="1" applyFill="1" applyBorder="1" applyAlignment="1">
      <alignment horizontal="center" vertical="center"/>
    </xf>
    <xf numFmtId="3" fontId="54" fillId="0" borderId="26" xfId="56" applyNumberFormat="1" applyFont="1" applyFill="1" applyBorder="1" applyAlignment="1">
      <alignment horizontal="center" vertical="center" wrapText="1"/>
    </xf>
    <xf numFmtId="14" fontId="54" fillId="0" borderId="36" xfId="9" applyNumberFormat="1" applyFont="1" applyFill="1" applyBorder="1" applyAlignment="1">
      <alignment horizontal="center" vertical="center" wrapText="1"/>
    </xf>
    <xf numFmtId="0" fontId="41" fillId="0" borderId="0" xfId="56" applyFont="1" applyBorder="1" applyAlignment="1">
      <alignment horizontal="center"/>
    </xf>
    <xf numFmtId="0" fontId="55" fillId="2" borderId="15" xfId="9" applyFont="1" applyFill="1" applyBorder="1" applyAlignment="1">
      <alignment horizontal="center" vertical="center" wrapText="1"/>
    </xf>
    <xf numFmtId="0" fontId="55" fillId="2" borderId="20" xfId="9" applyFont="1" applyFill="1" applyBorder="1" applyAlignment="1">
      <alignment horizontal="center" vertical="center" wrapText="1"/>
    </xf>
    <xf numFmtId="0" fontId="55" fillId="2" borderId="16" xfId="9" applyFont="1" applyFill="1" applyBorder="1" applyAlignment="1">
      <alignment horizontal="center" vertical="center" wrapText="1"/>
    </xf>
    <xf numFmtId="0" fontId="55" fillId="2" borderId="21" xfId="9" applyFont="1" applyFill="1" applyBorder="1" applyAlignment="1">
      <alignment horizontal="center" vertical="center" wrapText="1"/>
    </xf>
    <xf numFmtId="0" fontId="55" fillId="2" borderId="17" xfId="9" applyFont="1" applyFill="1" applyBorder="1" applyAlignment="1">
      <alignment horizontal="center" vertical="center"/>
    </xf>
    <xf numFmtId="0" fontId="55" fillId="2" borderId="22" xfId="9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7" fillId="2" borderId="1" xfId="7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8" fillId="43" borderId="0" xfId="0" applyFont="1" applyFill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1" fillId="37" borderId="13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8" xfId="0" applyBorder="1" applyAlignment="1">
      <alignment horizontal="center" vertical="top" wrapText="1"/>
    </xf>
    <xf numFmtId="0" fontId="68" fillId="43" borderId="0" xfId="0" applyFont="1" applyFill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right"/>
    </xf>
    <xf numFmtId="0" fontId="66" fillId="0" borderId="0" xfId="0" applyFont="1" applyAlignment="1">
      <alignment vertical="center"/>
    </xf>
    <xf numFmtId="0" fontId="66" fillId="0" borderId="0" xfId="0" applyFont="1"/>
    <xf numFmtId="0" fontId="38" fillId="0" borderId="0" xfId="9" applyFont="1" applyBorder="1"/>
    <xf numFmtId="0" fontId="38" fillId="0" borderId="0" xfId="9" applyFont="1" applyAlignment="1">
      <alignment horizontal="right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/>
    </xf>
  </cellXfs>
  <cellStyles count="66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9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10" xfId="61"/>
    <cellStyle name="Normal 11" xfId="65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7"/>
    <cellStyle name="Normal 6 2 2" xfId="62"/>
    <cellStyle name="Normal 7" xfId="7"/>
    <cellStyle name="Normal 8" xfId="55"/>
    <cellStyle name="Normal 9" xfId="58"/>
    <cellStyle name="Normal 9 2" xfId="64"/>
    <cellStyle name="Normal_Pamatformas 2" xfId="60"/>
    <cellStyle name="Note" xfId="27" builtinId="10" customBuiltin="1"/>
    <cellStyle name="Output" xfId="22" builtinId="21" customBuiltin="1"/>
    <cellStyle name="Percent 2 3" xfId="63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workbookViewId="0">
      <selection activeCell="K5" sqref="K5"/>
    </sheetView>
  </sheetViews>
  <sheetFormatPr defaultColWidth="9.140625" defaultRowHeight="15" x14ac:dyDescent="0.25"/>
  <cols>
    <col min="1" max="1" width="9.85546875" style="13" customWidth="1"/>
    <col min="2" max="2" width="37.42578125" style="14" customWidth="1"/>
    <col min="3" max="3" width="12.5703125" style="1" customWidth="1"/>
    <col min="4" max="4" width="11.7109375" style="1" customWidth="1"/>
    <col min="5" max="5" width="12.5703125" style="1" customWidth="1"/>
    <col min="6" max="6" width="9.140625" style="1"/>
    <col min="7" max="7" width="10.28515625" style="1" bestFit="1" customWidth="1"/>
    <col min="8" max="16384" width="9.140625" style="1"/>
  </cols>
  <sheetData>
    <row r="1" spans="1:9" x14ac:dyDescent="0.25">
      <c r="A1" s="42"/>
      <c r="B1" s="120"/>
      <c r="C1" s="18"/>
      <c r="D1" s="398" t="s">
        <v>0</v>
      </c>
      <c r="E1" s="398"/>
      <c r="I1" s="2"/>
    </row>
    <row r="2" spans="1:9" x14ac:dyDescent="0.25">
      <c r="A2" s="40"/>
      <c r="B2" s="398" t="s">
        <v>871</v>
      </c>
      <c r="C2" s="398"/>
      <c r="D2" s="398"/>
      <c r="E2" s="398"/>
    </row>
    <row r="3" spans="1:9" x14ac:dyDescent="0.25">
      <c r="A3" s="40"/>
      <c r="B3" s="120"/>
      <c r="C3" s="399" t="s">
        <v>873</v>
      </c>
      <c r="D3" s="399"/>
      <c r="E3" s="399"/>
    </row>
    <row r="4" spans="1:9" x14ac:dyDescent="0.25">
      <c r="A4" s="40"/>
      <c r="B4" s="41"/>
      <c r="C4" s="19"/>
      <c r="D4" s="19"/>
      <c r="E4" s="19"/>
    </row>
    <row r="5" spans="1:9" ht="18.75" x14ac:dyDescent="0.25">
      <c r="A5" s="400" t="s">
        <v>811</v>
      </c>
      <c r="B5" s="400"/>
      <c r="C5" s="400"/>
      <c r="D5" s="400"/>
      <c r="E5" s="400"/>
    </row>
    <row r="6" spans="1:9" x14ac:dyDescent="0.25">
      <c r="A6" s="401" t="s">
        <v>1</v>
      </c>
      <c r="B6" s="401"/>
      <c r="C6" s="401"/>
      <c r="D6" s="401"/>
      <c r="E6" s="401"/>
    </row>
    <row r="7" spans="1:9" x14ac:dyDescent="0.25">
      <c r="A7" s="40"/>
      <c r="B7" s="41"/>
      <c r="C7" s="19"/>
      <c r="D7" s="19"/>
      <c r="E7" s="33" t="s">
        <v>10</v>
      </c>
    </row>
    <row r="8" spans="1:9" ht="38.25" x14ac:dyDescent="0.25">
      <c r="A8" s="39" t="s">
        <v>4</v>
      </c>
      <c r="B8" s="39" t="s">
        <v>2</v>
      </c>
      <c r="C8" s="39" t="s">
        <v>812</v>
      </c>
      <c r="D8" s="39" t="s">
        <v>97</v>
      </c>
      <c r="E8" s="359" t="s">
        <v>844</v>
      </c>
    </row>
    <row r="9" spans="1:9" ht="21.75" customHeight="1" x14ac:dyDescent="0.25">
      <c r="A9" s="76"/>
      <c r="B9" s="77" t="s">
        <v>21</v>
      </c>
      <c r="C9" s="78">
        <f>C10+C21+C50+C60</f>
        <v>75364231</v>
      </c>
      <c r="D9" s="78">
        <f>D10+D21+D50+D60</f>
        <v>553318</v>
      </c>
      <c r="E9" s="78">
        <f>E10+E21+E50+E60</f>
        <v>75917549</v>
      </c>
      <c r="G9" s="37"/>
    </row>
    <row r="10" spans="1:9" x14ac:dyDescent="0.25">
      <c r="A10" s="29"/>
      <c r="B10" s="44" t="s">
        <v>22</v>
      </c>
      <c r="C10" s="28">
        <f>C11+C14+C19+C20</f>
        <v>43909571</v>
      </c>
      <c r="D10" s="28">
        <f>D11+D14+D19</f>
        <v>0</v>
      </c>
      <c r="E10" s="28">
        <f>E11+E14+E19+E20</f>
        <v>43909571</v>
      </c>
    </row>
    <row r="11" spans="1:9" ht="17.25" customHeight="1" x14ac:dyDescent="0.25">
      <c r="A11" s="62" t="s">
        <v>432</v>
      </c>
      <c r="B11" s="63" t="s">
        <v>433</v>
      </c>
      <c r="C11" s="22">
        <f>C12+C13</f>
        <v>40040183</v>
      </c>
      <c r="D11" s="22">
        <f t="shared" ref="D11:E11" si="0">D12+D13</f>
        <v>0</v>
      </c>
      <c r="E11" s="22">
        <f t="shared" si="0"/>
        <v>40040183</v>
      </c>
    </row>
    <row r="12" spans="1:9" ht="38.25" x14ac:dyDescent="0.25">
      <c r="A12" s="64" t="s">
        <v>6</v>
      </c>
      <c r="B12" s="65" t="s">
        <v>7</v>
      </c>
      <c r="C12" s="66">
        <v>656993</v>
      </c>
      <c r="D12" s="66">
        <v>0</v>
      </c>
      <c r="E12" s="66">
        <f>C12+D12</f>
        <v>656993</v>
      </c>
    </row>
    <row r="13" spans="1:9" ht="38.25" x14ac:dyDescent="0.25">
      <c r="A13" s="67" t="s">
        <v>8</v>
      </c>
      <c r="B13" s="25" t="s">
        <v>9</v>
      </c>
      <c r="C13" s="68">
        <v>39383190</v>
      </c>
      <c r="D13" s="66">
        <v>0</v>
      </c>
      <c r="E13" s="68">
        <f>C13+D13</f>
        <v>39383190</v>
      </c>
    </row>
    <row r="14" spans="1:9" x14ac:dyDescent="0.25">
      <c r="A14" s="62" t="s">
        <v>11</v>
      </c>
      <c r="B14" s="63" t="s">
        <v>12</v>
      </c>
      <c r="C14" s="22">
        <f>C15+C16+C17</f>
        <v>3720000</v>
      </c>
      <c r="D14" s="22">
        <f t="shared" ref="D14" si="1">D15+D16+D17</f>
        <v>0</v>
      </c>
      <c r="E14" s="22">
        <f>E15+E16+E17</f>
        <v>3720000</v>
      </c>
    </row>
    <row r="15" spans="1:9" x14ac:dyDescent="0.25">
      <c r="A15" s="67" t="s">
        <v>13</v>
      </c>
      <c r="B15" s="25" t="s">
        <v>14</v>
      </c>
      <c r="C15" s="68">
        <v>1433561</v>
      </c>
      <c r="D15" s="68">
        <v>0</v>
      </c>
      <c r="E15" s="68">
        <f>C15+D15</f>
        <v>1433561</v>
      </c>
    </row>
    <row r="16" spans="1:9" x14ac:dyDescent="0.25">
      <c r="A16" s="67" t="s">
        <v>15</v>
      </c>
      <c r="B16" s="25" t="s">
        <v>16</v>
      </c>
      <c r="C16" s="68">
        <v>1435393</v>
      </c>
      <c r="D16" s="68">
        <v>0</v>
      </c>
      <c r="E16" s="68">
        <f>C16+D16</f>
        <v>1435393</v>
      </c>
    </row>
    <row r="17" spans="1:5" ht="25.5" x14ac:dyDescent="0.25">
      <c r="A17" s="67" t="s">
        <v>17</v>
      </c>
      <c r="B17" s="25" t="s">
        <v>18</v>
      </c>
      <c r="C17" s="68">
        <v>851046</v>
      </c>
      <c r="D17" s="68">
        <v>0</v>
      </c>
      <c r="E17" s="68">
        <f>C17+D17</f>
        <v>851046</v>
      </c>
    </row>
    <row r="18" spans="1:5" ht="25.5" x14ac:dyDescent="0.25">
      <c r="A18" s="62" t="s">
        <v>434</v>
      </c>
      <c r="B18" s="63" t="s">
        <v>435</v>
      </c>
      <c r="C18" s="22">
        <f>C19</f>
        <v>109388</v>
      </c>
      <c r="D18" s="22">
        <f>D19</f>
        <v>0</v>
      </c>
      <c r="E18" s="22">
        <f>E19</f>
        <v>109388</v>
      </c>
    </row>
    <row r="19" spans="1:5" x14ac:dyDescent="0.25">
      <c r="A19" s="67" t="s">
        <v>19</v>
      </c>
      <c r="B19" s="25" t="s">
        <v>20</v>
      </c>
      <c r="C19" s="68">
        <v>109388</v>
      </c>
      <c r="D19" s="68">
        <v>0</v>
      </c>
      <c r="E19" s="68">
        <f>C19+D19</f>
        <v>109388</v>
      </c>
    </row>
    <row r="20" spans="1:5" x14ac:dyDescent="0.25">
      <c r="A20" s="185" t="s">
        <v>813</v>
      </c>
      <c r="B20" s="193" t="s">
        <v>814</v>
      </c>
      <c r="C20" s="22">
        <v>40000</v>
      </c>
      <c r="D20" s="22"/>
      <c r="E20" s="22">
        <f>C20+D20</f>
        <v>40000</v>
      </c>
    </row>
    <row r="21" spans="1:5" x14ac:dyDescent="0.25">
      <c r="A21" s="29"/>
      <c r="B21" s="44" t="s">
        <v>23</v>
      </c>
      <c r="C21" s="28">
        <f>C22+C35+C39+C46</f>
        <v>324935</v>
      </c>
      <c r="D21" s="28">
        <f>D22+D35+D39+D46</f>
        <v>0</v>
      </c>
      <c r="E21" s="28">
        <f>E22+E35+E39+E46</f>
        <v>324935</v>
      </c>
    </row>
    <row r="22" spans="1:5" ht="25.5" x14ac:dyDescent="0.25">
      <c r="A22" s="62" t="s">
        <v>25</v>
      </c>
      <c r="B22" s="63" t="s">
        <v>26</v>
      </c>
      <c r="C22" s="22">
        <f>C23+C27</f>
        <v>67500</v>
      </c>
      <c r="D22" s="22">
        <f>D23+D27</f>
        <v>0</v>
      </c>
      <c r="E22" s="22">
        <f>E23+E27</f>
        <v>67500</v>
      </c>
    </row>
    <row r="23" spans="1:5" ht="25.5" x14ac:dyDescent="0.25">
      <c r="A23" s="69" t="s">
        <v>27</v>
      </c>
      <c r="B23" s="63" t="s">
        <v>28</v>
      </c>
      <c r="C23" s="22">
        <f>SUM(C24:C26)</f>
        <v>17500</v>
      </c>
      <c r="D23" s="22">
        <f>SUM(D24:D26)</f>
        <v>0</v>
      </c>
      <c r="E23" s="22">
        <f>SUM(E24:E26)</f>
        <v>17500</v>
      </c>
    </row>
    <row r="24" spans="1:5" ht="38.25" x14ac:dyDescent="0.25">
      <c r="A24" s="67" t="s">
        <v>29</v>
      </c>
      <c r="B24" s="25" t="s">
        <v>30</v>
      </c>
      <c r="C24" s="68">
        <v>3000</v>
      </c>
      <c r="D24" s="68">
        <v>0</v>
      </c>
      <c r="E24" s="68">
        <f>C24+D24</f>
        <v>3000</v>
      </c>
    </row>
    <row r="25" spans="1:5" ht="63.75" x14ac:dyDescent="0.25">
      <c r="A25" s="67" t="s">
        <v>31</v>
      </c>
      <c r="B25" s="25" t="s">
        <v>32</v>
      </c>
      <c r="C25" s="68">
        <v>9500</v>
      </c>
      <c r="D25" s="68">
        <v>0</v>
      </c>
      <c r="E25" s="68">
        <f t="shared" ref="E25:E34" si="2">C25+D25</f>
        <v>9500</v>
      </c>
    </row>
    <row r="26" spans="1:5" ht="25.5" x14ac:dyDescent="0.25">
      <c r="A26" s="67" t="s">
        <v>33</v>
      </c>
      <c r="B26" s="25" t="s">
        <v>34</v>
      </c>
      <c r="C26" s="68">
        <v>5000</v>
      </c>
      <c r="D26" s="68">
        <v>0</v>
      </c>
      <c r="E26" s="68">
        <f t="shared" si="2"/>
        <v>5000</v>
      </c>
    </row>
    <row r="27" spans="1:5" x14ac:dyDescent="0.25">
      <c r="A27" s="69" t="s">
        <v>35</v>
      </c>
      <c r="B27" s="63" t="s">
        <v>36</v>
      </c>
      <c r="C27" s="22">
        <f>SUM(C28:C34)</f>
        <v>50000</v>
      </c>
      <c r="D27" s="22">
        <f t="shared" ref="D27:E27" si="3">SUM(D28:D34)</f>
        <v>0</v>
      </c>
      <c r="E27" s="22">
        <f t="shared" si="3"/>
        <v>50000</v>
      </c>
    </row>
    <row r="28" spans="1:5" ht="39" x14ac:dyDescent="0.25">
      <c r="A28" s="67" t="s">
        <v>37</v>
      </c>
      <c r="B28" s="194" t="s">
        <v>815</v>
      </c>
      <c r="C28" s="68">
        <v>8500</v>
      </c>
      <c r="D28" s="66">
        <v>0</v>
      </c>
      <c r="E28" s="68">
        <f t="shared" si="2"/>
        <v>8500</v>
      </c>
    </row>
    <row r="29" spans="1:5" ht="39" x14ac:dyDescent="0.25">
      <c r="A29" s="67" t="s">
        <v>38</v>
      </c>
      <c r="B29" s="194" t="s">
        <v>44</v>
      </c>
      <c r="C29" s="68">
        <v>500</v>
      </c>
      <c r="D29" s="66">
        <v>0</v>
      </c>
      <c r="E29" s="68">
        <f t="shared" si="2"/>
        <v>500</v>
      </c>
    </row>
    <row r="30" spans="1:5" ht="26.25" x14ac:dyDescent="0.25">
      <c r="A30" s="67" t="s">
        <v>39</v>
      </c>
      <c r="B30" s="194" t="s">
        <v>45</v>
      </c>
      <c r="C30" s="68">
        <v>2000</v>
      </c>
      <c r="D30" s="66">
        <v>0</v>
      </c>
      <c r="E30" s="68">
        <f t="shared" si="2"/>
        <v>2000</v>
      </c>
    </row>
    <row r="31" spans="1:5" ht="26.25" x14ac:dyDescent="0.25">
      <c r="A31" s="67" t="s">
        <v>40</v>
      </c>
      <c r="B31" s="194" t="s">
        <v>46</v>
      </c>
      <c r="C31" s="68">
        <v>5000</v>
      </c>
      <c r="D31" s="66">
        <v>0</v>
      </c>
      <c r="E31" s="68">
        <f t="shared" si="2"/>
        <v>5000</v>
      </c>
    </row>
    <row r="32" spans="1:5" ht="28.5" customHeight="1" x14ac:dyDescent="0.25">
      <c r="A32" s="67" t="s">
        <v>41</v>
      </c>
      <c r="B32" s="194" t="s">
        <v>47</v>
      </c>
      <c r="C32" s="68">
        <v>9000</v>
      </c>
      <c r="D32" s="68">
        <v>0</v>
      </c>
      <c r="E32" s="68">
        <f t="shared" si="2"/>
        <v>9000</v>
      </c>
    </row>
    <row r="33" spans="1:5" ht="26.25" x14ac:dyDescent="0.25">
      <c r="A33" s="67" t="s">
        <v>42</v>
      </c>
      <c r="B33" s="194" t="s">
        <v>436</v>
      </c>
      <c r="C33" s="68">
        <v>19000</v>
      </c>
      <c r="D33" s="68">
        <v>0</v>
      </c>
      <c r="E33" s="68">
        <f t="shared" si="2"/>
        <v>19000</v>
      </c>
    </row>
    <row r="34" spans="1:5" x14ac:dyDescent="0.25">
      <c r="A34" s="67" t="s">
        <v>43</v>
      </c>
      <c r="B34" s="194" t="s">
        <v>48</v>
      </c>
      <c r="C34" s="68">
        <v>6000</v>
      </c>
      <c r="D34" s="68">
        <v>0</v>
      </c>
      <c r="E34" s="68">
        <f t="shared" si="2"/>
        <v>6000</v>
      </c>
    </row>
    <row r="35" spans="1:5" x14ac:dyDescent="0.25">
      <c r="A35" s="62" t="s">
        <v>49</v>
      </c>
      <c r="B35" s="63" t="s">
        <v>50</v>
      </c>
      <c r="C35" s="22">
        <f>C36</f>
        <v>150000</v>
      </c>
      <c r="D35" s="22">
        <f t="shared" ref="D35:E35" si="4">D36</f>
        <v>0</v>
      </c>
      <c r="E35" s="22">
        <f t="shared" si="4"/>
        <v>150000</v>
      </c>
    </row>
    <row r="36" spans="1:5" x14ac:dyDescent="0.25">
      <c r="A36" s="69" t="s">
        <v>53</v>
      </c>
      <c r="B36" s="63" t="s">
        <v>54</v>
      </c>
      <c r="C36" s="22">
        <f>SUM(C37:C38)</f>
        <v>150000</v>
      </c>
      <c r="D36" s="22">
        <f t="shared" ref="D36:E36" si="5">SUM(D37:D38)</f>
        <v>0</v>
      </c>
      <c r="E36" s="22">
        <f t="shared" si="5"/>
        <v>150000</v>
      </c>
    </row>
    <row r="37" spans="1:5" x14ac:dyDescent="0.25">
      <c r="A37" s="67" t="s">
        <v>51</v>
      </c>
      <c r="B37" s="25" t="s">
        <v>52</v>
      </c>
      <c r="C37" s="68">
        <v>77000</v>
      </c>
      <c r="D37" s="68">
        <v>0</v>
      </c>
      <c r="E37" s="68">
        <f>C37+D37</f>
        <v>77000</v>
      </c>
    </row>
    <row r="38" spans="1:5" ht="24.75" customHeight="1" x14ac:dyDescent="0.25">
      <c r="A38" s="67" t="s">
        <v>55</v>
      </c>
      <c r="B38" s="25" t="s">
        <v>56</v>
      </c>
      <c r="C38" s="68">
        <v>73000</v>
      </c>
      <c r="D38" s="68">
        <v>0</v>
      </c>
      <c r="E38" s="68">
        <f>C38+D38</f>
        <v>73000</v>
      </c>
    </row>
    <row r="39" spans="1:5" hidden="1" x14ac:dyDescent="0.25">
      <c r="A39" s="70" t="s">
        <v>57</v>
      </c>
      <c r="B39" s="71" t="s">
        <v>58</v>
      </c>
      <c r="C39" s="26">
        <f>C40+C42</f>
        <v>0</v>
      </c>
      <c r="D39" s="26">
        <f t="shared" ref="D39:E39" si="6">D40+D42</f>
        <v>0</v>
      </c>
      <c r="E39" s="26">
        <f t="shared" si="6"/>
        <v>0</v>
      </c>
    </row>
    <row r="40" spans="1:5" ht="38.25" hidden="1" x14ac:dyDescent="0.25">
      <c r="A40" s="72" t="s">
        <v>377</v>
      </c>
      <c r="B40" s="71" t="s">
        <v>380</v>
      </c>
      <c r="C40" s="26">
        <f>C41</f>
        <v>0</v>
      </c>
      <c r="D40" s="26">
        <f>D41</f>
        <v>0</v>
      </c>
      <c r="E40" s="26">
        <f>E41</f>
        <v>0</v>
      </c>
    </row>
    <row r="41" spans="1:5" ht="25.5" hidden="1" x14ac:dyDescent="0.25">
      <c r="A41" s="64" t="s">
        <v>378</v>
      </c>
      <c r="B41" s="65" t="s">
        <v>379</v>
      </c>
      <c r="C41" s="66">
        <v>0</v>
      </c>
      <c r="D41" s="66">
        <v>0</v>
      </c>
      <c r="E41" s="66">
        <f>C41+D41</f>
        <v>0</v>
      </c>
    </row>
    <row r="42" spans="1:5" hidden="1" x14ac:dyDescent="0.25">
      <c r="A42" s="72" t="s">
        <v>59</v>
      </c>
      <c r="B42" s="71" t="s">
        <v>437</v>
      </c>
      <c r="C42" s="26">
        <f>C45+C43+C44</f>
        <v>0</v>
      </c>
      <c r="D42" s="26">
        <f t="shared" ref="D42:E42" si="7">D45+D43+D44</f>
        <v>0</v>
      </c>
      <c r="E42" s="26">
        <f t="shared" si="7"/>
        <v>0</v>
      </c>
    </row>
    <row r="43" spans="1:5" ht="15.75" hidden="1" customHeight="1" x14ac:dyDescent="0.25">
      <c r="A43" s="64" t="s">
        <v>438</v>
      </c>
      <c r="B43" s="65" t="s">
        <v>424</v>
      </c>
      <c r="C43" s="66">
        <v>0</v>
      </c>
      <c r="D43" s="66"/>
      <c r="E43" s="66">
        <f t="shared" ref="E43:E44" si="8">C43+D43</f>
        <v>0</v>
      </c>
    </row>
    <row r="44" spans="1:5" ht="25.5" hidden="1" x14ac:dyDescent="0.25">
      <c r="A44" s="80" t="s">
        <v>425</v>
      </c>
      <c r="B44" s="81" t="s">
        <v>439</v>
      </c>
      <c r="C44" s="82">
        <v>0</v>
      </c>
      <c r="D44" s="82">
        <v>0</v>
      </c>
      <c r="E44" s="82">
        <f t="shared" si="8"/>
        <v>0</v>
      </c>
    </row>
    <row r="45" spans="1:5" ht="31.5" hidden="1" customHeight="1" x14ac:dyDescent="0.25">
      <c r="A45" s="64" t="s">
        <v>412</v>
      </c>
      <c r="B45" s="65" t="s">
        <v>420</v>
      </c>
      <c r="C45" s="66">
        <v>0</v>
      </c>
      <c r="D45" s="66"/>
      <c r="E45" s="66">
        <f>C45+D45</f>
        <v>0</v>
      </c>
    </row>
    <row r="46" spans="1:5" ht="42.75" customHeight="1" x14ac:dyDescent="0.25">
      <c r="A46" s="62" t="s">
        <v>60</v>
      </c>
      <c r="B46" s="63" t="s">
        <v>63</v>
      </c>
      <c r="C46" s="22">
        <f>SUM(C47:C49)</f>
        <v>107435</v>
      </c>
      <c r="D46" s="22">
        <f>SUM(D47:D49)</f>
        <v>0</v>
      </c>
      <c r="E46" s="22">
        <f>SUM(E47:E49)</f>
        <v>107435</v>
      </c>
    </row>
    <row r="47" spans="1:5" ht="25.5" x14ac:dyDescent="0.25">
      <c r="A47" s="67" t="s">
        <v>61</v>
      </c>
      <c r="B47" s="25" t="s">
        <v>62</v>
      </c>
      <c r="C47" s="68">
        <v>82253</v>
      </c>
      <c r="D47" s="68">
        <v>0</v>
      </c>
      <c r="E47" s="68">
        <f>C47+D47</f>
        <v>82253</v>
      </c>
    </row>
    <row r="48" spans="1:5" ht="18" customHeight="1" x14ac:dyDescent="0.25">
      <c r="A48" s="67" t="s">
        <v>440</v>
      </c>
      <c r="B48" s="25" t="s">
        <v>446</v>
      </c>
      <c r="C48" s="68">
        <v>25182</v>
      </c>
      <c r="D48" s="68">
        <v>0</v>
      </c>
      <c r="E48" s="68">
        <f>C48+D48</f>
        <v>25182</v>
      </c>
    </row>
    <row r="49" spans="1:5" ht="30" hidden="1" customHeight="1" x14ac:dyDescent="0.25">
      <c r="A49" s="80" t="s">
        <v>333</v>
      </c>
      <c r="B49" s="81" t="s">
        <v>334</v>
      </c>
      <c r="C49" s="82">
        <v>0</v>
      </c>
      <c r="D49" s="82">
        <v>0</v>
      </c>
      <c r="E49" s="82">
        <f>C49+D49</f>
        <v>0</v>
      </c>
    </row>
    <row r="50" spans="1:5" x14ac:dyDescent="0.25">
      <c r="A50" s="45"/>
      <c r="B50" s="44" t="s">
        <v>64</v>
      </c>
      <c r="C50" s="46">
        <f>C53+C58+C51</f>
        <v>29491052</v>
      </c>
      <c r="D50" s="46">
        <f>D53+D58+D51</f>
        <v>482195</v>
      </c>
      <c r="E50" s="46">
        <f>E53+E58+E51</f>
        <v>29973247</v>
      </c>
    </row>
    <row r="51" spans="1:5" s="17" customFormat="1" ht="38.25" x14ac:dyDescent="0.25">
      <c r="A51" s="115" t="s">
        <v>441</v>
      </c>
      <c r="B51" s="116" t="s">
        <v>329</v>
      </c>
      <c r="C51" s="117">
        <f>C52</f>
        <v>118711</v>
      </c>
      <c r="D51" s="26">
        <f>D52</f>
        <v>11084</v>
      </c>
      <c r="E51" s="26">
        <f>E52</f>
        <v>129795</v>
      </c>
    </row>
    <row r="52" spans="1:5" s="17" customFormat="1" ht="51" x14ac:dyDescent="0.25">
      <c r="A52" s="118" t="s">
        <v>442</v>
      </c>
      <c r="B52" s="119" t="s">
        <v>330</v>
      </c>
      <c r="C52" s="73">
        <v>118711</v>
      </c>
      <c r="D52" s="66">
        <v>11084</v>
      </c>
      <c r="E52" s="66">
        <f>C52+D52</f>
        <v>129795</v>
      </c>
    </row>
    <row r="53" spans="1:5" x14ac:dyDescent="0.25">
      <c r="A53" s="62" t="s">
        <v>65</v>
      </c>
      <c r="B53" s="63" t="s">
        <v>66</v>
      </c>
      <c r="C53" s="22">
        <f>C54</f>
        <v>28681442</v>
      </c>
      <c r="D53" s="22">
        <f t="shared" ref="D53:E53" si="9">D54</f>
        <v>471111</v>
      </c>
      <c r="E53" s="22">
        <f t="shared" si="9"/>
        <v>29152553</v>
      </c>
    </row>
    <row r="54" spans="1:5" ht="25.5" x14ac:dyDescent="0.25">
      <c r="A54" s="69" t="s">
        <v>67</v>
      </c>
      <c r="B54" s="63" t="s">
        <v>443</v>
      </c>
      <c r="C54" s="22">
        <f>SUM(C55:C57)</f>
        <v>28681442</v>
      </c>
      <c r="D54" s="26">
        <f>SUM(D55:D57)</f>
        <v>471111</v>
      </c>
      <c r="E54" s="22">
        <f>SUM(E55:E57)</f>
        <v>29152553</v>
      </c>
    </row>
    <row r="55" spans="1:5" ht="25.5" x14ac:dyDescent="0.25">
      <c r="A55" s="67" t="s">
        <v>68</v>
      </c>
      <c r="B55" s="25" t="s">
        <v>444</v>
      </c>
      <c r="C55" s="68">
        <v>11975226</v>
      </c>
      <c r="D55" s="66">
        <v>80138</v>
      </c>
      <c r="E55" s="68">
        <f>C55+D55</f>
        <v>12055364</v>
      </c>
    </row>
    <row r="56" spans="1:5" ht="65.25" customHeight="1" x14ac:dyDescent="0.25">
      <c r="A56" s="67" t="s">
        <v>69</v>
      </c>
      <c r="B56" s="25" t="s">
        <v>71</v>
      </c>
      <c r="C56" s="68">
        <v>8468564</v>
      </c>
      <c r="D56" s="66">
        <v>390973</v>
      </c>
      <c r="E56" s="68">
        <f t="shared" ref="E56:E57" si="10">C56+D56</f>
        <v>8859537</v>
      </c>
    </row>
    <row r="57" spans="1:5" ht="27.75" customHeight="1" x14ac:dyDescent="0.25">
      <c r="A57" s="67" t="s">
        <v>70</v>
      </c>
      <c r="B57" s="25" t="s">
        <v>72</v>
      </c>
      <c r="C57" s="68">
        <v>8237652</v>
      </c>
      <c r="D57" s="66">
        <v>0</v>
      </c>
      <c r="E57" s="68">
        <f t="shared" si="10"/>
        <v>8237652</v>
      </c>
    </row>
    <row r="58" spans="1:5" x14ac:dyDescent="0.25">
      <c r="A58" s="62" t="s">
        <v>73</v>
      </c>
      <c r="B58" s="63" t="s">
        <v>319</v>
      </c>
      <c r="C58" s="22">
        <f>C59</f>
        <v>690899</v>
      </c>
      <c r="D58" s="26">
        <f t="shared" ref="D58:E58" si="11">D59</f>
        <v>0</v>
      </c>
      <c r="E58" s="22">
        <f t="shared" si="11"/>
        <v>690899</v>
      </c>
    </row>
    <row r="59" spans="1:5" ht="25.5" x14ac:dyDescent="0.25">
      <c r="A59" s="67" t="s">
        <v>74</v>
      </c>
      <c r="B59" s="25" t="s">
        <v>75</v>
      </c>
      <c r="C59" s="68">
        <v>690899</v>
      </c>
      <c r="D59" s="66">
        <v>0</v>
      </c>
      <c r="E59" s="68">
        <f>C59+D59</f>
        <v>690899</v>
      </c>
    </row>
    <row r="60" spans="1:5" ht="28.5" x14ac:dyDescent="0.25">
      <c r="A60" s="29"/>
      <c r="B60" s="44" t="s">
        <v>76</v>
      </c>
      <c r="C60" s="28">
        <f>C61</f>
        <v>1638673</v>
      </c>
      <c r="D60" s="28">
        <f t="shared" ref="D60:E60" si="12">D61</f>
        <v>71123</v>
      </c>
      <c r="E60" s="28">
        <f t="shared" si="12"/>
        <v>1709796</v>
      </c>
    </row>
    <row r="61" spans="1:5" x14ac:dyDescent="0.25">
      <c r="A61" s="62" t="s">
        <v>77</v>
      </c>
      <c r="B61" s="63" t="s">
        <v>78</v>
      </c>
      <c r="C61" s="22">
        <f>C62+C66+C84</f>
        <v>1638673</v>
      </c>
      <c r="D61" s="22">
        <f>D62+D66+D84</f>
        <v>71123</v>
      </c>
      <c r="E61" s="22">
        <f>E62+E66+E84</f>
        <v>1709796</v>
      </c>
    </row>
    <row r="62" spans="1:5" ht="25.5" x14ac:dyDescent="0.25">
      <c r="A62" s="72" t="s">
        <v>79</v>
      </c>
      <c r="B62" s="71" t="s">
        <v>80</v>
      </c>
      <c r="C62" s="26">
        <f>C63+C65+C64</f>
        <v>53352</v>
      </c>
      <c r="D62" s="26">
        <f t="shared" ref="D62" si="13">D63+D65+D64</f>
        <v>0</v>
      </c>
      <c r="E62" s="26">
        <f>E63+E65+E64</f>
        <v>53352</v>
      </c>
    </row>
    <row r="63" spans="1:5" ht="38.25" hidden="1" x14ac:dyDescent="0.25">
      <c r="A63" s="80" t="s">
        <v>342</v>
      </c>
      <c r="B63" s="81" t="s">
        <v>343</v>
      </c>
      <c r="C63" s="82">
        <v>0</v>
      </c>
      <c r="D63" s="82">
        <v>0</v>
      </c>
      <c r="E63" s="82">
        <f>C63+D63</f>
        <v>0</v>
      </c>
    </row>
    <row r="64" spans="1:5" ht="51.75" x14ac:dyDescent="0.25">
      <c r="A64" s="196" t="s">
        <v>816</v>
      </c>
      <c r="B64" s="195" t="s">
        <v>817</v>
      </c>
      <c r="C64" s="66">
        <v>40472</v>
      </c>
      <c r="D64" s="66">
        <v>0</v>
      </c>
      <c r="E64" s="66">
        <f>C64+D64</f>
        <v>40472</v>
      </c>
    </row>
    <row r="65" spans="1:5" ht="38.25" x14ac:dyDescent="0.25">
      <c r="A65" s="64" t="s">
        <v>447</v>
      </c>
      <c r="B65" s="65" t="s">
        <v>448</v>
      </c>
      <c r="C65" s="66">
        <v>12880</v>
      </c>
      <c r="D65" s="66">
        <v>0</v>
      </c>
      <c r="E65" s="66">
        <f>C65+D65</f>
        <v>12880</v>
      </c>
    </row>
    <row r="66" spans="1:5" ht="25.5" x14ac:dyDescent="0.25">
      <c r="A66" s="69" t="s">
        <v>81</v>
      </c>
      <c r="B66" s="63" t="s">
        <v>82</v>
      </c>
      <c r="C66" s="26">
        <f>C67+C68+C71+C73+C78</f>
        <v>1529191</v>
      </c>
      <c r="D66" s="26">
        <f t="shared" ref="D66:E66" si="14">D67+D68+D71+D73+D78</f>
        <v>71123</v>
      </c>
      <c r="E66" s="26">
        <f t="shared" si="14"/>
        <v>1600314</v>
      </c>
    </row>
    <row r="67" spans="1:5" ht="56.25" hidden="1" customHeight="1" x14ac:dyDescent="0.25">
      <c r="A67" s="80" t="s">
        <v>83</v>
      </c>
      <c r="B67" s="81" t="s">
        <v>88</v>
      </c>
      <c r="C67" s="82">
        <v>0</v>
      </c>
      <c r="D67" s="82">
        <v>0</v>
      </c>
      <c r="E67" s="82">
        <f>C67+D67</f>
        <v>0</v>
      </c>
    </row>
    <row r="68" spans="1:5" x14ac:dyDescent="0.25">
      <c r="A68" s="69" t="s">
        <v>84</v>
      </c>
      <c r="B68" s="85" t="s">
        <v>89</v>
      </c>
      <c r="C68" s="22">
        <f>SUM(C69:C70)</f>
        <v>338093</v>
      </c>
      <c r="D68" s="22">
        <f t="shared" ref="D68:E68" si="15">SUM(D69:D70)</f>
        <v>57002</v>
      </c>
      <c r="E68" s="22">
        <f t="shared" si="15"/>
        <v>395095</v>
      </c>
    </row>
    <row r="69" spans="1:5" x14ac:dyDescent="0.25">
      <c r="A69" s="67" t="s">
        <v>449</v>
      </c>
      <c r="B69" s="25" t="s">
        <v>450</v>
      </c>
      <c r="C69" s="68">
        <v>133500</v>
      </c>
      <c r="D69" s="66">
        <v>0</v>
      </c>
      <c r="E69" s="68">
        <f t="shared" ref="E69:E70" si="16">C69+D69</f>
        <v>133500</v>
      </c>
    </row>
    <row r="70" spans="1:5" ht="25.5" x14ac:dyDescent="0.25">
      <c r="A70" s="67" t="s">
        <v>453</v>
      </c>
      <c r="B70" s="25" t="s">
        <v>451</v>
      </c>
      <c r="C70" s="68">
        <v>204593</v>
      </c>
      <c r="D70" s="66">
        <v>57002</v>
      </c>
      <c r="E70" s="68">
        <f t="shared" si="16"/>
        <v>261595</v>
      </c>
    </row>
    <row r="71" spans="1:5" ht="25.5" x14ac:dyDescent="0.25">
      <c r="A71" s="69" t="s">
        <v>85</v>
      </c>
      <c r="B71" s="85" t="s">
        <v>91</v>
      </c>
      <c r="C71" s="22">
        <f>C72</f>
        <v>550</v>
      </c>
      <c r="D71" s="22">
        <f t="shared" ref="D71:E71" si="17">D72</f>
        <v>0</v>
      </c>
      <c r="E71" s="22">
        <f t="shared" si="17"/>
        <v>550</v>
      </c>
    </row>
    <row r="72" spans="1:5" ht="38.25" x14ac:dyDescent="0.25">
      <c r="A72" s="67" t="s">
        <v>452</v>
      </c>
      <c r="B72" s="25" t="s">
        <v>454</v>
      </c>
      <c r="C72" s="68">
        <v>550</v>
      </c>
      <c r="D72" s="66">
        <v>0</v>
      </c>
      <c r="E72" s="68">
        <f t="shared" ref="E72:E83" si="18">C72+D72</f>
        <v>550</v>
      </c>
    </row>
    <row r="73" spans="1:5" x14ac:dyDescent="0.25">
      <c r="A73" s="69" t="s">
        <v>86</v>
      </c>
      <c r="B73" s="85" t="s">
        <v>90</v>
      </c>
      <c r="C73" s="22">
        <f>SUM(C74:C77)</f>
        <v>504658</v>
      </c>
      <c r="D73" s="22">
        <f t="shared" ref="D73:E73" si="19">SUM(D74:D77)</f>
        <v>0</v>
      </c>
      <c r="E73" s="22">
        <f t="shared" si="19"/>
        <v>504658</v>
      </c>
    </row>
    <row r="74" spans="1:5" x14ac:dyDescent="0.25">
      <c r="A74" s="67" t="s">
        <v>455</v>
      </c>
      <c r="B74" s="25" t="s">
        <v>456</v>
      </c>
      <c r="C74" s="68">
        <v>366584</v>
      </c>
      <c r="D74" s="66">
        <v>0</v>
      </c>
      <c r="E74" s="68">
        <f t="shared" ref="E74:E77" si="20">C74+D74</f>
        <v>366584</v>
      </c>
    </row>
    <row r="75" spans="1:5" ht="25.5" x14ac:dyDescent="0.25">
      <c r="A75" s="67" t="s">
        <v>457</v>
      </c>
      <c r="B75" s="25" t="s">
        <v>458</v>
      </c>
      <c r="C75" s="68">
        <v>45132</v>
      </c>
      <c r="D75" s="66">
        <v>0</v>
      </c>
      <c r="E75" s="68">
        <f t="shared" si="20"/>
        <v>45132</v>
      </c>
    </row>
    <row r="76" spans="1:5" x14ac:dyDescent="0.25">
      <c r="A76" s="67" t="s">
        <v>460</v>
      </c>
      <c r="B76" s="25" t="s">
        <v>459</v>
      </c>
      <c r="C76" s="68">
        <v>60355</v>
      </c>
      <c r="D76" s="66">
        <v>0</v>
      </c>
      <c r="E76" s="68">
        <f t="shared" si="20"/>
        <v>60355</v>
      </c>
    </row>
    <row r="77" spans="1:5" x14ac:dyDescent="0.25">
      <c r="A77" s="67" t="s">
        <v>461</v>
      </c>
      <c r="B77" s="25" t="s">
        <v>462</v>
      </c>
      <c r="C77" s="68">
        <v>32587</v>
      </c>
      <c r="D77" s="66">
        <v>0</v>
      </c>
      <c r="E77" s="68">
        <f t="shared" si="20"/>
        <v>32587</v>
      </c>
    </row>
    <row r="78" spans="1:5" ht="25.5" x14ac:dyDescent="0.25">
      <c r="A78" s="69" t="s">
        <v>87</v>
      </c>
      <c r="B78" s="85" t="s">
        <v>320</v>
      </c>
      <c r="C78" s="22">
        <f>SUM(C79:C83)</f>
        <v>685890</v>
      </c>
      <c r="D78" s="22">
        <f t="shared" ref="D78:E78" si="21">SUM(D79:D83)</f>
        <v>14121</v>
      </c>
      <c r="E78" s="22">
        <f t="shared" si="21"/>
        <v>700011</v>
      </c>
    </row>
    <row r="79" spans="1:5" ht="25.5" x14ac:dyDescent="0.25">
      <c r="A79" s="67" t="s">
        <v>463</v>
      </c>
      <c r="B79" s="25" t="s">
        <v>468</v>
      </c>
      <c r="C79" s="68">
        <v>16015</v>
      </c>
      <c r="D79" s="66">
        <v>0</v>
      </c>
      <c r="E79" s="68">
        <f t="shared" si="18"/>
        <v>16015</v>
      </c>
    </row>
    <row r="80" spans="1:5" x14ac:dyDescent="0.25">
      <c r="A80" s="67" t="s">
        <v>464</v>
      </c>
      <c r="B80" s="25" t="s">
        <v>469</v>
      </c>
      <c r="C80" s="68">
        <v>401922</v>
      </c>
      <c r="D80" s="66">
        <v>0</v>
      </c>
      <c r="E80" s="68">
        <f t="shared" si="18"/>
        <v>401922</v>
      </c>
    </row>
    <row r="81" spans="1:5" ht="25.5" hidden="1" x14ac:dyDescent="0.25">
      <c r="A81" s="67" t="s">
        <v>465</v>
      </c>
      <c r="B81" s="25" t="s">
        <v>470</v>
      </c>
      <c r="C81" s="68">
        <v>0</v>
      </c>
      <c r="D81" s="66"/>
      <c r="E81" s="68">
        <f t="shared" si="18"/>
        <v>0</v>
      </c>
    </row>
    <row r="82" spans="1:5" x14ac:dyDescent="0.25">
      <c r="A82" s="67" t="s">
        <v>466</v>
      </c>
      <c r="B82" s="25" t="s">
        <v>471</v>
      </c>
      <c r="C82" s="68">
        <v>53180</v>
      </c>
      <c r="D82" s="66">
        <v>14121</v>
      </c>
      <c r="E82" s="68">
        <f t="shared" si="18"/>
        <v>67301</v>
      </c>
    </row>
    <row r="83" spans="1:5" x14ac:dyDescent="0.25">
      <c r="A83" s="67" t="s">
        <v>467</v>
      </c>
      <c r="B83" s="25" t="s">
        <v>472</v>
      </c>
      <c r="C83" s="68">
        <v>214773</v>
      </c>
      <c r="D83" s="66">
        <v>0</v>
      </c>
      <c r="E83" s="68">
        <f t="shared" si="18"/>
        <v>214773</v>
      </c>
    </row>
    <row r="84" spans="1:5" ht="42" customHeight="1" x14ac:dyDescent="0.25">
      <c r="A84" s="69" t="s">
        <v>383</v>
      </c>
      <c r="B84" s="63" t="s">
        <v>413</v>
      </c>
      <c r="C84" s="22">
        <f>C85+C86</f>
        <v>56130</v>
      </c>
      <c r="D84" s="22">
        <f>D85+D86</f>
        <v>0</v>
      </c>
      <c r="E84" s="22">
        <f>E85+E86</f>
        <v>56130</v>
      </c>
    </row>
    <row r="85" spans="1:5" ht="25.5" hidden="1" x14ac:dyDescent="0.25">
      <c r="A85" s="64" t="s">
        <v>787</v>
      </c>
      <c r="B85" s="65" t="s">
        <v>788</v>
      </c>
      <c r="C85" s="66">
        <v>0</v>
      </c>
      <c r="D85" s="66"/>
      <c r="E85" s="66">
        <f t="shared" ref="E85:E86" si="22">C85+D85</f>
        <v>0</v>
      </c>
    </row>
    <row r="86" spans="1:5" ht="25.5" x14ac:dyDescent="0.25">
      <c r="A86" s="67" t="s">
        <v>473</v>
      </c>
      <c r="B86" s="25" t="s">
        <v>474</v>
      </c>
      <c r="C86" s="68">
        <v>56130</v>
      </c>
      <c r="D86" s="66">
        <v>0</v>
      </c>
      <c r="E86" s="68">
        <f t="shared" si="22"/>
        <v>56130</v>
      </c>
    </row>
    <row r="87" spans="1:5" ht="15.75" x14ac:dyDescent="0.25">
      <c r="A87" s="76"/>
      <c r="B87" s="77" t="s">
        <v>92</v>
      </c>
      <c r="C87" s="78">
        <f>C88+C89</f>
        <v>29512461</v>
      </c>
      <c r="D87" s="78">
        <f t="shared" ref="D87" si="23">D88+D89</f>
        <v>0</v>
      </c>
      <c r="E87" s="78">
        <f>E88+E89</f>
        <v>29512461</v>
      </c>
    </row>
    <row r="88" spans="1:5" x14ac:dyDescent="0.25">
      <c r="A88" s="74" t="s">
        <v>93</v>
      </c>
      <c r="B88" s="75" t="s">
        <v>95</v>
      </c>
      <c r="C88" s="68">
        <f>13295055</f>
        <v>13295055</v>
      </c>
      <c r="D88" s="68">
        <v>0</v>
      </c>
      <c r="E88" s="68">
        <f>C88+D88</f>
        <v>13295055</v>
      </c>
    </row>
    <row r="89" spans="1:5" x14ac:dyDescent="0.25">
      <c r="A89" s="74" t="s">
        <v>94</v>
      </c>
      <c r="B89" s="75" t="s">
        <v>445</v>
      </c>
      <c r="C89" s="68">
        <f>16217406</f>
        <v>16217406</v>
      </c>
      <c r="D89" s="66">
        <v>0</v>
      </c>
      <c r="E89" s="68">
        <f>C89+D89</f>
        <v>16217406</v>
      </c>
    </row>
    <row r="90" spans="1:5" ht="15.75" x14ac:dyDescent="0.25">
      <c r="A90" s="86"/>
      <c r="B90" s="77" t="s">
        <v>96</v>
      </c>
      <c r="C90" s="78">
        <f>C9+C87</f>
        <v>104876692</v>
      </c>
      <c r="D90" s="78">
        <f>D9+D87</f>
        <v>553318</v>
      </c>
      <c r="E90" s="78">
        <f>E9+E87</f>
        <v>105430010</v>
      </c>
    </row>
    <row r="93" spans="1:5" ht="18.75" x14ac:dyDescent="0.3">
      <c r="A93" s="528" t="s">
        <v>102</v>
      </c>
      <c r="B93" s="15"/>
      <c r="C93" s="7"/>
      <c r="D93" s="7"/>
      <c r="E93" s="529" t="s">
        <v>103</v>
      </c>
    </row>
  </sheetData>
  <mergeCells count="5">
    <mergeCell ref="D1:E1"/>
    <mergeCell ref="C3:E3"/>
    <mergeCell ref="A5:E5"/>
    <mergeCell ref="A6:E6"/>
    <mergeCell ref="B2:E2"/>
  </mergeCells>
  <printOptions horizontalCentered="1"/>
  <pageMargins left="0.78740157480314965" right="0.78740157480314965" top="0.59055118110236227" bottom="0.59055118110236227" header="0.19685039370078741" footer="0.19685039370078741"/>
  <pageSetup paperSize="9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90" zoomScaleNormal="90" workbookViewId="0">
      <selection activeCell="L39" sqref="L39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4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A1" s="18"/>
      <c r="B1" s="19"/>
      <c r="C1" s="19"/>
      <c r="D1" s="19"/>
      <c r="E1" s="19"/>
      <c r="F1" s="18"/>
      <c r="G1" s="402" t="s">
        <v>128</v>
      </c>
      <c r="H1" s="402"/>
      <c r="J1" s="2"/>
    </row>
    <row r="2" spans="1:10" x14ac:dyDescent="0.25">
      <c r="A2" s="19"/>
      <c r="B2" s="19"/>
      <c r="C2" s="19"/>
      <c r="D2" s="19"/>
      <c r="E2" s="19"/>
      <c r="F2" s="402" t="s">
        <v>871</v>
      </c>
      <c r="G2" s="402"/>
      <c r="H2" s="402"/>
      <c r="I2" s="5"/>
      <c r="J2" s="2"/>
    </row>
    <row r="3" spans="1:10" x14ac:dyDescent="0.25">
      <c r="A3" s="19"/>
      <c r="B3" s="19"/>
      <c r="C3" s="19"/>
      <c r="D3" s="19"/>
      <c r="E3" s="19"/>
      <c r="F3" s="18"/>
      <c r="G3" s="18"/>
      <c r="H3" s="366" t="s">
        <v>873</v>
      </c>
      <c r="I3" s="6"/>
      <c r="J3" s="6"/>
    </row>
    <row r="4" spans="1:10" x14ac:dyDescent="0.25">
      <c r="A4" s="19"/>
      <c r="B4" s="19"/>
      <c r="C4" s="19"/>
      <c r="D4" s="19"/>
      <c r="E4" s="19"/>
      <c r="F4" s="19"/>
      <c r="G4" s="19"/>
      <c r="H4" s="19"/>
    </row>
    <row r="5" spans="1:10" ht="18.75" x14ac:dyDescent="0.3">
      <c r="A5" s="405" t="s">
        <v>811</v>
      </c>
      <c r="B5" s="405"/>
      <c r="C5" s="405"/>
      <c r="D5" s="405"/>
      <c r="E5" s="405"/>
      <c r="F5" s="405"/>
      <c r="G5" s="405"/>
      <c r="H5" s="405"/>
    </row>
    <row r="6" spans="1:10" x14ac:dyDescent="0.25">
      <c r="A6" s="406" t="s">
        <v>105</v>
      </c>
      <c r="B6" s="406"/>
      <c r="C6" s="406"/>
      <c r="D6" s="406"/>
      <c r="E6" s="406"/>
      <c r="F6" s="406"/>
      <c r="G6" s="406"/>
      <c r="H6" s="406"/>
    </row>
    <row r="7" spans="1:10" x14ac:dyDescent="0.25">
      <c r="A7" s="19"/>
      <c r="B7" s="19"/>
      <c r="C7" s="19"/>
      <c r="D7" s="19"/>
      <c r="E7" s="19"/>
      <c r="F7" s="19"/>
      <c r="G7" s="19"/>
      <c r="H7" s="33" t="s">
        <v>10</v>
      </c>
    </row>
    <row r="8" spans="1:10" s="3" customFormat="1" ht="15" customHeight="1" x14ac:dyDescent="0.2">
      <c r="A8" s="404" t="s">
        <v>4</v>
      </c>
      <c r="B8" s="404" t="s">
        <v>98</v>
      </c>
      <c r="C8" s="404" t="s">
        <v>812</v>
      </c>
      <c r="D8" s="403" t="s">
        <v>3</v>
      </c>
      <c r="E8" s="403"/>
      <c r="F8" s="403"/>
      <c r="G8" s="403"/>
      <c r="H8" s="404" t="s">
        <v>845</v>
      </c>
    </row>
    <row r="9" spans="1:10" s="3" customFormat="1" ht="42.75" x14ac:dyDescent="0.2">
      <c r="A9" s="404"/>
      <c r="B9" s="404"/>
      <c r="C9" s="404"/>
      <c r="D9" s="38" t="s">
        <v>100</v>
      </c>
      <c r="E9" s="38" t="s">
        <v>101</v>
      </c>
      <c r="F9" s="38" t="s">
        <v>66</v>
      </c>
      <c r="G9" s="38" t="s">
        <v>132</v>
      </c>
      <c r="H9" s="404"/>
    </row>
    <row r="10" spans="1:10" ht="37.5" x14ac:dyDescent="0.3">
      <c r="A10" s="49"/>
      <c r="B10" s="43" t="s">
        <v>104</v>
      </c>
      <c r="C10" s="54">
        <f>SUM(C11:C19)</f>
        <v>95711200</v>
      </c>
      <c r="D10" s="54">
        <f t="shared" ref="D10:G10" si="0">SUM(D11:D19)</f>
        <v>381303</v>
      </c>
      <c r="E10" s="54">
        <f t="shared" si="0"/>
        <v>71123</v>
      </c>
      <c r="F10" s="54">
        <f t="shared" si="0"/>
        <v>93225</v>
      </c>
      <c r="G10" s="54">
        <f t="shared" si="0"/>
        <v>0</v>
      </c>
      <c r="H10" s="54">
        <f>C10+D10+E10+F10+G10</f>
        <v>96256851</v>
      </c>
    </row>
    <row r="11" spans="1:10" x14ac:dyDescent="0.25">
      <c r="A11" s="24" t="s">
        <v>106</v>
      </c>
      <c r="B11" s="21" t="s">
        <v>115</v>
      </c>
      <c r="C11" s="346">
        <v>8032981</v>
      </c>
      <c r="D11" s="34">
        <f>'3.pielikums'!E12</f>
        <v>72645</v>
      </c>
      <c r="E11" s="34">
        <f>'3.pielikums'!G12</f>
        <v>0</v>
      </c>
      <c r="F11" s="34">
        <f>'3.pielikums'!I12</f>
        <v>3525</v>
      </c>
      <c r="G11" s="34">
        <f>'3.pielikums'!K12</f>
        <v>0</v>
      </c>
      <c r="H11" s="55">
        <f t="shared" ref="H11:H29" si="1">C11+D11+E11+F11+G11</f>
        <v>8109151</v>
      </c>
    </row>
    <row r="12" spans="1:10" x14ac:dyDescent="0.25">
      <c r="A12" s="24" t="s">
        <v>107</v>
      </c>
      <c r="B12" s="21" t="s">
        <v>116</v>
      </c>
      <c r="C12" s="346">
        <f>3522804</f>
        <v>3522804</v>
      </c>
      <c r="D12" s="34">
        <f>'3.pielikums'!E35</f>
        <v>-42945</v>
      </c>
      <c r="E12" s="34">
        <f>'3.pielikums'!G35</f>
        <v>0</v>
      </c>
      <c r="F12" s="34">
        <f>'3.pielikums'!I35</f>
        <v>42945</v>
      </c>
      <c r="G12" s="34">
        <f>'3.pielikums'!K35</f>
        <v>0</v>
      </c>
      <c r="H12" s="55">
        <f t="shared" si="1"/>
        <v>3522804</v>
      </c>
    </row>
    <row r="13" spans="1:10" x14ac:dyDescent="0.25">
      <c r="A13" s="24" t="s">
        <v>108</v>
      </c>
      <c r="B13" s="21" t="s">
        <v>117</v>
      </c>
      <c r="C13" s="346">
        <f>26205954</f>
        <v>26205954</v>
      </c>
      <c r="D13" s="34">
        <f>'3.pielikums'!E42</f>
        <v>0</v>
      </c>
      <c r="E13" s="34">
        <f>'3.pielikums'!G42</f>
        <v>0</v>
      </c>
      <c r="F13" s="34">
        <f>'3.pielikums'!I42</f>
        <v>0</v>
      </c>
      <c r="G13" s="34">
        <f>'3.pielikums'!K42</f>
        <v>0</v>
      </c>
      <c r="H13" s="55">
        <f t="shared" si="1"/>
        <v>26205954</v>
      </c>
    </row>
    <row r="14" spans="1:10" x14ac:dyDescent="0.25">
      <c r="A14" s="24" t="s">
        <v>109</v>
      </c>
      <c r="B14" s="21" t="s">
        <v>118</v>
      </c>
      <c r="C14" s="346">
        <f>5047550</f>
        <v>5047550</v>
      </c>
      <c r="D14" s="34">
        <f>'3.pielikums'!E63</f>
        <v>0</v>
      </c>
      <c r="E14" s="34">
        <f>'3.pielikums'!G63</f>
        <v>0</v>
      </c>
      <c r="F14" s="34">
        <f>'3.pielikums'!I63</f>
        <v>0</v>
      </c>
      <c r="G14" s="34">
        <f>'3.pielikums'!K63</f>
        <v>0</v>
      </c>
      <c r="H14" s="55">
        <f t="shared" si="1"/>
        <v>5047550</v>
      </c>
    </row>
    <row r="15" spans="1:10" x14ac:dyDescent="0.25">
      <c r="A15" s="24" t="s">
        <v>110</v>
      </c>
      <c r="B15" s="21" t="s">
        <v>119</v>
      </c>
      <c r="C15" s="346">
        <f>5150781</f>
        <v>5150781</v>
      </c>
      <c r="D15" s="34">
        <f>'3.pielikums'!E75</f>
        <v>0</v>
      </c>
      <c r="E15" s="34">
        <f>'3.pielikums'!G75</f>
        <v>0</v>
      </c>
      <c r="F15" s="34">
        <f>'3.pielikums'!I75</f>
        <v>0</v>
      </c>
      <c r="G15" s="34">
        <f>'3.pielikums'!K75</f>
        <v>0</v>
      </c>
      <c r="H15" s="55">
        <f t="shared" si="1"/>
        <v>5150781</v>
      </c>
    </row>
    <row r="16" spans="1:10" x14ac:dyDescent="0.25">
      <c r="A16" s="24" t="s">
        <v>111</v>
      </c>
      <c r="B16" s="21" t="s">
        <v>120</v>
      </c>
      <c r="C16" s="346">
        <f>226240</f>
        <v>226240</v>
      </c>
      <c r="D16" s="34">
        <f>'3.pielikums'!E89</f>
        <v>0</v>
      </c>
      <c r="E16" s="34">
        <f>'3.pielikums'!G89</f>
        <v>0</v>
      </c>
      <c r="F16" s="34">
        <f>'3.pielikums'!I89</f>
        <v>0</v>
      </c>
      <c r="G16" s="34">
        <f>'3.pielikums'!K89</f>
        <v>0</v>
      </c>
      <c r="H16" s="55">
        <f t="shared" si="1"/>
        <v>226240</v>
      </c>
    </row>
    <row r="17" spans="1:8" x14ac:dyDescent="0.25">
      <c r="A17" s="24" t="s">
        <v>24</v>
      </c>
      <c r="B17" s="21" t="s">
        <v>121</v>
      </c>
      <c r="C17" s="346">
        <f>6904940</f>
        <v>6904940</v>
      </c>
      <c r="D17" s="34">
        <f>'3.pielikums'!E96</f>
        <v>5500</v>
      </c>
      <c r="E17" s="34">
        <f>'3.pielikums'!G96</f>
        <v>0</v>
      </c>
      <c r="F17" s="34">
        <f>'3.pielikums'!I96</f>
        <v>12916</v>
      </c>
      <c r="G17" s="34">
        <f>'3.pielikums'!K96</f>
        <v>0</v>
      </c>
      <c r="H17" s="55">
        <f t="shared" si="1"/>
        <v>6923356</v>
      </c>
    </row>
    <row r="18" spans="1:8" x14ac:dyDescent="0.25">
      <c r="A18" s="24" t="s">
        <v>25</v>
      </c>
      <c r="B18" s="21" t="s">
        <v>122</v>
      </c>
      <c r="C18" s="346">
        <f>32789859+152000</f>
        <v>32941859</v>
      </c>
      <c r="D18" s="34">
        <f>'3.pielikums'!E129</f>
        <v>147062</v>
      </c>
      <c r="E18" s="34">
        <f>'3.pielikums'!G129</f>
        <v>71123</v>
      </c>
      <c r="F18" s="34">
        <f>'3.pielikums'!I129</f>
        <v>6839</v>
      </c>
      <c r="G18" s="34">
        <f>'3.pielikums'!K129</f>
        <v>0</v>
      </c>
      <c r="H18" s="55">
        <f t="shared" si="1"/>
        <v>33166883</v>
      </c>
    </row>
    <row r="19" spans="1:8" x14ac:dyDescent="0.25">
      <c r="A19" s="24" t="s">
        <v>49</v>
      </c>
      <c r="B19" s="21" t="s">
        <v>123</v>
      </c>
      <c r="C19" s="346">
        <f>7678091</f>
        <v>7678091</v>
      </c>
      <c r="D19" s="34">
        <f>'3.pielikums'!E168</f>
        <v>199041</v>
      </c>
      <c r="E19" s="34">
        <f>'3.pielikums'!G168</f>
        <v>0</v>
      </c>
      <c r="F19" s="34">
        <f>'3.pielikums'!I168</f>
        <v>27000</v>
      </c>
      <c r="G19" s="34">
        <f>'3.pielikums'!K168</f>
        <v>0</v>
      </c>
      <c r="H19" s="55">
        <f t="shared" si="1"/>
        <v>7904132</v>
      </c>
    </row>
    <row r="20" spans="1:8" ht="18.75" x14ac:dyDescent="0.3">
      <c r="A20" s="48"/>
      <c r="B20" s="50" t="s">
        <v>112</v>
      </c>
      <c r="C20" s="54">
        <f>C21+C22+C28</f>
        <v>9165492</v>
      </c>
      <c r="D20" s="54">
        <f>D21+D22+D28</f>
        <v>-381303</v>
      </c>
      <c r="E20" s="54">
        <f>E21+E22+E28</f>
        <v>0</v>
      </c>
      <c r="F20" s="54">
        <f>F21+F22+F28</f>
        <v>388970</v>
      </c>
      <c r="G20" s="54">
        <f>G21+G22+G28</f>
        <v>0</v>
      </c>
      <c r="H20" s="54">
        <f t="shared" si="1"/>
        <v>9173159</v>
      </c>
    </row>
    <row r="21" spans="1:8" x14ac:dyDescent="0.25">
      <c r="A21" s="24" t="s">
        <v>113</v>
      </c>
      <c r="B21" s="24" t="s">
        <v>124</v>
      </c>
      <c r="C21" s="346">
        <f>6845149</f>
        <v>6845149</v>
      </c>
      <c r="D21" s="34">
        <f>'3.pielikums'!E202</f>
        <v>0</v>
      </c>
      <c r="E21" s="34">
        <f>'3.pielikums'!G202</f>
        <v>0</v>
      </c>
      <c r="F21" s="34">
        <f>'3.pielikums'!I202</f>
        <v>388970</v>
      </c>
      <c r="G21" s="34">
        <f>'3.pielikums'!K202</f>
        <v>0</v>
      </c>
      <c r="H21" s="55">
        <f t="shared" si="1"/>
        <v>7234119</v>
      </c>
    </row>
    <row r="22" spans="1:8" x14ac:dyDescent="0.25">
      <c r="A22" s="24" t="s">
        <v>114</v>
      </c>
      <c r="B22" s="47" t="s">
        <v>125</v>
      </c>
      <c r="C22" s="346">
        <f>SUM(C23:C27)</f>
        <v>698055</v>
      </c>
      <c r="D22" s="34">
        <f>SUM(D23:D27)</f>
        <v>109280</v>
      </c>
      <c r="E22" s="34">
        <f>SUM(E23:E27)</f>
        <v>0</v>
      </c>
      <c r="F22" s="34">
        <f>SUM(F23:F27)</f>
        <v>0</v>
      </c>
      <c r="G22" s="34">
        <f>SUM(G23:G27)</f>
        <v>0</v>
      </c>
      <c r="H22" s="55">
        <f t="shared" si="1"/>
        <v>807335</v>
      </c>
    </row>
    <row r="23" spans="1:8" hidden="1" x14ac:dyDescent="0.25">
      <c r="A23" s="24"/>
      <c r="B23" s="51" t="s">
        <v>363</v>
      </c>
      <c r="C23" s="27">
        <v>0</v>
      </c>
      <c r="D23" s="35">
        <f>'3.pielikums'!E204</f>
        <v>0</v>
      </c>
      <c r="E23" s="35">
        <f>'3.pielikums'!G204</f>
        <v>0</v>
      </c>
      <c r="F23" s="35">
        <f>'3.pielikums'!I204</f>
        <v>0</v>
      </c>
      <c r="G23" s="35">
        <f>'3.pielikums'!K204</f>
        <v>0</v>
      </c>
      <c r="H23" s="56">
        <f t="shared" si="1"/>
        <v>0</v>
      </c>
    </row>
    <row r="24" spans="1:8" x14ac:dyDescent="0.25">
      <c r="A24" s="24"/>
      <c r="B24" s="51" t="s">
        <v>338</v>
      </c>
      <c r="C24" s="35">
        <v>25000</v>
      </c>
      <c r="D24" s="35">
        <f>'3.pielikums'!E205</f>
        <v>0</v>
      </c>
      <c r="E24" s="35">
        <f>'3.pielikums'!G205</f>
        <v>0</v>
      </c>
      <c r="F24" s="35">
        <f>'3.pielikums'!I205</f>
        <v>0</v>
      </c>
      <c r="G24" s="35">
        <f>'3.pielikums'!K205</f>
        <v>0</v>
      </c>
      <c r="H24" s="56">
        <f t="shared" si="1"/>
        <v>25000</v>
      </c>
    </row>
    <row r="25" spans="1:8" x14ac:dyDescent="0.25">
      <c r="A25" s="24"/>
      <c r="B25" s="51" t="s">
        <v>337</v>
      </c>
      <c r="C25" s="35">
        <v>573055</v>
      </c>
      <c r="D25" s="35">
        <f>'3.pielikums'!E206</f>
        <v>109280</v>
      </c>
      <c r="E25" s="35">
        <f>'3.pielikums'!G206</f>
        <v>0</v>
      </c>
      <c r="F25" s="35">
        <f>'3.pielikums'!I206</f>
        <v>0</v>
      </c>
      <c r="G25" s="35">
        <f>'3.pielikums'!K206</f>
        <v>0</v>
      </c>
      <c r="H25" s="56">
        <f t="shared" si="1"/>
        <v>682335</v>
      </c>
    </row>
    <row r="26" spans="1:8" x14ac:dyDescent="0.25">
      <c r="A26" s="24"/>
      <c r="B26" s="51" t="s">
        <v>336</v>
      </c>
      <c r="C26" s="27">
        <v>100000</v>
      </c>
      <c r="D26" s="35">
        <f>'3.pielikums'!E207</f>
        <v>0</v>
      </c>
      <c r="E26" s="35">
        <f>'3.pielikums'!G207</f>
        <v>0</v>
      </c>
      <c r="F26" s="35">
        <f>'3.pielikums'!I207</f>
        <v>0</v>
      </c>
      <c r="G26" s="35">
        <f>'3.pielikums'!K207</f>
        <v>0</v>
      </c>
      <c r="H26" s="56">
        <f t="shared" si="1"/>
        <v>100000</v>
      </c>
    </row>
    <row r="27" spans="1:8" hidden="1" x14ac:dyDescent="0.25">
      <c r="A27" s="24"/>
      <c r="B27" s="51" t="s">
        <v>335</v>
      </c>
      <c r="C27" s="27">
        <v>0</v>
      </c>
      <c r="D27" s="35">
        <f>'3.pielikums'!E208</f>
        <v>0</v>
      </c>
      <c r="E27" s="35">
        <f>'3.pielikums'!G208</f>
        <v>0</v>
      </c>
      <c r="F27" s="35">
        <f>'3.pielikums'!I208</f>
        <v>0</v>
      </c>
      <c r="G27" s="35">
        <f>'3.pielikums'!K208</f>
        <v>0</v>
      </c>
      <c r="H27" s="56">
        <f t="shared" si="1"/>
        <v>0</v>
      </c>
    </row>
    <row r="28" spans="1:8" x14ac:dyDescent="0.25">
      <c r="A28" s="24" t="s">
        <v>93</v>
      </c>
      <c r="B28" s="52" t="s">
        <v>127</v>
      </c>
      <c r="C28" s="346">
        <f>1774288-152000</f>
        <v>1622288</v>
      </c>
      <c r="D28" s="34">
        <f>'3.pielikums'!E209</f>
        <v>-490583</v>
      </c>
      <c r="E28" s="34">
        <f>'3.pielikums'!G209</f>
        <v>0</v>
      </c>
      <c r="F28" s="34">
        <f>'3.pielikums'!I209</f>
        <v>0</v>
      </c>
      <c r="G28" s="34">
        <f>'3.pielikums'!K209</f>
        <v>0</v>
      </c>
      <c r="H28" s="55">
        <f t="shared" si="1"/>
        <v>1131705</v>
      </c>
    </row>
    <row r="29" spans="1:8" ht="18.75" x14ac:dyDescent="0.3">
      <c r="A29" s="53"/>
      <c r="B29" s="50" t="s">
        <v>126</v>
      </c>
      <c r="C29" s="54">
        <f>C10+C20</f>
        <v>104876692</v>
      </c>
      <c r="D29" s="54">
        <f t="shared" ref="D29:G29" si="2">D10+D20</f>
        <v>0</v>
      </c>
      <c r="E29" s="54">
        <f t="shared" si="2"/>
        <v>71123</v>
      </c>
      <c r="F29" s="54">
        <f t="shared" si="2"/>
        <v>482195</v>
      </c>
      <c r="G29" s="54">
        <f t="shared" si="2"/>
        <v>0</v>
      </c>
      <c r="H29" s="54">
        <f t="shared" si="1"/>
        <v>105430010</v>
      </c>
    </row>
    <row r="31" spans="1:8" ht="15.75" x14ac:dyDescent="0.25">
      <c r="A31" s="529" t="s">
        <v>102</v>
      </c>
      <c r="G31" s="529" t="s">
        <v>103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2"/>
  <sheetViews>
    <sheetView zoomScale="90" zoomScaleNormal="90" workbookViewId="0">
      <pane ySplit="10" topLeftCell="A197" activePane="bottomLeft" state="frozen"/>
      <selection pane="bottomLeft" activeCell="L3" sqref="L3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2.7109375" style="3" customWidth="1"/>
    <col min="4" max="4" width="11.85546875" style="1" customWidth="1"/>
    <col min="5" max="5" width="11.5703125" style="88" customWidth="1"/>
    <col min="6" max="6" width="10.140625" style="1" customWidth="1"/>
    <col min="7" max="7" width="10.85546875" style="88" customWidth="1"/>
    <col min="8" max="8" width="11.85546875" style="1" customWidth="1"/>
    <col min="9" max="9" width="11.42578125" style="88" customWidth="1"/>
    <col min="10" max="10" width="10.85546875" style="1" customWidth="1"/>
    <col min="11" max="11" width="11" style="88" customWidth="1"/>
    <col min="12" max="12" width="11.140625" style="1" customWidth="1"/>
    <col min="13" max="16384" width="9.140625" style="1"/>
  </cols>
  <sheetData>
    <row r="1" spans="1:12" x14ac:dyDescent="0.25">
      <c r="H1" s="18"/>
      <c r="I1" s="121"/>
      <c r="J1" s="18"/>
      <c r="K1" s="402" t="s">
        <v>133</v>
      </c>
      <c r="L1" s="402"/>
    </row>
    <row r="2" spans="1:12" x14ac:dyDescent="0.25">
      <c r="H2" s="402" t="s">
        <v>871</v>
      </c>
      <c r="I2" s="402"/>
      <c r="J2" s="402"/>
      <c r="K2" s="402"/>
      <c r="L2" s="402"/>
    </row>
    <row r="3" spans="1:12" x14ac:dyDescent="0.25">
      <c r="H3" s="18"/>
      <c r="I3" s="121"/>
      <c r="J3" s="18"/>
      <c r="K3" s="121"/>
      <c r="L3" s="366" t="s">
        <v>872</v>
      </c>
    </row>
    <row r="5" spans="1:12" ht="18.75" x14ac:dyDescent="0.3">
      <c r="A5" s="407" t="s">
        <v>811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</row>
    <row r="6" spans="1:12" x14ac:dyDescent="0.25">
      <c r="A6" s="408" t="s">
        <v>129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1:12" x14ac:dyDescent="0.25">
      <c r="L7" s="10" t="s">
        <v>10</v>
      </c>
    </row>
    <row r="8" spans="1:12" s="4" customFormat="1" x14ac:dyDescent="0.25">
      <c r="A8" s="409" t="s">
        <v>4</v>
      </c>
      <c r="B8" s="409" t="s">
        <v>98</v>
      </c>
      <c r="C8" s="409" t="s">
        <v>845</v>
      </c>
      <c r="D8" s="409" t="s">
        <v>99</v>
      </c>
      <c r="E8" s="409"/>
      <c r="F8" s="409"/>
      <c r="G8" s="409"/>
      <c r="H8" s="409"/>
      <c r="I8" s="409"/>
      <c r="J8" s="409"/>
      <c r="K8" s="409"/>
      <c r="L8" s="409"/>
    </row>
    <row r="9" spans="1:12" s="4" customFormat="1" ht="58.5" customHeight="1" x14ac:dyDescent="0.25">
      <c r="A9" s="409"/>
      <c r="B9" s="409"/>
      <c r="C9" s="409"/>
      <c r="D9" s="60" t="s">
        <v>100</v>
      </c>
      <c r="E9" s="61" t="s">
        <v>130</v>
      </c>
      <c r="F9" s="60" t="s">
        <v>101</v>
      </c>
      <c r="G9" s="61" t="s">
        <v>135</v>
      </c>
      <c r="H9" s="60" t="s">
        <v>66</v>
      </c>
      <c r="I9" s="61" t="s">
        <v>131</v>
      </c>
      <c r="J9" s="60" t="s">
        <v>132</v>
      </c>
      <c r="K9" s="61" t="s">
        <v>134</v>
      </c>
      <c r="L9" s="60" t="s">
        <v>818</v>
      </c>
    </row>
    <row r="10" spans="1:12" x14ac:dyDescent="0.25">
      <c r="A10" s="98">
        <v>1</v>
      </c>
      <c r="B10" s="99">
        <v>2</v>
      </c>
      <c r="C10" s="100"/>
      <c r="D10" s="101">
        <v>4</v>
      </c>
      <c r="E10" s="101">
        <v>5</v>
      </c>
      <c r="F10" s="101">
        <v>6</v>
      </c>
      <c r="G10" s="101">
        <v>7</v>
      </c>
      <c r="H10" s="101">
        <v>8</v>
      </c>
      <c r="I10" s="101">
        <v>9</v>
      </c>
      <c r="J10" s="101">
        <v>10</v>
      </c>
      <c r="K10" s="101">
        <v>11</v>
      </c>
      <c r="L10" s="101">
        <v>12</v>
      </c>
    </row>
    <row r="11" spans="1:12" ht="28.5" x14ac:dyDescent="0.25">
      <c r="A11" s="87"/>
      <c r="B11" s="44" t="s">
        <v>104</v>
      </c>
      <c r="C11" s="28">
        <f>SUM(D11:L11)</f>
        <v>96256851</v>
      </c>
      <c r="D11" s="28">
        <f>D12+D35+D42+D63+D75+D89+D96+D129+D168</f>
        <v>66293521</v>
      </c>
      <c r="E11" s="114">
        <f>E12+E35+E42+E63+E75+E89+E96+E129+E168</f>
        <v>381303</v>
      </c>
      <c r="F11" s="28">
        <f t="shared" ref="F11:L11" si="0">F12+F35+F42+F63+F75+F89+F96+F129+F168</f>
        <v>1714373</v>
      </c>
      <c r="G11" s="114">
        <f t="shared" si="0"/>
        <v>71123</v>
      </c>
      <c r="H11" s="28">
        <f t="shared" si="0"/>
        <v>20562501</v>
      </c>
      <c r="I11" s="114">
        <f t="shared" si="0"/>
        <v>93225</v>
      </c>
      <c r="J11" s="28">
        <f t="shared" si="0"/>
        <v>690899</v>
      </c>
      <c r="K11" s="114">
        <f t="shared" si="0"/>
        <v>0</v>
      </c>
      <c r="L11" s="28">
        <f t="shared" si="0"/>
        <v>6449906</v>
      </c>
    </row>
    <row r="12" spans="1:12" x14ac:dyDescent="0.25">
      <c r="A12" s="94" t="s">
        <v>106</v>
      </c>
      <c r="B12" s="95" t="s">
        <v>115</v>
      </c>
      <c r="C12" s="102">
        <f>SUM(D12:L12)</f>
        <v>8109151</v>
      </c>
      <c r="D12" s="102">
        <f>D13+D18+D22+D25+D27+D29+D33</f>
        <v>7036613</v>
      </c>
      <c r="E12" s="103">
        <f>E13+E18+E22+E25+E27+E29+E33</f>
        <v>72645</v>
      </c>
      <c r="F12" s="102">
        <f t="shared" ref="F12:L12" si="1">F13+F18+F22+F25+F27+F29+F33</f>
        <v>136917</v>
      </c>
      <c r="G12" s="103">
        <f t="shared" si="1"/>
        <v>0</v>
      </c>
      <c r="H12" s="102">
        <f t="shared" si="1"/>
        <v>44286</v>
      </c>
      <c r="I12" s="103">
        <f t="shared" si="1"/>
        <v>3525</v>
      </c>
      <c r="J12" s="102">
        <f t="shared" si="1"/>
        <v>637767</v>
      </c>
      <c r="K12" s="103">
        <f t="shared" si="1"/>
        <v>0</v>
      </c>
      <c r="L12" s="102">
        <f t="shared" si="1"/>
        <v>177398</v>
      </c>
    </row>
    <row r="13" spans="1:12" ht="25.5" x14ac:dyDescent="0.25">
      <c r="A13" s="62" t="s">
        <v>5</v>
      </c>
      <c r="B13" s="63" t="s">
        <v>136</v>
      </c>
      <c r="C13" s="22">
        <f>SUM(D13:L13)</f>
        <v>4868060</v>
      </c>
      <c r="D13" s="22">
        <f>SUM(D14:D17)</f>
        <v>4458669</v>
      </c>
      <c r="E13" s="23">
        <f t="shared" ref="E13:L13" si="2">SUM(E14:E17)</f>
        <v>200000</v>
      </c>
      <c r="F13" s="22">
        <f t="shared" si="2"/>
        <v>136917</v>
      </c>
      <c r="G13" s="23">
        <f t="shared" si="2"/>
        <v>0</v>
      </c>
      <c r="H13" s="22">
        <f t="shared" si="2"/>
        <v>26424</v>
      </c>
      <c r="I13" s="23">
        <f t="shared" si="2"/>
        <v>0</v>
      </c>
      <c r="J13" s="22">
        <f t="shared" si="2"/>
        <v>0</v>
      </c>
      <c r="K13" s="23">
        <f t="shared" si="2"/>
        <v>0</v>
      </c>
      <c r="L13" s="22">
        <f t="shared" si="2"/>
        <v>46050</v>
      </c>
    </row>
    <row r="14" spans="1:12" x14ac:dyDescent="0.25">
      <c r="A14" s="64" t="s">
        <v>6</v>
      </c>
      <c r="B14" s="65" t="s">
        <v>137</v>
      </c>
      <c r="C14" s="26">
        <f>SUM(D14:L14)</f>
        <v>4774431</v>
      </c>
      <c r="D14" s="66">
        <f>4451669</f>
        <v>4451669</v>
      </c>
      <c r="E14" s="11">
        <v>200000</v>
      </c>
      <c r="F14" s="66">
        <f>99500</f>
        <v>99500</v>
      </c>
      <c r="G14" s="11">
        <v>0</v>
      </c>
      <c r="H14" s="66">
        <v>0</v>
      </c>
      <c r="I14" s="11">
        <v>0</v>
      </c>
      <c r="J14" s="66">
        <v>0</v>
      </c>
      <c r="K14" s="11">
        <v>0</v>
      </c>
      <c r="L14" s="66">
        <f>23262</f>
        <v>23262</v>
      </c>
    </row>
    <row r="15" spans="1:12" ht="38.25" x14ac:dyDescent="0.25">
      <c r="A15" s="67" t="s">
        <v>138</v>
      </c>
      <c r="B15" s="25" t="s">
        <v>152</v>
      </c>
      <c r="C15" s="22">
        <f t="shared" ref="C15:C17" si="3">SUM(D15:L15)</f>
        <v>50876</v>
      </c>
      <c r="D15" s="68">
        <f>7000</f>
        <v>7000</v>
      </c>
      <c r="E15" s="11">
        <v>0</v>
      </c>
      <c r="F15" s="66">
        <f>37417</f>
        <v>37417</v>
      </c>
      <c r="G15" s="11">
        <v>0</v>
      </c>
      <c r="H15" s="66">
        <v>0</v>
      </c>
      <c r="I15" s="11">
        <v>0</v>
      </c>
      <c r="J15" s="66">
        <v>0</v>
      </c>
      <c r="K15" s="11">
        <v>0</v>
      </c>
      <c r="L15" s="68">
        <f>6459</f>
        <v>6459</v>
      </c>
    </row>
    <row r="16" spans="1:12" ht="55.5" hidden="1" customHeight="1" x14ac:dyDescent="0.25">
      <c r="A16" s="80" t="s">
        <v>139</v>
      </c>
      <c r="B16" s="81" t="s">
        <v>475</v>
      </c>
      <c r="C16" s="79">
        <f t="shared" si="3"/>
        <v>0</v>
      </c>
      <c r="D16" s="82"/>
      <c r="E16" s="93"/>
      <c r="F16" s="82"/>
      <c r="G16" s="93"/>
      <c r="H16" s="82"/>
      <c r="I16" s="93"/>
      <c r="J16" s="82"/>
      <c r="K16" s="93"/>
      <c r="L16" s="82"/>
    </row>
    <row r="17" spans="1:12" ht="63.75" x14ac:dyDescent="0.25">
      <c r="A17" s="67" t="s">
        <v>515</v>
      </c>
      <c r="B17" s="25" t="s">
        <v>476</v>
      </c>
      <c r="C17" s="22">
        <f t="shared" si="3"/>
        <v>42753</v>
      </c>
      <c r="D17" s="68">
        <v>0</v>
      </c>
      <c r="E17" s="11">
        <v>0</v>
      </c>
      <c r="F17" s="66">
        <v>0</v>
      </c>
      <c r="G17" s="11">
        <v>0</v>
      </c>
      <c r="H17" s="66">
        <v>26424</v>
      </c>
      <c r="I17" s="11">
        <v>0</v>
      </c>
      <c r="J17" s="66">
        <v>0</v>
      </c>
      <c r="K17" s="11">
        <v>0</v>
      </c>
      <c r="L17" s="68">
        <v>16329</v>
      </c>
    </row>
    <row r="18" spans="1:12" x14ac:dyDescent="0.25">
      <c r="A18" s="62" t="s">
        <v>140</v>
      </c>
      <c r="B18" s="63" t="s">
        <v>477</v>
      </c>
      <c r="C18" s="22">
        <f>SUM(D18:L18)</f>
        <v>434876</v>
      </c>
      <c r="D18" s="22">
        <f>SUM(D19:D21)</f>
        <v>434876</v>
      </c>
      <c r="E18" s="31">
        <f t="shared" ref="E18:L18" si="4">SUM(E19:E21)</f>
        <v>0</v>
      </c>
      <c r="F18" s="26">
        <f t="shared" si="4"/>
        <v>0</v>
      </c>
      <c r="G18" s="31">
        <f t="shared" si="4"/>
        <v>0</v>
      </c>
      <c r="H18" s="26">
        <f t="shared" si="4"/>
        <v>0</v>
      </c>
      <c r="I18" s="31">
        <f t="shared" si="4"/>
        <v>0</v>
      </c>
      <c r="J18" s="26">
        <f t="shared" si="4"/>
        <v>0</v>
      </c>
      <c r="K18" s="23">
        <f t="shared" si="4"/>
        <v>0</v>
      </c>
      <c r="L18" s="22">
        <f t="shared" si="4"/>
        <v>0</v>
      </c>
    </row>
    <row r="19" spans="1:12" ht="38.25" x14ac:dyDescent="0.25">
      <c r="A19" s="67" t="s">
        <v>141</v>
      </c>
      <c r="B19" s="25" t="s">
        <v>153</v>
      </c>
      <c r="C19" s="22">
        <f>SUM(D19:L19)</f>
        <v>45250</v>
      </c>
      <c r="D19" s="66">
        <v>45250</v>
      </c>
      <c r="E19" s="11">
        <v>0</v>
      </c>
      <c r="F19" s="66">
        <v>0</v>
      </c>
      <c r="G19" s="11">
        <v>0</v>
      </c>
      <c r="H19" s="66">
        <v>0</v>
      </c>
      <c r="I19" s="11">
        <v>0</v>
      </c>
      <c r="J19" s="66">
        <v>0</v>
      </c>
      <c r="K19" s="11">
        <v>0</v>
      </c>
      <c r="L19" s="66">
        <v>0</v>
      </c>
    </row>
    <row r="20" spans="1:12" ht="39" customHeight="1" x14ac:dyDescent="0.25">
      <c r="A20" s="67" t="s">
        <v>142</v>
      </c>
      <c r="B20" s="25" t="s">
        <v>344</v>
      </c>
      <c r="C20" s="22">
        <f t="shared" ref="C20:C21" si="5">SUM(D20:L20)</f>
        <v>293041</v>
      </c>
      <c r="D20" s="66">
        <v>293041</v>
      </c>
      <c r="E20" s="11">
        <v>0</v>
      </c>
      <c r="F20" s="66">
        <v>0</v>
      </c>
      <c r="G20" s="11">
        <v>0</v>
      </c>
      <c r="H20" s="66">
        <v>0</v>
      </c>
      <c r="I20" s="11">
        <v>0</v>
      </c>
      <c r="J20" s="66">
        <v>0</v>
      </c>
      <c r="K20" s="11">
        <v>0</v>
      </c>
      <c r="L20" s="66">
        <v>0</v>
      </c>
    </row>
    <row r="21" spans="1:12" ht="38.25" x14ac:dyDescent="0.25">
      <c r="A21" s="67" t="s">
        <v>143</v>
      </c>
      <c r="B21" s="25" t="s">
        <v>478</v>
      </c>
      <c r="C21" s="22">
        <f t="shared" si="5"/>
        <v>96585</v>
      </c>
      <c r="D21" s="66">
        <v>96585</v>
      </c>
      <c r="E21" s="11">
        <v>0</v>
      </c>
      <c r="F21" s="66">
        <v>0</v>
      </c>
      <c r="G21" s="11">
        <v>0</v>
      </c>
      <c r="H21" s="66">
        <v>0</v>
      </c>
      <c r="I21" s="11">
        <v>0</v>
      </c>
      <c r="J21" s="66">
        <v>0</v>
      </c>
      <c r="K21" s="11">
        <v>0</v>
      </c>
      <c r="L21" s="66">
        <v>0</v>
      </c>
    </row>
    <row r="22" spans="1:12" ht="26.25" x14ac:dyDescent="0.25">
      <c r="A22" s="62" t="s">
        <v>144</v>
      </c>
      <c r="B22" s="20" t="s">
        <v>374</v>
      </c>
      <c r="C22" s="22">
        <f>SUM(D22:L22)</f>
        <v>650979</v>
      </c>
      <c r="D22" s="26">
        <f t="shared" ref="D22:L22" si="6">SUM(D23:D24)</f>
        <v>503392</v>
      </c>
      <c r="E22" s="31">
        <f t="shared" si="6"/>
        <v>0</v>
      </c>
      <c r="F22" s="26">
        <f t="shared" si="6"/>
        <v>0</v>
      </c>
      <c r="G22" s="31">
        <f t="shared" si="6"/>
        <v>0</v>
      </c>
      <c r="H22" s="26">
        <f t="shared" si="6"/>
        <v>17862</v>
      </c>
      <c r="I22" s="31">
        <f t="shared" si="6"/>
        <v>0</v>
      </c>
      <c r="J22" s="26">
        <f t="shared" si="6"/>
        <v>0</v>
      </c>
      <c r="K22" s="31">
        <f t="shared" si="6"/>
        <v>0</v>
      </c>
      <c r="L22" s="26">
        <f t="shared" si="6"/>
        <v>129725</v>
      </c>
    </row>
    <row r="23" spans="1:12" ht="25.5" x14ac:dyDescent="0.25">
      <c r="A23" s="67" t="s">
        <v>373</v>
      </c>
      <c r="B23" s="25" t="s">
        <v>159</v>
      </c>
      <c r="C23" s="22">
        <f>SUM(D23:L23)</f>
        <v>493980</v>
      </c>
      <c r="D23" s="66">
        <v>493980</v>
      </c>
      <c r="E23" s="11">
        <v>0</v>
      </c>
      <c r="F23" s="66">
        <v>0</v>
      </c>
      <c r="G23" s="11">
        <v>0</v>
      </c>
      <c r="H23" s="66">
        <v>0</v>
      </c>
      <c r="I23" s="11">
        <v>0</v>
      </c>
      <c r="J23" s="66">
        <v>0</v>
      </c>
      <c r="K23" s="11">
        <v>0</v>
      </c>
      <c r="L23" s="66">
        <v>0</v>
      </c>
    </row>
    <row r="24" spans="1:12" ht="63.75" x14ac:dyDescent="0.25">
      <c r="A24" s="67" t="s">
        <v>375</v>
      </c>
      <c r="B24" s="25" t="s">
        <v>407</v>
      </c>
      <c r="C24" s="22">
        <f>SUM(D24:L24)</f>
        <v>156999</v>
      </c>
      <c r="D24" s="66">
        <v>9412</v>
      </c>
      <c r="E24" s="11">
        <v>0</v>
      </c>
      <c r="F24" s="66">
        <v>0</v>
      </c>
      <c r="G24" s="11">
        <v>0</v>
      </c>
      <c r="H24" s="66">
        <v>17862</v>
      </c>
      <c r="I24" s="11">
        <v>0</v>
      </c>
      <c r="J24" s="66">
        <v>0</v>
      </c>
      <c r="K24" s="11">
        <v>0</v>
      </c>
      <c r="L24" s="68">
        <v>129725</v>
      </c>
    </row>
    <row r="25" spans="1:12" s="17" customFormat="1" ht="25.5" x14ac:dyDescent="0.25">
      <c r="A25" s="122" t="s">
        <v>145</v>
      </c>
      <c r="B25" s="116" t="s">
        <v>479</v>
      </c>
      <c r="C25" s="26">
        <f>SUM(D25:L25)</f>
        <v>3525</v>
      </c>
      <c r="D25" s="26">
        <f>D26</f>
        <v>0</v>
      </c>
      <c r="E25" s="31">
        <f t="shared" ref="E25:L25" si="7">E26</f>
        <v>0</v>
      </c>
      <c r="F25" s="26">
        <f t="shared" si="7"/>
        <v>0</v>
      </c>
      <c r="G25" s="31">
        <f t="shared" si="7"/>
        <v>0</v>
      </c>
      <c r="H25" s="26">
        <f t="shared" si="7"/>
        <v>0</v>
      </c>
      <c r="I25" s="31">
        <f t="shared" si="7"/>
        <v>3525</v>
      </c>
      <c r="J25" s="26">
        <f t="shared" si="7"/>
        <v>0</v>
      </c>
      <c r="K25" s="31">
        <f t="shared" si="7"/>
        <v>0</v>
      </c>
      <c r="L25" s="26">
        <f t="shared" si="7"/>
        <v>0</v>
      </c>
    </row>
    <row r="26" spans="1:12" s="17" customFormat="1" x14ac:dyDescent="0.25">
      <c r="A26" s="64" t="s">
        <v>480</v>
      </c>
      <c r="B26" s="65" t="s">
        <v>154</v>
      </c>
      <c r="C26" s="26">
        <f t="shared" ref="C26:C29" si="8">SUM(D26:L26)</f>
        <v>3525</v>
      </c>
      <c r="D26" s="66">
        <v>0</v>
      </c>
      <c r="E26" s="11">
        <v>0</v>
      </c>
      <c r="F26" s="66">
        <v>0</v>
      </c>
      <c r="G26" s="11">
        <v>0</v>
      </c>
      <c r="H26" s="66">
        <v>0</v>
      </c>
      <c r="I26" s="11">
        <v>3525</v>
      </c>
      <c r="J26" s="66">
        <v>0</v>
      </c>
      <c r="K26" s="11">
        <v>0</v>
      </c>
      <c r="L26" s="66">
        <v>0</v>
      </c>
    </row>
    <row r="27" spans="1:12" ht="24" customHeight="1" x14ac:dyDescent="0.25">
      <c r="A27" s="70" t="s">
        <v>146</v>
      </c>
      <c r="B27" s="71" t="s">
        <v>482</v>
      </c>
      <c r="C27" s="22">
        <f>SUM(D27:L27)</f>
        <v>270000</v>
      </c>
      <c r="D27" s="26">
        <f>D28</f>
        <v>270000</v>
      </c>
      <c r="E27" s="31">
        <f t="shared" ref="E27" si="9">E28</f>
        <v>0</v>
      </c>
      <c r="F27" s="26">
        <f t="shared" ref="F27" si="10">F28</f>
        <v>0</v>
      </c>
      <c r="G27" s="31">
        <f t="shared" ref="G27" si="11">G28</f>
        <v>0</v>
      </c>
      <c r="H27" s="26">
        <f t="shared" ref="H27" si="12">H28</f>
        <v>0</v>
      </c>
      <c r="I27" s="31">
        <f t="shared" ref="I27" si="13">I28</f>
        <v>0</v>
      </c>
      <c r="J27" s="26">
        <f t="shared" ref="J27" si="14">J28</f>
        <v>0</v>
      </c>
      <c r="K27" s="31">
        <f t="shared" ref="K27" si="15">K28</f>
        <v>0</v>
      </c>
      <c r="L27" s="26">
        <f t="shared" ref="L27" si="16">L28</f>
        <v>0</v>
      </c>
    </row>
    <row r="28" spans="1:12" x14ac:dyDescent="0.25">
      <c r="A28" s="67" t="s">
        <v>481</v>
      </c>
      <c r="B28" s="25" t="s">
        <v>155</v>
      </c>
      <c r="C28" s="22">
        <f t="shared" si="8"/>
        <v>270000</v>
      </c>
      <c r="D28" s="26">
        <v>270000</v>
      </c>
      <c r="E28" s="11">
        <v>0</v>
      </c>
      <c r="F28" s="66">
        <v>0</v>
      </c>
      <c r="G28" s="11">
        <v>0</v>
      </c>
      <c r="H28" s="66">
        <v>0</v>
      </c>
      <c r="I28" s="11">
        <v>0</v>
      </c>
      <c r="J28" s="66">
        <v>0</v>
      </c>
      <c r="K28" s="11">
        <v>0</v>
      </c>
      <c r="L28" s="66">
        <v>0</v>
      </c>
    </row>
    <row r="29" spans="1:12" ht="38.25" x14ac:dyDescent="0.25">
      <c r="A29" s="62" t="s">
        <v>147</v>
      </c>
      <c r="B29" s="63" t="s">
        <v>156</v>
      </c>
      <c r="C29" s="22">
        <f t="shared" si="8"/>
        <v>1509066</v>
      </c>
      <c r="D29" s="26">
        <f>SUM(D30:D32)</f>
        <v>869676</v>
      </c>
      <c r="E29" s="31">
        <f t="shared" ref="E29:L29" si="17">SUM(E30:E32)</f>
        <v>0</v>
      </c>
      <c r="F29" s="26">
        <f t="shared" si="17"/>
        <v>0</v>
      </c>
      <c r="G29" s="31">
        <f t="shared" si="17"/>
        <v>0</v>
      </c>
      <c r="H29" s="26">
        <f t="shared" si="17"/>
        <v>0</v>
      </c>
      <c r="I29" s="31">
        <f t="shared" si="17"/>
        <v>0</v>
      </c>
      <c r="J29" s="26">
        <f t="shared" si="17"/>
        <v>637767</v>
      </c>
      <c r="K29" s="23">
        <f t="shared" si="17"/>
        <v>0</v>
      </c>
      <c r="L29" s="22">
        <f t="shared" si="17"/>
        <v>1623</v>
      </c>
    </row>
    <row r="30" spans="1:12" ht="29.25" customHeight="1" x14ac:dyDescent="0.25">
      <c r="A30" s="67" t="s">
        <v>148</v>
      </c>
      <c r="B30" s="25" t="s">
        <v>321</v>
      </c>
      <c r="C30" s="22">
        <f>SUM(D30:L30)</f>
        <v>858909</v>
      </c>
      <c r="D30" s="66">
        <v>219519</v>
      </c>
      <c r="E30" s="11">
        <v>0</v>
      </c>
      <c r="F30" s="66">
        <v>0</v>
      </c>
      <c r="G30" s="11">
        <v>0</v>
      </c>
      <c r="H30" s="66">
        <v>0</v>
      </c>
      <c r="I30" s="11">
        <v>0</v>
      </c>
      <c r="J30" s="66">
        <v>637767</v>
      </c>
      <c r="K30" s="11">
        <v>0</v>
      </c>
      <c r="L30" s="68">
        <v>1623</v>
      </c>
    </row>
    <row r="31" spans="1:12" ht="38.25" x14ac:dyDescent="0.25">
      <c r="A31" s="67" t="s">
        <v>149</v>
      </c>
      <c r="B31" s="25" t="s">
        <v>322</v>
      </c>
      <c r="C31" s="22">
        <f t="shared" ref="C31:C32" si="18">SUM(D31:L31)</f>
        <v>650157</v>
      </c>
      <c r="D31" s="66">
        <v>650157</v>
      </c>
      <c r="E31" s="11">
        <v>0</v>
      </c>
      <c r="F31" s="66">
        <v>0</v>
      </c>
      <c r="G31" s="11">
        <v>0</v>
      </c>
      <c r="H31" s="66">
        <v>0</v>
      </c>
      <c r="I31" s="11">
        <v>0</v>
      </c>
      <c r="J31" s="66">
        <v>0</v>
      </c>
      <c r="K31" s="11">
        <v>0</v>
      </c>
      <c r="L31" s="66">
        <v>0</v>
      </c>
    </row>
    <row r="32" spans="1:12" ht="25.5" hidden="1" x14ac:dyDescent="0.25">
      <c r="A32" s="80" t="s">
        <v>150</v>
      </c>
      <c r="B32" s="81" t="s">
        <v>157</v>
      </c>
      <c r="C32" s="79">
        <f t="shared" si="18"/>
        <v>0</v>
      </c>
      <c r="D32" s="82">
        <v>0</v>
      </c>
      <c r="E32" s="93">
        <v>0</v>
      </c>
      <c r="F32" s="82">
        <v>0</v>
      </c>
      <c r="G32" s="93">
        <v>0</v>
      </c>
      <c r="H32" s="82">
        <v>0</v>
      </c>
      <c r="I32" s="93">
        <v>0</v>
      </c>
      <c r="J32" s="82">
        <v>0</v>
      </c>
      <c r="K32" s="93">
        <v>0</v>
      </c>
      <c r="L32" s="82">
        <v>0</v>
      </c>
    </row>
    <row r="33" spans="1:12" ht="38.25" x14ac:dyDescent="0.25">
      <c r="A33" s="62" t="s">
        <v>151</v>
      </c>
      <c r="B33" s="63" t="s">
        <v>484</v>
      </c>
      <c r="C33" s="26">
        <f>SUM(D33:L33)</f>
        <v>372645</v>
      </c>
      <c r="D33" s="26">
        <f>D34</f>
        <v>500000</v>
      </c>
      <c r="E33" s="31">
        <f t="shared" ref="E33" si="19">E34</f>
        <v>-127355</v>
      </c>
      <c r="F33" s="26">
        <f t="shared" ref="F33" si="20">F34</f>
        <v>0</v>
      </c>
      <c r="G33" s="31">
        <f t="shared" ref="G33" si="21">G34</f>
        <v>0</v>
      </c>
      <c r="H33" s="26">
        <f t="shared" ref="H33" si="22">H34</f>
        <v>0</v>
      </c>
      <c r="I33" s="31">
        <f t="shared" ref="I33" si="23">I34</f>
        <v>0</v>
      </c>
      <c r="J33" s="26">
        <f t="shared" ref="J33" si="24">J34</f>
        <v>0</v>
      </c>
      <c r="K33" s="31">
        <f t="shared" ref="K33" si="25">K34</f>
        <v>0</v>
      </c>
      <c r="L33" s="26">
        <f t="shared" ref="L33" si="26">L34</f>
        <v>0</v>
      </c>
    </row>
    <row r="34" spans="1:12" ht="25.5" x14ac:dyDescent="0.25">
      <c r="A34" s="67" t="s">
        <v>483</v>
      </c>
      <c r="B34" s="25" t="s">
        <v>158</v>
      </c>
      <c r="C34" s="22">
        <f t="shared" ref="C34" si="27">SUM(D34:L34)</f>
        <v>372645</v>
      </c>
      <c r="D34" s="66">
        <v>500000</v>
      </c>
      <c r="E34" s="11">
        <v>-127355</v>
      </c>
      <c r="F34" s="66">
        <v>0</v>
      </c>
      <c r="G34" s="11">
        <v>0</v>
      </c>
      <c r="H34" s="66">
        <v>0</v>
      </c>
      <c r="I34" s="11">
        <v>0</v>
      </c>
      <c r="J34" s="66">
        <v>0</v>
      </c>
      <c r="K34" s="11">
        <v>0</v>
      </c>
      <c r="L34" s="66">
        <v>0</v>
      </c>
    </row>
    <row r="35" spans="1:12" x14ac:dyDescent="0.25">
      <c r="A35" s="94" t="s">
        <v>107</v>
      </c>
      <c r="B35" s="95" t="s">
        <v>116</v>
      </c>
      <c r="C35" s="102">
        <f t="shared" ref="C35:C49" si="28">SUM(D35:L35)</f>
        <v>3522804</v>
      </c>
      <c r="D35" s="102">
        <f>D36+D38</f>
        <v>3285795</v>
      </c>
      <c r="E35" s="103">
        <f t="shared" ref="E35:L35" si="29">E36+E38</f>
        <v>-42945</v>
      </c>
      <c r="F35" s="102">
        <f t="shared" si="29"/>
        <v>143300</v>
      </c>
      <c r="G35" s="103">
        <f t="shared" si="29"/>
        <v>0</v>
      </c>
      <c r="H35" s="102">
        <f t="shared" si="29"/>
        <v>0</v>
      </c>
      <c r="I35" s="103">
        <f t="shared" si="29"/>
        <v>42945</v>
      </c>
      <c r="J35" s="102">
        <f t="shared" si="29"/>
        <v>0</v>
      </c>
      <c r="K35" s="103">
        <f t="shared" si="29"/>
        <v>0</v>
      </c>
      <c r="L35" s="102">
        <f t="shared" si="29"/>
        <v>93709</v>
      </c>
    </row>
    <row r="36" spans="1:12" x14ac:dyDescent="0.25">
      <c r="A36" s="62" t="s">
        <v>485</v>
      </c>
      <c r="B36" s="63" t="s">
        <v>486</v>
      </c>
      <c r="C36" s="26">
        <f>SUM(D36:L36)</f>
        <v>3093463</v>
      </c>
      <c r="D36" s="26">
        <f>D37</f>
        <v>2859035</v>
      </c>
      <c r="E36" s="31">
        <f t="shared" ref="E36" si="30">E37</f>
        <v>-42945</v>
      </c>
      <c r="F36" s="26">
        <f t="shared" ref="F36" si="31">F37</f>
        <v>143300</v>
      </c>
      <c r="G36" s="31">
        <f t="shared" ref="G36" si="32">G37</f>
        <v>0</v>
      </c>
      <c r="H36" s="26">
        <f t="shared" ref="H36" si="33">H37</f>
        <v>0</v>
      </c>
      <c r="I36" s="31">
        <f t="shared" ref="I36" si="34">I37</f>
        <v>42945</v>
      </c>
      <c r="J36" s="26">
        <f t="shared" ref="J36" si="35">J37</f>
        <v>0</v>
      </c>
      <c r="K36" s="31">
        <f t="shared" ref="K36" si="36">K37</f>
        <v>0</v>
      </c>
      <c r="L36" s="26">
        <f t="shared" ref="L36" si="37">L37</f>
        <v>91128</v>
      </c>
    </row>
    <row r="37" spans="1:12" ht="30" customHeight="1" x14ac:dyDescent="0.25">
      <c r="A37" s="67" t="s">
        <v>160</v>
      </c>
      <c r="B37" s="25" t="s">
        <v>345</v>
      </c>
      <c r="C37" s="22">
        <f t="shared" si="28"/>
        <v>3093463</v>
      </c>
      <c r="D37" s="68">
        <v>2859035</v>
      </c>
      <c r="E37" s="11">
        <v>-42945</v>
      </c>
      <c r="F37" s="66">
        <v>143300</v>
      </c>
      <c r="G37" s="11">
        <v>0</v>
      </c>
      <c r="H37" s="66">
        <v>0</v>
      </c>
      <c r="I37" s="11">
        <v>42945</v>
      </c>
      <c r="J37" s="66">
        <v>0</v>
      </c>
      <c r="K37" s="11">
        <v>0</v>
      </c>
      <c r="L37" s="68">
        <v>91128</v>
      </c>
    </row>
    <row r="38" spans="1:12" ht="27.75" customHeight="1" x14ac:dyDescent="0.25">
      <c r="A38" s="62" t="s">
        <v>161</v>
      </c>
      <c r="B38" s="63" t="s">
        <v>163</v>
      </c>
      <c r="C38" s="22">
        <f t="shared" si="28"/>
        <v>429341</v>
      </c>
      <c r="D38" s="22">
        <f>SUM(D39:D41)</f>
        <v>426760</v>
      </c>
      <c r="E38" s="23">
        <f t="shared" ref="E38:L38" si="38">SUM(E39:E41)</f>
        <v>0</v>
      </c>
      <c r="F38" s="22">
        <f t="shared" si="38"/>
        <v>0</v>
      </c>
      <c r="G38" s="23">
        <f t="shared" si="38"/>
        <v>0</v>
      </c>
      <c r="H38" s="22">
        <f t="shared" si="38"/>
        <v>0</v>
      </c>
      <c r="I38" s="23">
        <f t="shared" si="38"/>
        <v>0</v>
      </c>
      <c r="J38" s="22">
        <f t="shared" si="38"/>
        <v>0</v>
      </c>
      <c r="K38" s="23">
        <f t="shared" si="38"/>
        <v>0</v>
      </c>
      <c r="L38" s="22">
        <f t="shared" si="38"/>
        <v>2581</v>
      </c>
    </row>
    <row r="39" spans="1:12" ht="37.5" customHeight="1" x14ac:dyDescent="0.25">
      <c r="A39" s="67" t="s">
        <v>162</v>
      </c>
      <c r="B39" s="25" t="s">
        <v>346</v>
      </c>
      <c r="C39" s="22">
        <f t="shared" si="28"/>
        <v>426760</v>
      </c>
      <c r="D39" s="68">
        <v>426760</v>
      </c>
      <c r="E39" s="11">
        <v>0</v>
      </c>
      <c r="F39" s="66">
        <v>0</v>
      </c>
      <c r="G39" s="11">
        <v>0</v>
      </c>
      <c r="H39" s="66">
        <v>0</v>
      </c>
      <c r="I39" s="11">
        <v>0</v>
      </c>
      <c r="J39" s="66">
        <v>0</v>
      </c>
      <c r="K39" s="11">
        <v>0</v>
      </c>
      <c r="L39" s="66">
        <v>0</v>
      </c>
    </row>
    <row r="40" spans="1:12" ht="54.75" customHeight="1" x14ac:dyDescent="0.25">
      <c r="A40" s="96" t="s">
        <v>381</v>
      </c>
      <c r="B40" s="97" t="s">
        <v>410</v>
      </c>
      <c r="C40" s="22">
        <f t="shared" ref="C40" si="39">SUM(D40:L40)</f>
        <v>2581</v>
      </c>
      <c r="D40" s="36">
        <v>0</v>
      </c>
      <c r="E40" s="11">
        <v>0</v>
      </c>
      <c r="F40" s="66">
        <v>0</v>
      </c>
      <c r="G40" s="11">
        <v>0</v>
      </c>
      <c r="H40" s="36">
        <v>0</v>
      </c>
      <c r="I40" s="11">
        <v>0</v>
      </c>
      <c r="J40" s="66">
        <v>0</v>
      </c>
      <c r="K40" s="11">
        <v>0</v>
      </c>
      <c r="L40" s="36">
        <v>2581</v>
      </c>
    </row>
    <row r="41" spans="1:12" hidden="1" x14ac:dyDescent="0.25">
      <c r="A41" s="57"/>
      <c r="B41" s="58"/>
      <c r="C41" s="79">
        <f t="shared" si="28"/>
        <v>0</v>
      </c>
      <c r="D41" s="82"/>
      <c r="E41" s="93"/>
      <c r="F41" s="82"/>
      <c r="G41" s="93"/>
      <c r="H41" s="82"/>
      <c r="I41" s="93"/>
      <c r="J41" s="82"/>
      <c r="K41" s="93"/>
      <c r="L41" s="82"/>
    </row>
    <row r="42" spans="1:12" x14ac:dyDescent="0.25">
      <c r="A42" s="94" t="s">
        <v>108</v>
      </c>
      <c r="B42" s="95" t="s">
        <v>117</v>
      </c>
      <c r="C42" s="102">
        <f t="shared" si="28"/>
        <v>26205954</v>
      </c>
      <c r="D42" s="102">
        <f>D43+D50+D55+D59</f>
        <v>15143394</v>
      </c>
      <c r="E42" s="103">
        <f t="shared" ref="E42:L42" si="40">E43+E50+E55+E59</f>
        <v>0</v>
      </c>
      <c r="F42" s="102">
        <f t="shared" si="40"/>
        <v>45600</v>
      </c>
      <c r="G42" s="103">
        <f t="shared" si="40"/>
        <v>0</v>
      </c>
      <c r="H42" s="102">
        <f t="shared" si="40"/>
        <v>6372590</v>
      </c>
      <c r="I42" s="103">
        <f t="shared" si="40"/>
        <v>0</v>
      </c>
      <c r="J42" s="102">
        <f t="shared" si="40"/>
        <v>24154</v>
      </c>
      <c r="K42" s="103">
        <f t="shared" si="40"/>
        <v>0</v>
      </c>
      <c r="L42" s="102">
        <f t="shared" si="40"/>
        <v>4620216</v>
      </c>
    </row>
    <row r="43" spans="1:12" x14ac:dyDescent="0.25">
      <c r="A43" s="62" t="s">
        <v>164</v>
      </c>
      <c r="B43" s="63" t="s">
        <v>172</v>
      </c>
      <c r="C43" s="22">
        <f>SUM(D43:L43)</f>
        <v>22485571</v>
      </c>
      <c r="D43" s="22">
        <f>SUM(D44:D49)</f>
        <v>13859579</v>
      </c>
      <c r="E43" s="23">
        <f t="shared" ref="E43:L43" si="41">SUM(E44:E49)</f>
        <v>0</v>
      </c>
      <c r="F43" s="22">
        <f t="shared" si="41"/>
        <v>0</v>
      </c>
      <c r="G43" s="23">
        <f t="shared" si="41"/>
        <v>0</v>
      </c>
      <c r="H43" s="22">
        <f t="shared" si="41"/>
        <v>5312463</v>
      </c>
      <c r="I43" s="23">
        <f t="shared" si="41"/>
        <v>0</v>
      </c>
      <c r="J43" s="22">
        <f t="shared" si="41"/>
        <v>0</v>
      </c>
      <c r="K43" s="23">
        <f t="shared" si="41"/>
        <v>0</v>
      </c>
      <c r="L43" s="22">
        <f t="shared" si="41"/>
        <v>3313529</v>
      </c>
    </row>
    <row r="44" spans="1:12" ht="38.25" x14ac:dyDescent="0.25">
      <c r="A44" s="67" t="s">
        <v>165</v>
      </c>
      <c r="B44" s="25" t="s">
        <v>323</v>
      </c>
      <c r="C44" s="22">
        <f t="shared" si="28"/>
        <v>3336522</v>
      </c>
      <c r="D44" s="68">
        <v>1895954</v>
      </c>
      <c r="E44" s="11">
        <v>0</v>
      </c>
      <c r="F44" s="66">
        <v>0</v>
      </c>
      <c r="G44" s="11">
        <v>0</v>
      </c>
      <c r="H44" s="66">
        <v>1369537</v>
      </c>
      <c r="I44" s="11">
        <v>0</v>
      </c>
      <c r="J44" s="66">
        <v>0</v>
      </c>
      <c r="K44" s="11">
        <v>0</v>
      </c>
      <c r="L44" s="66">
        <v>71031</v>
      </c>
    </row>
    <row r="45" spans="1:12" ht="38.25" x14ac:dyDescent="0.25">
      <c r="A45" s="67" t="s">
        <v>166</v>
      </c>
      <c r="B45" s="25" t="s">
        <v>173</v>
      </c>
      <c r="C45" s="22">
        <f t="shared" si="28"/>
        <v>2515164</v>
      </c>
      <c r="D45" s="68">
        <v>1566794</v>
      </c>
      <c r="E45" s="11">
        <v>0</v>
      </c>
      <c r="F45" s="66">
        <v>0</v>
      </c>
      <c r="G45" s="11">
        <v>0</v>
      </c>
      <c r="H45" s="66">
        <v>854446</v>
      </c>
      <c r="I45" s="11">
        <v>0</v>
      </c>
      <c r="J45" s="66">
        <v>0</v>
      </c>
      <c r="K45" s="11">
        <v>0</v>
      </c>
      <c r="L45" s="68">
        <v>93924</v>
      </c>
    </row>
    <row r="46" spans="1:12" ht="54" customHeight="1" x14ac:dyDescent="0.25">
      <c r="A46" s="64" t="s">
        <v>401</v>
      </c>
      <c r="B46" s="65" t="s">
        <v>400</v>
      </c>
      <c r="C46" s="22">
        <f t="shared" si="28"/>
        <v>9755809</v>
      </c>
      <c r="D46" s="66">
        <v>6436233</v>
      </c>
      <c r="E46" s="11">
        <v>0</v>
      </c>
      <c r="F46" s="66">
        <v>0</v>
      </c>
      <c r="G46" s="11">
        <v>0</v>
      </c>
      <c r="H46" s="66">
        <v>895406</v>
      </c>
      <c r="I46" s="11">
        <v>0</v>
      </c>
      <c r="J46" s="66">
        <v>0</v>
      </c>
      <c r="K46" s="11">
        <v>0</v>
      </c>
      <c r="L46" s="66">
        <v>2424170</v>
      </c>
    </row>
    <row r="47" spans="1:12" ht="51" x14ac:dyDescent="0.25">
      <c r="A47" s="64" t="s">
        <v>426</v>
      </c>
      <c r="B47" s="65" t="s">
        <v>427</v>
      </c>
      <c r="C47" s="22">
        <f t="shared" si="28"/>
        <v>4502896</v>
      </c>
      <c r="D47" s="66">
        <v>2777905</v>
      </c>
      <c r="E47" s="11">
        <v>0</v>
      </c>
      <c r="F47" s="66">
        <v>0</v>
      </c>
      <c r="G47" s="11">
        <v>0</v>
      </c>
      <c r="H47" s="66">
        <v>1000587</v>
      </c>
      <c r="I47" s="11">
        <v>0</v>
      </c>
      <c r="J47" s="66">
        <v>0</v>
      </c>
      <c r="K47" s="11">
        <v>0</v>
      </c>
      <c r="L47" s="66">
        <v>724404</v>
      </c>
    </row>
    <row r="48" spans="1:12" ht="42.75" hidden="1" customHeight="1" x14ac:dyDescent="0.25">
      <c r="A48" s="64" t="s">
        <v>428</v>
      </c>
      <c r="B48" s="65" t="s">
        <v>429</v>
      </c>
      <c r="C48" s="22">
        <f t="shared" si="28"/>
        <v>0</v>
      </c>
      <c r="D48" s="66"/>
      <c r="E48" s="11"/>
      <c r="F48" s="66"/>
      <c r="G48" s="11"/>
      <c r="H48" s="66"/>
      <c r="I48" s="11"/>
      <c r="J48" s="66"/>
      <c r="K48" s="11"/>
      <c r="L48" s="66"/>
    </row>
    <row r="49" spans="1:12" ht="42.75" customHeight="1" x14ac:dyDescent="0.25">
      <c r="A49" s="64" t="s">
        <v>819</v>
      </c>
      <c r="B49" s="65" t="s">
        <v>820</v>
      </c>
      <c r="C49" s="22">
        <f t="shared" si="28"/>
        <v>2375180</v>
      </c>
      <c r="D49" s="66">
        <v>1182693</v>
      </c>
      <c r="E49" s="11">
        <v>0</v>
      </c>
      <c r="F49" s="66">
        <v>0</v>
      </c>
      <c r="G49" s="11">
        <v>0</v>
      </c>
      <c r="H49" s="66">
        <v>1192487</v>
      </c>
      <c r="I49" s="11">
        <v>0</v>
      </c>
      <c r="J49" s="66">
        <v>0</v>
      </c>
      <c r="K49" s="11">
        <v>0</v>
      </c>
      <c r="L49" s="66">
        <v>0</v>
      </c>
    </row>
    <row r="50" spans="1:12" x14ac:dyDescent="0.25">
      <c r="A50" s="62" t="s">
        <v>167</v>
      </c>
      <c r="B50" s="63" t="s">
        <v>174</v>
      </c>
      <c r="C50" s="22">
        <f t="shared" ref="C50:C60" si="42">SUM(D50:L50)</f>
        <v>2283238</v>
      </c>
      <c r="D50" s="22">
        <f t="shared" ref="D50:L50" si="43">SUM(D51:D54)</f>
        <v>1176696</v>
      </c>
      <c r="E50" s="31">
        <f t="shared" si="43"/>
        <v>0</v>
      </c>
      <c r="F50" s="26">
        <f t="shared" si="43"/>
        <v>45600</v>
      </c>
      <c r="G50" s="31">
        <f t="shared" si="43"/>
        <v>0</v>
      </c>
      <c r="H50" s="26">
        <f t="shared" si="43"/>
        <v>946023</v>
      </c>
      <c r="I50" s="31">
        <f t="shared" si="43"/>
        <v>0</v>
      </c>
      <c r="J50" s="26">
        <f t="shared" si="43"/>
        <v>24154</v>
      </c>
      <c r="K50" s="31">
        <f t="shared" si="43"/>
        <v>0</v>
      </c>
      <c r="L50" s="22">
        <f t="shared" si="43"/>
        <v>90765</v>
      </c>
    </row>
    <row r="51" spans="1:12" ht="25.5" x14ac:dyDescent="0.25">
      <c r="A51" s="67" t="s">
        <v>168</v>
      </c>
      <c r="B51" s="25" t="s">
        <v>347</v>
      </c>
      <c r="C51" s="22">
        <f t="shared" si="42"/>
        <v>444409</v>
      </c>
      <c r="D51" s="68">
        <v>374064</v>
      </c>
      <c r="E51" s="11">
        <v>0</v>
      </c>
      <c r="F51" s="66">
        <v>45600</v>
      </c>
      <c r="G51" s="11">
        <v>0</v>
      </c>
      <c r="H51" s="66">
        <v>0</v>
      </c>
      <c r="I51" s="11">
        <v>0</v>
      </c>
      <c r="J51" s="66">
        <v>24154</v>
      </c>
      <c r="K51" s="11">
        <v>0</v>
      </c>
      <c r="L51" s="68">
        <v>591</v>
      </c>
    </row>
    <row r="52" spans="1:12" ht="51" x14ac:dyDescent="0.25">
      <c r="A52" s="67" t="s">
        <v>370</v>
      </c>
      <c r="B52" s="25" t="s">
        <v>409</v>
      </c>
      <c r="C52" s="22">
        <f t="shared" si="42"/>
        <v>10000</v>
      </c>
      <c r="D52" s="68">
        <v>0</v>
      </c>
      <c r="E52" s="11">
        <v>0</v>
      </c>
      <c r="F52" s="66">
        <v>0</v>
      </c>
      <c r="G52" s="11">
        <v>0</v>
      </c>
      <c r="H52" s="66">
        <v>0</v>
      </c>
      <c r="I52" s="11">
        <v>0</v>
      </c>
      <c r="J52" s="66">
        <v>0</v>
      </c>
      <c r="K52" s="11">
        <v>0</v>
      </c>
      <c r="L52" s="68">
        <v>10000</v>
      </c>
    </row>
    <row r="53" spans="1:12" ht="65.25" customHeight="1" x14ac:dyDescent="0.25">
      <c r="A53" s="64" t="s">
        <v>402</v>
      </c>
      <c r="B53" s="65" t="s">
        <v>403</v>
      </c>
      <c r="C53" s="26">
        <f t="shared" ref="C53" si="44">SUM(D53:L53)</f>
        <v>1828829</v>
      </c>
      <c r="D53" s="66">
        <v>802632</v>
      </c>
      <c r="E53" s="11">
        <v>0</v>
      </c>
      <c r="F53" s="66">
        <v>0</v>
      </c>
      <c r="G53" s="11">
        <v>0</v>
      </c>
      <c r="H53" s="66">
        <v>946023</v>
      </c>
      <c r="I53" s="11">
        <v>0</v>
      </c>
      <c r="J53" s="66">
        <v>0</v>
      </c>
      <c r="K53" s="11">
        <v>0</v>
      </c>
      <c r="L53" s="66">
        <v>80174</v>
      </c>
    </row>
    <row r="54" spans="1:12" hidden="1" x14ac:dyDescent="0.25">
      <c r="A54" s="57"/>
      <c r="B54" s="58"/>
      <c r="C54" s="79">
        <f t="shared" si="42"/>
        <v>0</v>
      </c>
      <c r="D54" s="82"/>
      <c r="E54" s="93"/>
      <c r="F54" s="82"/>
      <c r="G54" s="93"/>
      <c r="H54" s="82"/>
      <c r="I54" s="93"/>
      <c r="J54" s="82"/>
      <c r="K54" s="93"/>
      <c r="L54" s="82"/>
    </row>
    <row r="55" spans="1:12" x14ac:dyDescent="0.25">
      <c r="A55" s="70" t="s">
        <v>385</v>
      </c>
      <c r="B55" s="71" t="s">
        <v>386</v>
      </c>
      <c r="C55" s="26">
        <f>SUM(D55:L55)</f>
        <v>1363745</v>
      </c>
      <c r="D55" s="26">
        <f t="shared" ref="D55:L55" si="45">SUM(D56:D58)</f>
        <v>33719</v>
      </c>
      <c r="E55" s="31">
        <f t="shared" si="45"/>
        <v>0</v>
      </c>
      <c r="F55" s="26">
        <f t="shared" si="45"/>
        <v>0</v>
      </c>
      <c r="G55" s="31">
        <f t="shared" si="45"/>
        <v>0</v>
      </c>
      <c r="H55" s="26">
        <f t="shared" si="45"/>
        <v>114104</v>
      </c>
      <c r="I55" s="31">
        <f t="shared" si="45"/>
        <v>0</v>
      </c>
      <c r="J55" s="26">
        <f t="shared" si="45"/>
        <v>0</v>
      </c>
      <c r="K55" s="31">
        <f t="shared" si="45"/>
        <v>0</v>
      </c>
      <c r="L55" s="26">
        <f t="shared" si="45"/>
        <v>1215922</v>
      </c>
    </row>
    <row r="56" spans="1:12" ht="66.75" customHeight="1" x14ac:dyDescent="0.25">
      <c r="A56" s="64" t="s">
        <v>387</v>
      </c>
      <c r="B56" s="65" t="s">
        <v>388</v>
      </c>
      <c r="C56" s="26">
        <f t="shared" ref="C56:C57" si="46">SUM(D56:L56)</f>
        <v>1040402</v>
      </c>
      <c r="D56" s="66">
        <v>0</v>
      </c>
      <c r="E56" s="11">
        <v>0</v>
      </c>
      <c r="F56" s="66">
        <v>0</v>
      </c>
      <c r="G56" s="11">
        <v>0</v>
      </c>
      <c r="H56" s="66">
        <v>114104</v>
      </c>
      <c r="I56" s="11">
        <v>0</v>
      </c>
      <c r="J56" s="66">
        <v>0</v>
      </c>
      <c r="K56" s="11">
        <v>0</v>
      </c>
      <c r="L56" s="66">
        <v>926298</v>
      </c>
    </row>
    <row r="57" spans="1:12" ht="39.75" customHeight="1" x14ac:dyDescent="0.25">
      <c r="A57" s="96" t="s">
        <v>389</v>
      </c>
      <c r="B57" s="97" t="s">
        <v>390</v>
      </c>
      <c r="C57" s="92">
        <f t="shared" si="46"/>
        <v>323343</v>
      </c>
      <c r="D57" s="36">
        <v>33719</v>
      </c>
      <c r="E57" s="11">
        <v>0</v>
      </c>
      <c r="F57" s="36">
        <v>0</v>
      </c>
      <c r="G57" s="104">
        <v>0</v>
      </c>
      <c r="H57" s="36">
        <v>0</v>
      </c>
      <c r="I57" s="104">
        <v>0</v>
      </c>
      <c r="J57" s="36">
        <v>0</v>
      </c>
      <c r="K57" s="104">
        <v>0</v>
      </c>
      <c r="L57" s="36">
        <v>289624</v>
      </c>
    </row>
    <row r="58" spans="1:12" hidden="1" x14ac:dyDescent="0.25">
      <c r="A58" s="57"/>
      <c r="B58" s="58"/>
      <c r="C58" s="79">
        <f t="shared" ref="C58" si="47">SUM(D58:L58)</f>
        <v>0</v>
      </c>
      <c r="D58" s="82">
        <v>0</v>
      </c>
      <c r="E58" s="93"/>
      <c r="F58" s="82"/>
      <c r="G58" s="93"/>
      <c r="H58" s="82"/>
      <c r="I58" s="93"/>
      <c r="J58" s="82"/>
      <c r="K58" s="93"/>
      <c r="L58" s="82"/>
    </row>
    <row r="59" spans="1:12" ht="25.5" x14ac:dyDescent="0.25">
      <c r="A59" s="62" t="s">
        <v>169</v>
      </c>
      <c r="B59" s="63" t="s">
        <v>175</v>
      </c>
      <c r="C59" s="22">
        <f t="shared" si="42"/>
        <v>73400</v>
      </c>
      <c r="D59" s="22">
        <f t="shared" ref="D59:L59" si="48">SUM(D60:D62)</f>
        <v>73400</v>
      </c>
      <c r="E59" s="31">
        <f t="shared" si="48"/>
        <v>0</v>
      </c>
      <c r="F59" s="26">
        <f t="shared" si="48"/>
        <v>0</v>
      </c>
      <c r="G59" s="31">
        <f t="shared" si="48"/>
        <v>0</v>
      </c>
      <c r="H59" s="26">
        <f t="shared" si="48"/>
        <v>0</v>
      </c>
      <c r="I59" s="31">
        <f t="shared" si="48"/>
        <v>0</v>
      </c>
      <c r="J59" s="26">
        <f t="shared" si="48"/>
        <v>0</v>
      </c>
      <c r="K59" s="31">
        <f t="shared" si="48"/>
        <v>0</v>
      </c>
      <c r="L59" s="22">
        <f t="shared" si="48"/>
        <v>0</v>
      </c>
    </row>
    <row r="60" spans="1:12" ht="38.25" x14ac:dyDescent="0.25">
      <c r="A60" s="67" t="s">
        <v>170</v>
      </c>
      <c r="B60" s="25" t="s">
        <v>176</v>
      </c>
      <c r="C60" s="22">
        <f t="shared" si="42"/>
        <v>69900</v>
      </c>
      <c r="D60" s="68">
        <v>69900</v>
      </c>
      <c r="E60" s="11">
        <v>0</v>
      </c>
      <c r="F60" s="66">
        <v>0</v>
      </c>
      <c r="G60" s="11">
        <v>0</v>
      </c>
      <c r="H60" s="66">
        <v>0</v>
      </c>
      <c r="I60" s="11">
        <v>0</v>
      </c>
      <c r="J60" s="66">
        <v>0</v>
      </c>
      <c r="K60" s="11">
        <v>0</v>
      </c>
      <c r="L60" s="66">
        <v>0</v>
      </c>
    </row>
    <row r="61" spans="1:12" ht="25.5" x14ac:dyDescent="0.25">
      <c r="A61" s="67" t="s">
        <v>171</v>
      </c>
      <c r="B61" s="25" t="s">
        <v>177</v>
      </c>
      <c r="C61" s="22">
        <f t="shared" ref="C61" si="49">SUM(D61:L61)</f>
        <v>3500</v>
      </c>
      <c r="D61" s="68">
        <v>3500</v>
      </c>
      <c r="E61" s="11">
        <v>0</v>
      </c>
      <c r="F61" s="66">
        <v>0</v>
      </c>
      <c r="G61" s="11">
        <v>0</v>
      </c>
      <c r="H61" s="66">
        <v>0</v>
      </c>
      <c r="I61" s="11">
        <v>0</v>
      </c>
      <c r="J61" s="66">
        <v>0</v>
      </c>
      <c r="K61" s="11">
        <v>0</v>
      </c>
      <c r="L61" s="66">
        <v>0</v>
      </c>
    </row>
    <row r="62" spans="1:12" hidden="1" x14ac:dyDescent="0.25">
      <c r="A62" s="57"/>
      <c r="B62" s="58"/>
      <c r="C62" s="79">
        <f t="shared" ref="C62" si="50">SUM(D62:L62)</f>
        <v>0</v>
      </c>
      <c r="D62" s="82"/>
      <c r="E62" s="93"/>
      <c r="F62" s="82"/>
      <c r="G62" s="93"/>
      <c r="H62" s="82"/>
      <c r="I62" s="93"/>
      <c r="J62" s="82"/>
      <c r="K62" s="93"/>
      <c r="L62" s="82"/>
    </row>
    <row r="63" spans="1:12" x14ac:dyDescent="0.25">
      <c r="A63" s="94" t="s">
        <v>109</v>
      </c>
      <c r="B63" s="95" t="s">
        <v>118</v>
      </c>
      <c r="C63" s="102">
        <f t="shared" ref="C63:C74" si="51">SUM(D63:L63)</f>
        <v>5047550</v>
      </c>
      <c r="D63" s="102">
        <f>D64+D67+D69+D72</f>
        <v>3333494</v>
      </c>
      <c r="E63" s="103">
        <f>E64+E67+E69+E72</f>
        <v>0</v>
      </c>
      <c r="F63" s="102">
        <f t="shared" ref="F63:L63" si="52">F64+F67+F69+F72</f>
        <v>0</v>
      </c>
      <c r="G63" s="103">
        <f t="shared" si="52"/>
        <v>0</v>
      </c>
      <c r="H63" s="102">
        <f t="shared" si="52"/>
        <v>1682234</v>
      </c>
      <c r="I63" s="103">
        <f t="shared" si="52"/>
        <v>0</v>
      </c>
      <c r="J63" s="102">
        <f t="shared" si="52"/>
        <v>0</v>
      </c>
      <c r="K63" s="103">
        <f t="shared" si="52"/>
        <v>0</v>
      </c>
      <c r="L63" s="102">
        <f t="shared" si="52"/>
        <v>31822</v>
      </c>
    </row>
    <row r="64" spans="1:12" x14ac:dyDescent="0.25">
      <c r="A64" s="62" t="s">
        <v>178</v>
      </c>
      <c r="B64" s="63" t="s">
        <v>184</v>
      </c>
      <c r="C64" s="22">
        <f t="shared" si="51"/>
        <v>1694094</v>
      </c>
      <c r="D64" s="22">
        <f>SUM(D65:D66)</f>
        <v>1694094</v>
      </c>
      <c r="E64" s="23">
        <f t="shared" ref="E64:L64" si="53">SUM(E65:E66)</f>
        <v>0</v>
      </c>
      <c r="F64" s="22">
        <f t="shared" si="53"/>
        <v>0</v>
      </c>
      <c r="G64" s="23">
        <f t="shared" si="53"/>
        <v>0</v>
      </c>
      <c r="H64" s="22">
        <f t="shared" si="53"/>
        <v>0</v>
      </c>
      <c r="I64" s="23">
        <f t="shared" si="53"/>
        <v>0</v>
      </c>
      <c r="J64" s="22">
        <f t="shared" si="53"/>
        <v>0</v>
      </c>
      <c r="K64" s="23">
        <f t="shared" si="53"/>
        <v>0</v>
      </c>
      <c r="L64" s="22">
        <f t="shared" si="53"/>
        <v>0</v>
      </c>
    </row>
    <row r="65" spans="1:12" ht="38.25" x14ac:dyDescent="0.25">
      <c r="A65" s="67" t="s">
        <v>179</v>
      </c>
      <c r="B65" s="25" t="s">
        <v>188</v>
      </c>
      <c r="C65" s="22">
        <f t="shared" si="51"/>
        <v>1158310</v>
      </c>
      <c r="D65" s="68">
        <v>1158310</v>
      </c>
      <c r="E65" s="11">
        <v>0</v>
      </c>
      <c r="F65" s="66">
        <v>0</v>
      </c>
      <c r="G65" s="12">
        <v>0</v>
      </c>
      <c r="H65" s="66">
        <v>0</v>
      </c>
      <c r="I65" s="12">
        <v>0</v>
      </c>
      <c r="J65" s="66">
        <v>0</v>
      </c>
      <c r="K65" s="12">
        <v>0</v>
      </c>
      <c r="L65" s="66">
        <v>0</v>
      </c>
    </row>
    <row r="66" spans="1:12" ht="25.5" x14ac:dyDescent="0.25">
      <c r="A66" s="67" t="s">
        <v>180</v>
      </c>
      <c r="B66" s="25" t="s">
        <v>187</v>
      </c>
      <c r="C66" s="22">
        <f t="shared" si="51"/>
        <v>535784</v>
      </c>
      <c r="D66" s="68">
        <v>535784</v>
      </c>
      <c r="E66" s="11">
        <v>0</v>
      </c>
      <c r="F66" s="66">
        <v>0</v>
      </c>
      <c r="G66" s="11">
        <v>0</v>
      </c>
      <c r="H66" s="66">
        <v>0</v>
      </c>
      <c r="I66" s="11">
        <v>0</v>
      </c>
      <c r="J66" s="66">
        <v>0</v>
      </c>
      <c r="K66" s="11">
        <v>0</v>
      </c>
      <c r="L66" s="66">
        <v>0</v>
      </c>
    </row>
    <row r="67" spans="1:12" x14ac:dyDescent="0.25">
      <c r="A67" s="62" t="s">
        <v>487</v>
      </c>
      <c r="B67" s="63" t="s">
        <v>185</v>
      </c>
      <c r="C67" s="26">
        <f>SUM(D67:L67)</f>
        <v>636420</v>
      </c>
      <c r="D67" s="26">
        <f>D68</f>
        <v>636420</v>
      </c>
      <c r="E67" s="31">
        <f t="shared" ref="E67" si="54">E68</f>
        <v>0</v>
      </c>
      <c r="F67" s="26">
        <f t="shared" ref="F67" si="55">F68</f>
        <v>0</v>
      </c>
      <c r="G67" s="31">
        <f t="shared" ref="G67" si="56">G68</f>
        <v>0</v>
      </c>
      <c r="H67" s="26">
        <f t="shared" ref="H67" si="57">H68</f>
        <v>0</v>
      </c>
      <c r="I67" s="31">
        <f t="shared" ref="I67" si="58">I68</f>
        <v>0</v>
      </c>
      <c r="J67" s="26">
        <f t="shared" ref="J67" si="59">J68</f>
        <v>0</v>
      </c>
      <c r="K67" s="31">
        <f t="shared" ref="K67" si="60">K68</f>
        <v>0</v>
      </c>
      <c r="L67" s="26">
        <f t="shared" ref="L67" si="61">L68</f>
        <v>0</v>
      </c>
    </row>
    <row r="68" spans="1:12" x14ac:dyDescent="0.25">
      <c r="A68" s="67" t="s">
        <v>181</v>
      </c>
      <c r="B68" s="25" t="s">
        <v>185</v>
      </c>
      <c r="C68" s="22">
        <f t="shared" si="51"/>
        <v>636420</v>
      </c>
      <c r="D68" s="68">
        <v>636420</v>
      </c>
      <c r="E68" s="11">
        <v>0</v>
      </c>
      <c r="F68" s="66">
        <v>0</v>
      </c>
      <c r="G68" s="11">
        <v>0</v>
      </c>
      <c r="H68" s="66">
        <v>0</v>
      </c>
      <c r="I68" s="11">
        <v>0</v>
      </c>
      <c r="J68" s="66">
        <v>0</v>
      </c>
      <c r="K68" s="11">
        <v>0</v>
      </c>
      <c r="L68" s="66">
        <v>0</v>
      </c>
    </row>
    <row r="69" spans="1:12" ht="25.5" x14ac:dyDescent="0.25">
      <c r="A69" s="70" t="s">
        <v>182</v>
      </c>
      <c r="B69" s="71" t="s">
        <v>488</v>
      </c>
      <c r="C69" s="26">
        <f>SUM(D69:L69)</f>
        <v>2392677</v>
      </c>
      <c r="D69" s="26">
        <f t="shared" ref="D69:L69" si="62">SUM(D70:D71)</f>
        <v>1002980</v>
      </c>
      <c r="E69" s="31">
        <f t="shared" si="62"/>
        <v>0</v>
      </c>
      <c r="F69" s="26">
        <f t="shared" si="62"/>
        <v>0</v>
      </c>
      <c r="G69" s="31">
        <f t="shared" si="62"/>
        <v>0</v>
      </c>
      <c r="H69" s="26">
        <f t="shared" si="62"/>
        <v>1357875</v>
      </c>
      <c r="I69" s="31">
        <f t="shared" si="62"/>
        <v>0</v>
      </c>
      <c r="J69" s="26">
        <f t="shared" si="62"/>
        <v>0</v>
      </c>
      <c r="K69" s="31">
        <f t="shared" si="62"/>
        <v>0</v>
      </c>
      <c r="L69" s="26">
        <f t="shared" si="62"/>
        <v>31822</v>
      </c>
    </row>
    <row r="70" spans="1:12" ht="38.25" x14ac:dyDescent="0.25">
      <c r="A70" s="64" t="s">
        <v>789</v>
      </c>
      <c r="B70" s="65" t="s">
        <v>821</v>
      </c>
      <c r="C70" s="26">
        <f t="shared" ref="C70" si="63">SUM(D70:L70)</f>
        <v>56829</v>
      </c>
      <c r="D70" s="66">
        <v>25007</v>
      </c>
      <c r="E70" s="11">
        <v>0</v>
      </c>
      <c r="F70" s="66">
        <v>0</v>
      </c>
      <c r="G70" s="11">
        <v>0</v>
      </c>
      <c r="H70" s="66">
        <v>0</v>
      </c>
      <c r="I70" s="11">
        <v>0</v>
      </c>
      <c r="J70" s="66">
        <v>0</v>
      </c>
      <c r="K70" s="11">
        <v>0</v>
      </c>
      <c r="L70" s="66">
        <v>31822</v>
      </c>
    </row>
    <row r="71" spans="1:12" ht="51" x14ac:dyDescent="0.25">
      <c r="A71" s="64" t="s">
        <v>391</v>
      </c>
      <c r="B71" s="65" t="s">
        <v>392</v>
      </c>
      <c r="C71" s="26">
        <f t="shared" si="51"/>
        <v>2335848</v>
      </c>
      <c r="D71" s="66">
        <v>977973</v>
      </c>
      <c r="E71" s="11">
        <v>0</v>
      </c>
      <c r="F71" s="66">
        <v>0</v>
      </c>
      <c r="G71" s="11">
        <v>0</v>
      </c>
      <c r="H71" s="66">
        <v>1357875</v>
      </c>
      <c r="I71" s="11">
        <v>0</v>
      </c>
      <c r="J71" s="66">
        <v>0</v>
      </c>
      <c r="K71" s="11">
        <v>0</v>
      </c>
      <c r="L71" s="66">
        <v>0</v>
      </c>
    </row>
    <row r="72" spans="1:12" ht="25.5" x14ac:dyDescent="0.25">
      <c r="A72" s="62" t="s">
        <v>183</v>
      </c>
      <c r="B72" s="63" t="s">
        <v>186</v>
      </c>
      <c r="C72" s="22">
        <f t="shared" si="51"/>
        <v>324359</v>
      </c>
      <c r="D72" s="22">
        <f>SUM(D73:D74)</f>
        <v>0</v>
      </c>
      <c r="E72" s="31">
        <f t="shared" ref="E72:L72" si="64">SUM(E73:E74)</f>
        <v>0</v>
      </c>
      <c r="F72" s="26">
        <f t="shared" si="64"/>
        <v>0</v>
      </c>
      <c r="G72" s="31">
        <f t="shared" si="64"/>
        <v>0</v>
      </c>
      <c r="H72" s="26">
        <f t="shared" si="64"/>
        <v>324359</v>
      </c>
      <c r="I72" s="31">
        <f t="shared" si="64"/>
        <v>0</v>
      </c>
      <c r="J72" s="26">
        <f t="shared" si="64"/>
        <v>0</v>
      </c>
      <c r="K72" s="31">
        <f t="shared" si="64"/>
        <v>0</v>
      </c>
      <c r="L72" s="26">
        <f t="shared" si="64"/>
        <v>0</v>
      </c>
    </row>
    <row r="73" spans="1:12" ht="76.5" x14ac:dyDescent="0.25">
      <c r="A73" s="67" t="s">
        <v>376</v>
      </c>
      <c r="B73" s="25" t="s">
        <v>408</v>
      </c>
      <c r="C73" s="105">
        <f t="shared" ref="C73" si="65">SUM(D73:L73)</f>
        <v>324359</v>
      </c>
      <c r="D73" s="106">
        <v>0</v>
      </c>
      <c r="E73" s="107">
        <v>0</v>
      </c>
      <c r="F73" s="66">
        <v>0</v>
      </c>
      <c r="G73" s="107">
        <v>0</v>
      </c>
      <c r="H73" s="66">
        <v>324359</v>
      </c>
      <c r="I73" s="107">
        <v>0</v>
      </c>
      <c r="J73" s="66">
        <v>0</v>
      </c>
      <c r="K73" s="107">
        <v>0</v>
      </c>
      <c r="L73" s="73">
        <v>0</v>
      </c>
    </row>
    <row r="74" spans="1:12" hidden="1" x14ac:dyDescent="0.25">
      <c r="A74" s="57"/>
      <c r="B74" s="58"/>
      <c r="C74" s="83">
        <f t="shared" si="51"/>
        <v>0</v>
      </c>
      <c r="D74" s="84"/>
      <c r="E74" s="108"/>
      <c r="F74" s="82"/>
      <c r="G74" s="108"/>
      <c r="H74" s="82"/>
      <c r="I74" s="108"/>
      <c r="J74" s="82"/>
      <c r="K74" s="108"/>
      <c r="L74" s="84"/>
    </row>
    <row r="75" spans="1:12" ht="25.5" x14ac:dyDescent="0.25">
      <c r="A75" s="94" t="s">
        <v>110</v>
      </c>
      <c r="B75" s="95" t="s">
        <v>119</v>
      </c>
      <c r="C75" s="102">
        <f>SUM(D75:L75)</f>
        <v>5150781</v>
      </c>
      <c r="D75" s="102">
        <f>D76+D78+D81</f>
        <v>4721684</v>
      </c>
      <c r="E75" s="103">
        <f t="shared" ref="E75:L75" si="66">E76+E78+E81</f>
        <v>0</v>
      </c>
      <c r="F75" s="102">
        <f t="shared" si="66"/>
        <v>80690</v>
      </c>
      <c r="G75" s="103">
        <f t="shared" si="66"/>
        <v>0</v>
      </c>
      <c r="H75" s="102">
        <f t="shared" si="66"/>
        <v>320357</v>
      </c>
      <c r="I75" s="103">
        <f t="shared" si="66"/>
        <v>0</v>
      </c>
      <c r="J75" s="102">
        <f t="shared" si="66"/>
        <v>0</v>
      </c>
      <c r="K75" s="103">
        <f t="shared" si="66"/>
        <v>0</v>
      </c>
      <c r="L75" s="102">
        <f t="shared" si="66"/>
        <v>28050</v>
      </c>
    </row>
    <row r="76" spans="1:12" x14ac:dyDescent="0.25">
      <c r="A76" s="62" t="s">
        <v>489</v>
      </c>
      <c r="B76" s="63" t="s">
        <v>490</v>
      </c>
      <c r="C76" s="26">
        <f t="shared" ref="C76" si="67">SUM(D76:L76)</f>
        <v>703281</v>
      </c>
      <c r="D76" s="26">
        <f>D77</f>
        <v>703281</v>
      </c>
      <c r="E76" s="31">
        <f t="shared" ref="E76:L76" si="68">E77</f>
        <v>0</v>
      </c>
      <c r="F76" s="26">
        <f t="shared" si="68"/>
        <v>0</v>
      </c>
      <c r="G76" s="31">
        <f t="shared" si="68"/>
        <v>0</v>
      </c>
      <c r="H76" s="26">
        <f t="shared" si="68"/>
        <v>0</v>
      </c>
      <c r="I76" s="31">
        <f t="shared" si="68"/>
        <v>0</v>
      </c>
      <c r="J76" s="26">
        <f t="shared" si="68"/>
        <v>0</v>
      </c>
      <c r="K76" s="31">
        <f t="shared" si="68"/>
        <v>0</v>
      </c>
      <c r="L76" s="26">
        <f t="shared" si="68"/>
        <v>0</v>
      </c>
    </row>
    <row r="77" spans="1:12" ht="25.5" x14ac:dyDescent="0.25">
      <c r="A77" s="67" t="s">
        <v>189</v>
      </c>
      <c r="B77" s="25" t="s">
        <v>199</v>
      </c>
      <c r="C77" s="22">
        <f>SUM(D77:L77)</f>
        <v>703281</v>
      </c>
      <c r="D77" s="68">
        <v>703281</v>
      </c>
      <c r="E77" s="11">
        <v>0</v>
      </c>
      <c r="F77" s="66">
        <v>0</v>
      </c>
      <c r="G77" s="11">
        <v>0</v>
      </c>
      <c r="H77" s="66">
        <v>0</v>
      </c>
      <c r="I77" s="11">
        <v>0</v>
      </c>
      <c r="J77" s="66">
        <v>0</v>
      </c>
      <c r="K77" s="12">
        <v>0</v>
      </c>
      <c r="L77" s="66">
        <v>0</v>
      </c>
    </row>
    <row r="78" spans="1:12" x14ac:dyDescent="0.25">
      <c r="A78" s="62" t="s">
        <v>491</v>
      </c>
      <c r="B78" s="63" t="s">
        <v>197</v>
      </c>
      <c r="C78" s="26">
        <f t="shared" ref="C78" si="69">SUM(D78:L78)</f>
        <v>1630764</v>
      </c>
      <c r="D78" s="26">
        <f>D79+D80</f>
        <v>1310407</v>
      </c>
      <c r="E78" s="31">
        <f t="shared" ref="E78:L78" si="70">E79+E80</f>
        <v>0</v>
      </c>
      <c r="F78" s="26">
        <f t="shared" si="70"/>
        <v>0</v>
      </c>
      <c r="G78" s="31">
        <f t="shared" si="70"/>
        <v>0</v>
      </c>
      <c r="H78" s="26">
        <f t="shared" si="70"/>
        <v>320357</v>
      </c>
      <c r="I78" s="31">
        <f t="shared" si="70"/>
        <v>0</v>
      </c>
      <c r="J78" s="26">
        <f t="shared" si="70"/>
        <v>0</v>
      </c>
      <c r="K78" s="31">
        <f t="shared" si="70"/>
        <v>0</v>
      </c>
      <c r="L78" s="26">
        <f t="shared" si="70"/>
        <v>0</v>
      </c>
    </row>
    <row r="79" spans="1:12" x14ac:dyDescent="0.25">
      <c r="A79" s="67" t="s">
        <v>190</v>
      </c>
      <c r="B79" s="25" t="s">
        <v>197</v>
      </c>
      <c r="C79" s="22">
        <f>SUM(D79:L79)</f>
        <v>693609</v>
      </c>
      <c r="D79" s="68">
        <v>693609</v>
      </c>
      <c r="E79" s="11">
        <v>0</v>
      </c>
      <c r="F79" s="66">
        <v>0</v>
      </c>
      <c r="G79" s="11">
        <v>0</v>
      </c>
      <c r="H79" s="66">
        <v>0</v>
      </c>
      <c r="I79" s="11">
        <v>0</v>
      </c>
      <c r="J79" s="66">
        <v>0</v>
      </c>
      <c r="K79" s="12">
        <v>0</v>
      </c>
      <c r="L79" s="66">
        <v>0</v>
      </c>
    </row>
    <row r="80" spans="1:12" ht="64.5" customHeight="1" x14ac:dyDescent="0.25">
      <c r="A80" s="67" t="s">
        <v>492</v>
      </c>
      <c r="B80" s="25" t="s">
        <v>493</v>
      </c>
      <c r="C80" s="22">
        <f>SUM(D80:L80)</f>
        <v>937155</v>
      </c>
      <c r="D80" s="68">
        <v>616798</v>
      </c>
      <c r="E80" s="11">
        <v>0</v>
      </c>
      <c r="F80" s="66">
        <v>0</v>
      </c>
      <c r="G80" s="11">
        <v>0</v>
      </c>
      <c r="H80" s="66">
        <v>320357</v>
      </c>
      <c r="I80" s="11">
        <v>0</v>
      </c>
      <c r="J80" s="66">
        <v>0</v>
      </c>
      <c r="K80" s="12">
        <v>0</v>
      </c>
      <c r="L80" s="66">
        <v>0</v>
      </c>
    </row>
    <row r="81" spans="1:12" ht="27.75" customHeight="1" x14ac:dyDescent="0.25">
      <c r="A81" s="62" t="s">
        <v>191</v>
      </c>
      <c r="B81" s="63" t="s">
        <v>494</v>
      </c>
      <c r="C81" s="22">
        <f>SUM(D81:L81)</f>
        <v>2816736</v>
      </c>
      <c r="D81" s="22">
        <f>SUM(D82:D88)</f>
        <v>2707996</v>
      </c>
      <c r="E81" s="31">
        <f t="shared" ref="E81:L81" si="71">SUM(E82:E88)</f>
        <v>0</v>
      </c>
      <c r="F81" s="26">
        <f t="shared" si="71"/>
        <v>80690</v>
      </c>
      <c r="G81" s="31">
        <f t="shared" si="71"/>
        <v>0</v>
      </c>
      <c r="H81" s="26">
        <f t="shared" si="71"/>
        <v>0</v>
      </c>
      <c r="I81" s="31">
        <f t="shared" si="71"/>
        <v>0</v>
      </c>
      <c r="J81" s="22">
        <f t="shared" si="71"/>
        <v>0</v>
      </c>
      <c r="K81" s="23">
        <f t="shared" si="71"/>
        <v>0</v>
      </c>
      <c r="L81" s="22">
        <f t="shared" si="71"/>
        <v>28050</v>
      </c>
    </row>
    <row r="82" spans="1:12" ht="25.5" x14ac:dyDescent="0.25">
      <c r="A82" s="67" t="s">
        <v>192</v>
      </c>
      <c r="B82" s="25" t="s">
        <v>348</v>
      </c>
      <c r="C82" s="22">
        <f>SUM(D82:L82)</f>
        <v>970043</v>
      </c>
      <c r="D82" s="68">
        <v>890901</v>
      </c>
      <c r="E82" s="11">
        <v>0</v>
      </c>
      <c r="F82" s="66">
        <v>77635</v>
      </c>
      <c r="G82" s="11">
        <v>0</v>
      </c>
      <c r="H82" s="66">
        <v>0</v>
      </c>
      <c r="I82" s="11">
        <v>0</v>
      </c>
      <c r="J82" s="66">
        <v>0</v>
      </c>
      <c r="K82" s="12">
        <v>0</v>
      </c>
      <c r="L82" s="68">
        <v>1507</v>
      </c>
    </row>
    <row r="83" spans="1:12" ht="38.25" x14ac:dyDescent="0.25">
      <c r="A83" s="67" t="s">
        <v>193</v>
      </c>
      <c r="B83" s="25" t="s">
        <v>324</v>
      </c>
      <c r="C83" s="22">
        <f t="shared" ref="C83:C86" si="72">SUM(D83:L83)</f>
        <v>1271561</v>
      </c>
      <c r="D83" s="68">
        <v>1271561</v>
      </c>
      <c r="E83" s="11">
        <v>0</v>
      </c>
      <c r="F83" s="66">
        <v>0</v>
      </c>
      <c r="G83" s="11">
        <v>0</v>
      </c>
      <c r="H83" s="66">
        <v>0</v>
      </c>
      <c r="I83" s="11">
        <v>0</v>
      </c>
      <c r="J83" s="66">
        <v>0</v>
      </c>
      <c r="K83" s="12">
        <v>0</v>
      </c>
      <c r="L83" s="66">
        <v>0</v>
      </c>
    </row>
    <row r="84" spans="1:12" ht="25.5" x14ac:dyDescent="0.25">
      <c r="A84" s="67" t="s">
        <v>194</v>
      </c>
      <c r="B84" s="25" t="s">
        <v>495</v>
      </c>
      <c r="C84" s="22">
        <f t="shared" si="72"/>
        <v>222958</v>
      </c>
      <c r="D84" s="68">
        <v>222958</v>
      </c>
      <c r="E84" s="11">
        <v>0</v>
      </c>
      <c r="F84" s="66">
        <v>0</v>
      </c>
      <c r="G84" s="11">
        <v>0</v>
      </c>
      <c r="H84" s="66">
        <v>0</v>
      </c>
      <c r="I84" s="11">
        <v>0</v>
      </c>
      <c r="J84" s="66">
        <v>0</v>
      </c>
      <c r="K84" s="12">
        <v>0</v>
      </c>
      <c r="L84" s="66">
        <v>0</v>
      </c>
    </row>
    <row r="85" spans="1:12" ht="38.25" x14ac:dyDescent="0.25">
      <c r="A85" s="67" t="s">
        <v>195</v>
      </c>
      <c r="B85" s="25" t="s">
        <v>198</v>
      </c>
      <c r="C85" s="22">
        <f t="shared" si="72"/>
        <v>318200</v>
      </c>
      <c r="D85" s="68">
        <v>297853</v>
      </c>
      <c r="E85" s="11">
        <v>0</v>
      </c>
      <c r="F85" s="66">
        <v>0</v>
      </c>
      <c r="G85" s="11">
        <v>0</v>
      </c>
      <c r="H85" s="66">
        <v>0</v>
      </c>
      <c r="I85" s="11">
        <v>0</v>
      </c>
      <c r="J85" s="66">
        <v>0</v>
      </c>
      <c r="K85" s="12">
        <v>0</v>
      </c>
      <c r="L85" s="68">
        <v>20347</v>
      </c>
    </row>
    <row r="86" spans="1:12" ht="38.25" x14ac:dyDescent="0.25">
      <c r="A86" s="67" t="s">
        <v>196</v>
      </c>
      <c r="B86" s="25" t="s">
        <v>325</v>
      </c>
      <c r="C86" s="22">
        <f t="shared" si="72"/>
        <v>9500</v>
      </c>
      <c r="D86" s="68">
        <v>9500</v>
      </c>
      <c r="E86" s="11">
        <v>0</v>
      </c>
      <c r="F86" s="66">
        <v>0</v>
      </c>
      <c r="G86" s="11">
        <v>0</v>
      </c>
      <c r="H86" s="66">
        <v>0</v>
      </c>
      <c r="I86" s="11">
        <v>0</v>
      </c>
      <c r="J86" s="66">
        <v>0</v>
      </c>
      <c r="K86" s="12">
        <v>0</v>
      </c>
      <c r="L86" s="66">
        <v>0</v>
      </c>
    </row>
    <row r="87" spans="1:12" ht="63.75" x14ac:dyDescent="0.25">
      <c r="A87" s="67" t="s">
        <v>339</v>
      </c>
      <c r="B87" s="25" t="s">
        <v>340</v>
      </c>
      <c r="C87" s="22">
        <f t="shared" ref="C87:C88" si="73">SUM(D87:L87)</f>
        <v>15000</v>
      </c>
      <c r="D87" s="68">
        <v>15000</v>
      </c>
      <c r="E87" s="11">
        <v>0</v>
      </c>
      <c r="F87" s="66">
        <v>0</v>
      </c>
      <c r="G87" s="11">
        <v>0</v>
      </c>
      <c r="H87" s="66">
        <v>0</v>
      </c>
      <c r="I87" s="12">
        <v>0</v>
      </c>
      <c r="J87" s="66">
        <v>0</v>
      </c>
      <c r="K87" s="12">
        <v>0</v>
      </c>
      <c r="L87" s="66">
        <v>0</v>
      </c>
    </row>
    <row r="88" spans="1:12" ht="51" x14ac:dyDescent="0.25">
      <c r="A88" s="67" t="s">
        <v>382</v>
      </c>
      <c r="B88" s="25" t="s">
        <v>411</v>
      </c>
      <c r="C88" s="22">
        <f t="shared" si="73"/>
        <v>9474</v>
      </c>
      <c r="D88" s="68">
        <v>223</v>
      </c>
      <c r="E88" s="11">
        <v>0</v>
      </c>
      <c r="F88" s="66">
        <v>3055</v>
      </c>
      <c r="G88" s="11">
        <v>0</v>
      </c>
      <c r="H88" s="66">
        <v>0</v>
      </c>
      <c r="I88" s="12">
        <v>0</v>
      </c>
      <c r="J88" s="66">
        <v>0</v>
      </c>
      <c r="K88" s="12">
        <v>0</v>
      </c>
      <c r="L88" s="68">
        <v>6196</v>
      </c>
    </row>
    <row r="89" spans="1:12" x14ac:dyDescent="0.25">
      <c r="A89" s="94" t="s">
        <v>111</v>
      </c>
      <c r="B89" s="95" t="s">
        <v>120</v>
      </c>
      <c r="C89" s="102">
        <f>SUM(D89:L89)</f>
        <v>226240</v>
      </c>
      <c r="D89" s="102">
        <f t="shared" ref="D89:K89" si="74">SUM(D90:D95)</f>
        <v>132250</v>
      </c>
      <c r="E89" s="103">
        <f t="shared" si="74"/>
        <v>0</v>
      </c>
      <c r="F89" s="102">
        <f t="shared" si="74"/>
        <v>0</v>
      </c>
      <c r="G89" s="103">
        <f t="shared" si="74"/>
        <v>0</v>
      </c>
      <c r="H89" s="102">
        <f t="shared" si="74"/>
        <v>63802</v>
      </c>
      <c r="I89" s="103">
        <f t="shared" si="74"/>
        <v>0</v>
      </c>
      <c r="J89" s="102">
        <f t="shared" si="74"/>
        <v>0</v>
      </c>
      <c r="K89" s="103">
        <f t="shared" si="74"/>
        <v>0</v>
      </c>
      <c r="L89" s="102">
        <f>SUM(L90:L95)</f>
        <v>30188</v>
      </c>
    </row>
    <row r="90" spans="1:12" x14ac:dyDescent="0.25">
      <c r="A90" s="67" t="s">
        <v>200</v>
      </c>
      <c r="B90" s="25" t="s">
        <v>204</v>
      </c>
      <c r="C90" s="22">
        <f>SUM(D90:L90)</f>
        <v>67600</v>
      </c>
      <c r="D90" s="68">
        <v>67600</v>
      </c>
      <c r="E90" s="11">
        <v>0</v>
      </c>
      <c r="F90" s="66">
        <v>0</v>
      </c>
      <c r="G90" s="11">
        <v>0</v>
      </c>
      <c r="H90" s="66">
        <v>0</v>
      </c>
      <c r="I90" s="11">
        <v>0</v>
      </c>
      <c r="J90" s="66">
        <v>0</v>
      </c>
      <c r="K90" s="11">
        <v>0</v>
      </c>
      <c r="L90" s="66">
        <v>0</v>
      </c>
    </row>
    <row r="91" spans="1:12" ht="25.5" x14ac:dyDescent="0.25">
      <c r="A91" s="67" t="s">
        <v>201</v>
      </c>
      <c r="B91" s="25" t="s">
        <v>205</v>
      </c>
      <c r="C91" s="22">
        <f t="shared" ref="C91:C95" si="75">SUM(D91:L91)</f>
        <v>12400</v>
      </c>
      <c r="D91" s="68">
        <v>12400</v>
      </c>
      <c r="E91" s="11">
        <v>0</v>
      </c>
      <c r="F91" s="66">
        <v>0</v>
      </c>
      <c r="G91" s="11">
        <v>0</v>
      </c>
      <c r="H91" s="66">
        <v>0</v>
      </c>
      <c r="I91" s="11">
        <v>0</v>
      </c>
      <c r="J91" s="66">
        <v>0</v>
      </c>
      <c r="K91" s="11">
        <v>0</v>
      </c>
      <c r="L91" s="66">
        <v>0</v>
      </c>
    </row>
    <row r="92" spans="1:12" x14ac:dyDescent="0.25">
      <c r="A92" s="67" t="s">
        <v>202</v>
      </c>
      <c r="B92" s="25" t="s">
        <v>206</v>
      </c>
      <c r="C92" s="22">
        <f t="shared" si="75"/>
        <v>37500</v>
      </c>
      <c r="D92" s="68">
        <v>37500</v>
      </c>
      <c r="E92" s="11">
        <v>0</v>
      </c>
      <c r="F92" s="66">
        <v>0</v>
      </c>
      <c r="G92" s="11">
        <v>0</v>
      </c>
      <c r="H92" s="66">
        <v>0</v>
      </c>
      <c r="I92" s="11">
        <v>0</v>
      </c>
      <c r="J92" s="66">
        <v>0</v>
      </c>
      <c r="K92" s="11">
        <v>0</v>
      </c>
      <c r="L92" s="66">
        <v>0</v>
      </c>
    </row>
    <row r="93" spans="1:12" x14ac:dyDescent="0.25">
      <c r="A93" s="67" t="s">
        <v>203</v>
      </c>
      <c r="B93" s="25" t="s">
        <v>207</v>
      </c>
      <c r="C93" s="22">
        <f t="shared" si="75"/>
        <v>4750</v>
      </c>
      <c r="D93" s="68">
        <v>4750</v>
      </c>
      <c r="E93" s="11">
        <v>0</v>
      </c>
      <c r="F93" s="66">
        <v>0</v>
      </c>
      <c r="G93" s="11">
        <v>0</v>
      </c>
      <c r="H93" s="66">
        <v>0</v>
      </c>
      <c r="I93" s="11">
        <v>0</v>
      </c>
      <c r="J93" s="66">
        <v>0</v>
      </c>
      <c r="K93" s="11">
        <v>0</v>
      </c>
      <c r="L93" s="66">
        <v>0</v>
      </c>
    </row>
    <row r="94" spans="1:12" ht="54" customHeight="1" x14ac:dyDescent="0.25">
      <c r="A94" s="67" t="s">
        <v>371</v>
      </c>
      <c r="B94" s="25" t="s">
        <v>404</v>
      </c>
      <c r="C94" s="22">
        <f t="shared" si="75"/>
        <v>93990</v>
      </c>
      <c r="D94" s="68">
        <v>0</v>
      </c>
      <c r="E94" s="11">
        <v>0</v>
      </c>
      <c r="F94" s="66">
        <v>0</v>
      </c>
      <c r="G94" s="11">
        <v>0</v>
      </c>
      <c r="H94" s="66">
        <v>63802</v>
      </c>
      <c r="I94" s="11">
        <v>0</v>
      </c>
      <c r="J94" s="66">
        <v>0</v>
      </c>
      <c r="K94" s="11">
        <v>0</v>
      </c>
      <c r="L94" s="68">
        <v>30188</v>
      </c>
    </row>
    <row r="95" spans="1:12" ht="25.5" x14ac:dyDescent="0.25">
      <c r="A95" s="67" t="s">
        <v>416</v>
      </c>
      <c r="B95" s="25" t="s">
        <v>421</v>
      </c>
      <c r="C95" s="22">
        <f t="shared" si="75"/>
        <v>10000</v>
      </c>
      <c r="D95" s="68">
        <v>10000</v>
      </c>
      <c r="E95" s="11">
        <v>0</v>
      </c>
      <c r="F95" s="66">
        <v>0</v>
      </c>
      <c r="G95" s="11">
        <v>0</v>
      </c>
      <c r="H95" s="66">
        <v>0</v>
      </c>
      <c r="I95" s="11">
        <v>0</v>
      </c>
      <c r="J95" s="66">
        <v>0</v>
      </c>
      <c r="K95" s="11">
        <v>0</v>
      </c>
      <c r="L95" s="68">
        <v>0</v>
      </c>
    </row>
    <row r="96" spans="1:12" x14ac:dyDescent="0.25">
      <c r="A96" s="94" t="s">
        <v>24</v>
      </c>
      <c r="B96" s="95" t="s">
        <v>121</v>
      </c>
      <c r="C96" s="102">
        <f>SUM(D96:L96)</f>
        <v>6923356</v>
      </c>
      <c r="D96" s="102">
        <f>D97+D104+D122+D124</f>
        <v>6124763</v>
      </c>
      <c r="E96" s="103">
        <f t="shared" ref="E96:L96" si="76">E97+E104+E122+E124</f>
        <v>5500</v>
      </c>
      <c r="F96" s="102">
        <f t="shared" si="76"/>
        <v>590658</v>
      </c>
      <c r="G96" s="103">
        <f t="shared" si="76"/>
        <v>0</v>
      </c>
      <c r="H96" s="102">
        <f t="shared" si="76"/>
        <v>112533</v>
      </c>
      <c r="I96" s="103">
        <f t="shared" si="76"/>
        <v>12916</v>
      </c>
      <c r="J96" s="102">
        <f t="shared" si="76"/>
        <v>19764</v>
      </c>
      <c r="K96" s="103">
        <f t="shared" si="76"/>
        <v>0</v>
      </c>
      <c r="L96" s="102">
        <f t="shared" si="76"/>
        <v>57222</v>
      </c>
    </row>
    <row r="97" spans="1:12" x14ac:dyDescent="0.25">
      <c r="A97" s="62" t="s">
        <v>208</v>
      </c>
      <c r="B97" s="63" t="s">
        <v>233</v>
      </c>
      <c r="C97" s="22">
        <f t="shared" ref="C97:C125" si="77">SUM(D97:L97)</f>
        <v>1295086</v>
      </c>
      <c r="D97" s="22">
        <f>SUM(D98:D103)</f>
        <v>1268026</v>
      </c>
      <c r="E97" s="23">
        <f t="shared" ref="E97:J97" si="78">SUM(E98:E103)</f>
        <v>0</v>
      </c>
      <c r="F97" s="22">
        <f t="shared" si="78"/>
        <v>26148</v>
      </c>
      <c r="G97" s="23">
        <f t="shared" si="78"/>
        <v>0</v>
      </c>
      <c r="H97" s="22">
        <f t="shared" si="78"/>
        <v>0</v>
      </c>
      <c r="I97" s="23">
        <f t="shared" si="78"/>
        <v>0</v>
      </c>
      <c r="J97" s="22">
        <f t="shared" si="78"/>
        <v>0</v>
      </c>
      <c r="K97" s="23">
        <f t="shared" ref="K97" si="79">SUM(K98:K101)</f>
        <v>0</v>
      </c>
      <c r="L97" s="22">
        <f>SUM(L98:L103)</f>
        <v>912</v>
      </c>
    </row>
    <row r="98" spans="1:12" ht="25.5" x14ac:dyDescent="0.25">
      <c r="A98" s="67" t="s">
        <v>209</v>
      </c>
      <c r="B98" s="25" t="s">
        <v>349</v>
      </c>
      <c r="C98" s="22">
        <f t="shared" si="77"/>
        <v>644686</v>
      </c>
      <c r="D98" s="66">
        <v>588626</v>
      </c>
      <c r="E98" s="11">
        <v>29000</v>
      </c>
      <c r="F98" s="66">
        <v>26148</v>
      </c>
      <c r="G98" s="11">
        <v>0</v>
      </c>
      <c r="H98" s="66">
        <v>0</v>
      </c>
      <c r="I98" s="11">
        <v>0</v>
      </c>
      <c r="J98" s="66">
        <v>0</v>
      </c>
      <c r="K98" s="11">
        <v>0</v>
      </c>
      <c r="L98" s="66">
        <v>912</v>
      </c>
    </row>
    <row r="99" spans="1:12" x14ac:dyDescent="0.25">
      <c r="A99" s="67" t="s">
        <v>210</v>
      </c>
      <c r="B99" s="25" t="s">
        <v>234</v>
      </c>
      <c r="C99" s="22">
        <f t="shared" si="77"/>
        <v>645400</v>
      </c>
      <c r="D99" s="66">
        <v>674400</v>
      </c>
      <c r="E99" s="11">
        <v>-29000</v>
      </c>
      <c r="F99" s="66">
        <v>0</v>
      </c>
      <c r="G99" s="11">
        <v>0</v>
      </c>
      <c r="H99" s="66">
        <v>0</v>
      </c>
      <c r="I99" s="11">
        <v>0</v>
      </c>
      <c r="J99" s="66">
        <v>0</v>
      </c>
      <c r="K99" s="11">
        <v>0</v>
      </c>
      <c r="L99" s="66">
        <v>0</v>
      </c>
    </row>
    <row r="100" spans="1:12" ht="25.5" x14ac:dyDescent="0.25">
      <c r="A100" s="67" t="s">
        <v>211</v>
      </c>
      <c r="B100" s="25" t="s">
        <v>496</v>
      </c>
      <c r="C100" s="22">
        <f t="shared" si="77"/>
        <v>5000</v>
      </c>
      <c r="D100" s="66">
        <v>5000</v>
      </c>
      <c r="E100" s="11">
        <v>0</v>
      </c>
      <c r="F100" s="66">
        <v>0</v>
      </c>
      <c r="G100" s="11">
        <v>0</v>
      </c>
      <c r="H100" s="66">
        <v>0</v>
      </c>
      <c r="I100" s="11">
        <v>0</v>
      </c>
      <c r="J100" s="66">
        <v>0</v>
      </c>
      <c r="K100" s="11">
        <v>0</v>
      </c>
      <c r="L100" s="66">
        <v>0</v>
      </c>
    </row>
    <row r="101" spans="1:12" ht="38.25" hidden="1" x14ac:dyDescent="0.25">
      <c r="A101" s="80" t="s">
        <v>414</v>
      </c>
      <c r="B101" s="81" t="s">
        <v>497</v>
      </c>
      <c r="C101" s="79">
        <f t="shared" ref="C101:C102" si="80">SUM(D101:L101)</f>
        <v>0</v>
      </c>
      <c r="D101" s="82"/>
      <c r="E101" s="93"/>
      <c r="F101" s="82"/>
      <c r="G101" s="93"/>
      <c r="H101" s="82"/>
      <c r="I101" s="93"/>
      <c r="J101" s="82"/>
      <c r="K101" s="93"/>
      <c r="L101" s="82"/>
    </row>
    <row r="102" spans="1:12" ht="52.5" hidden="1" customHeight="1" x14ac:dyDescent="0.25">
      <c r="A102" s="67" t="s">
        <v>422</v>
      </c>
      <c r="B102" s="25" t="s">
        <v>516</v>
      </c>
      <c r="C102" s="22">
        <f t="shared" si="80"/>
        <v>0</v>
      </c>
      <c r="D102" s="66"/>
      <c r="E102" s="11"/>
      <c r="F102" s="66"/>
      <c r="G102" s="11"/>
      <c r="H102" s="66"/>
      <c r="I102" s="11"/>
      <c r="J102" s="66"/>
      <c r="K102" s="11"/>
      <c r="L102" s="66"/>
    </row>
    <row r="103" spans="1:12" hidden="1" x14ac:dyDescent="0.25">
      <c r="A103" s="57"/>
      <c r="B103" s="58"/>
      <c r="C103" s="79">
        <f t="shared" si="77"/>
        <v>0</v>
      </c>
      <c r="D103" s="82"/>
      <c r="E103" s="93"/>
      <c r="F103" s="82"/>
      <c r="G103" s="93"/>
      <c r="H103" s="82"/>
      <c r="I103" s="93"/>
      <c r="J103" s="82"/>
      <c r="K103" s="93"/>
      <c r="L103" s="82"/>
    </row>
    <row r="104" spans="1:12" x14ac:dyDescent="0.25">
      <c r="A104" s="62" t="s">
        <v>212</v>
      </c>
      <c r="B104" s="63" t="s">
        <v>235</v>
      </c>
      <c r="C104" s="22">
        <f t="shared" si="77"/>
        <v>5336357</v>
      </c>
      <c r="D104" s="22">
        <f>D105+D109+D111+D114+D118</f>
        <v>4570324</v>
      </c>
      <c r="E104" s="31">
        <f t="shared" ref="E104:L104" si="81">E105+E109+E111+E114+E118</f>
        <v>0</v>
      </c>
      <c r="F104" s="26">
        <f>F105+F109+F111+F114+F118</f>
        <v>564510</v>
      </c>
      <c r="G104" s="31">
        <f t="shared" si="81"/>
        <v>0</v>
      </c>
      <c r="H104" s="26">
        <f t="shared" si="81"/>
        <v>112533</v>
      </c>
      <c r="I104" s="31">
        <f t="shared" si="81"/>
        <v>12916</v>
      </c>
      <c r="J104" s="26">
        <f t="shared" si="81"/>
        <v>19764</v>
      </c>
      <c r="K104" s="31">
        <f t="shared" si="81"/>
        <v>0</v>
      </c>
      <c r="L104" s="26">
        <f t="shared" si="81"/>
        <v>56310</v>
      </c>
    </row>
    <row r="105" spans="1:12" x14ac:dyDescent="0.25">
      <c r="A105" s="62" t="s">
        <v>213</v>
      </c>
      <c r="B105" s="63" t="s">
        <v>236</v>
      </c>
      <c r="C105" s="22">
        <f t="shared" si="77"/>
        <v>906905</v>
      </c>
      <c r="D105" s="22">
        <f t="shared" ref="D105:L105" si="82">SUM(D106:D108)</f>
        <v>779244</v>
      </c>
      <c r="E105" s="31">
        <f t="shared" si="82"/>
        <v>0</v>
      </c>
      <c r="F105" s="26">
        <f t="shared" si="82"/>
        <v>3670</v>
      </c>
      <c r="G105" s="31">
        <f t="shared" si="82"/>
        <v>0</v>
      </c>
      <c r="H105" s="26">
        <f t="shared" si="82"/>
        <v>96653</v>
      </c>
      <c r="I105" s="31">
        <f t="shared" si="82"/>
        <v>132</v>
      </c>
      <c r="J105" s="26">
        <f t="shared" si="82"/>
        <v>19764</v>
      </c>
      <c r="K105" s="31">
        <f t="shared" si="82"/>
        <v>0</v>
      </c>
      <c r="L105" s="22">
        <f t="shared" si="82"/>
        <v>7442</v>
      </c>
    </row>
    <row r="106" spans="1:12" ht="25.5" x14ac:dyDescent="0.25">
      <c r="A106" s="67" t="s">
        <v>214</v>
      </c>
      <c r="B106" s="25" t="s">
        <v>350</v>
      </c>
      <c r="C106" s="22">
        <f t="shared" si="77"/>
        <v>806874</v>
      </c>
      <c r="D106" s="66">
        <v>779244</v>
      </c>
      <c r="E106" s="11">
        <v>0</v>
      </c>
      <c r="F106" s="66">
        <v>3670</v>
      </c>
      <c r="G106" s="11">
        <v>0</v>
      </c>
      <c r="H106" s="66">
        <v>0</v>
      </c>
      <c r="I106" s="11">
        <v>0</v>
      </c>
      <c r="J106" s="66">
        <v>19764</v>
      </c>
      <c r="K106" s="11">
        <v>0</v>
      </c>
      <c r="L106" s="66">
        <v>4196</v>
      </c>
    </row>
    <row r="107" spans="1:12" ht="63.75" x14ac:dyDescent="0.25">
      <c r="A107" s="67" t="s">
        <v>372</v>
      </c>
      <c r="B107" s="25" t="s">
        <v>498</v>
      </c>
      <c r="C107" s="22">
        <f t="shared" ref="C107" si="83">SUM(D107:L107)</f>
        <v>100031</v>
      </c>
      <c r="D107" s="66">
        <v>0</v>
      </c>
      <c r="E107" s="11">
        <v>0</v>
      </c>
      <c r="F107" s="66">
        <v>0</v>
      </c>
      <c r="G107" s="11">
        <v>0</v>
      </c>
      <c r="H107" s="66">
        <v>96653</v>
      </c>
      <c r="I107" s="11">
        <v>132</v>
      </c>
      <c r="J107" s="66">
        <v>0</v>
      </c>
      <c r="K107" s="11">
        <v>0</v>
      </c>
      <c r="L107" s="66">
        <v>3246</v>
      </c>
    </row>
    <row r="108" spans="1:12" hidden="1" x14ac:dyDescent="0.25">
      <c r="A108" s="57"/>
      <c r="B108" s="58"/>
      <c r="C108" s="79">
        <f t="shared" si="77"/>
        <v>0</v>
      </c>
      <c r="D108" s="82"/>
      <c r="E108" s="93"/>
      <c r="F108" s="82"/>
      <c r="G108" s="93"/>
      <c r="H108" s="82"/>
      <c r="I108" s="93"/>
      <c r="J108" s="82"/>
      <c r="K108" s="93"/>
      <c r="L108" s="82"/>
    </row>
    <row r="109" spans="1:12" x14ac:dyDescent="0.25">
      <c r="A109" s="62" t="s">
        <v>215</v>
      </c>
      <c r="B109" s="63" t="s">
        <v>237</v>
      </c>
      <c r="C109" s="22">
        <f t="shared" si="77"/>
        <v>602542</v>
      </c>
      <c r="D109" s="26">
        <f>D110</f>
        <v>566939</v>
      </c>
      <c r="E109" s="31">
        <f t="shared" ref="E109:L109" si="84">E110</f>
        <v>0</v>
      </c>
      <c r="F109" s="26">
        <f t="shared" si="84"/>
        <v>11500</v>
      </c>
      <c r="G109" s="31">
        <f t="shared" si="84"/>
        <v>0</v>
      </c>
      <c r="H109" s="26">
        <f t="shared" si="84"/>
        <v>0</v>
      </c>
      <c r="I109" s="31">
        <f t="shared" si="84"/>
        <v>1200</v>
      </c>
      <c r="J109" s="26">
        <f t="shared" si="84"/>
        <v>0</v>
      </c>
      <c r="K109" s="31">
        <f t="shared" si="84"/>
        <v>0</v>
      </c>
      <c r="L109" s="26">
        <f t="shared" si="84"/>
        <v>22903</v>
      </c>
    </row>
    <row r="110" spans="1:12" ht="38.25" x14ac:dyDescent="0.25">
      <c r="A110" s="67" t="s">
        <v>216</v>
      </c>
      <c r="B110" s="25" t="s">
        <v>351</v>
      </c>
      <c r="C110" s="22">
        <f t="shared" si="77"/>
        <v>602542</v>
      </c>
      <c r="D110" s="66">
        <v>566939</v>
      </c>
      <c r="E110" s="11">
        <v>0</v>
      </c>
      <c r="F110" s="66">
        <v>11500</v>
      </c>
      <c r="G110" s="11">
        <v>0</v>
      </c>
      <c r="H110" s="66">
        <v>0</v>
      </c>
      <c r="I110" s="11">
        <v>1200</v>
      </c>
      <c r="J110" s="66">
        <v>0</v>
      </c>
      <c r="K110" s="11">
        <v>0</v>
      </c>
      <c r="L110" s="66">
        <v>22903</v>
      </c>
    </row>
    <row r="111" spans="1:12" x14ac:dyDescent="0.25">
      <c r="A111" s="62" t="s">
        <v>217</v>
      </c>
      <c r="B111" s="63" t="s">
        <v>238</v>
      </c>
      <c r="C111" s="22">
        <f t="shared" si="77"/>
        <v>2474414</v>
      </c>
      <c r="D111" s="26">
        <f>D112+D113</f>
        <v>1888025</v>
      </c>
      <c r="E111" s="31">
        <f t="shared" ref="E111:L111" si="85">E112+E113</f>
        <v>0</v>
      </c>
      <c r="F111" s="26">
        <f t="shared" si="85"/>
        <v>549340</v>
      </c>
      <c r="G111" s="31">
        <f t="shared" si="85"/>
        <v>0</v>
      </c>
      <c r="H111" s="26">
        <f t="shared" si="85"/>
        <v>0</v>
      </c>
      <c r="I111" s="31">
        <f t="shared" si="85"/>
        <v>11084</v>
      </c>
      <c r="J111" s="26">
        <f t="shared" si="85"/>
        <v>0</v>
      </c>
      <c r="K111" s="31">
        <f t="shared" si="85"/>
        <v>0</v>
      </c>
      <c r="L111" s="26">
        <f t="shared" si="85"/>
        <v>25965</v>
      </c>
    </row>
    <row r="112" spans="1:12" ht="25.5" x14ac:dyDescent="0.25">
      <c r="A112" s="67" t="s">
        <v>218</v>
      </c>
      <c r="B112" s="25" t="s">
        <v>352</v>
      </c>
      <c r="C112" s="22">
        <f t="shared" si="77"/>
        <v>1694317</v>
      </c>
      <c r="D112" s="66">
        <v>1469012</v>
      </c>
      <c r="E112" s="11">
        <v>0</v>
      </c>
      <c r="F112" s="66">
        <v>199340</v>
      </c>
      <c r="G112" s="11">
        <v>0</v>
      </c>
      <c r="H112" s="66">
        <v>0</v>
      </c>
      <c r="I112" s="11">
        <v>0</v>
      </c>
      <c r="J112" s="66">
        <v>0</v>
      </c>
      <c r="K112" s="11">
        <v>0</v>
      </c>
      <c r="L112" s="66">
        <v>25965</v>
      </c>
    </row>
    <row r="113" spans="1:12" x14ac:dyDescent="0.25">
      <c r="A113" s="67" t="s">
        <v>219</v>
      </c>
      <c r="B113" s="25" t="s">
        <v>353</v>
      </c>
      <c r="C113" s="22">
        <f t="shared" si="77"/>
        <v>780097</v>
      </c>
      <c r="D113" s="66">
        <v>419013</v>
      </c>
      <c r="E113" s="11">
        <v>0</v>
      </c>
      <c r="F113" s="66">
        <v>350000</v>
      </c>
      <c r="G113" s="11">
        <v>0</v>
      </c>
      <c r="H113" s="66">
        <v>0</v>
      </c>
      <c r="I113" s="11">
        <v>11084</v>
      </c>
      <c r="J113" s="66">
        <v>0</v>
      </c>
      <c r="K113" s="11">
        <v>0</v>
      </c>
      <c r="L113" s="66">
        <v>0</v>
      </c>
    </row>
    <row r="114" spans="1:12" x14ac:dyDescent="0.25">
      <c r="A114" s="62" t="s">
        <v>220</v>
      </c>
      <c r="B114" s="63" t="s">
        <v>239</v>
      </c>
      <c r="C114" s="22">
        <f t="shared" si="77"/>
        <v>203275</v>
      </c>
      <c r="D114" s="26">
        <f>SUM(D115:D117)</f>
        <v>202775</v>
      </c>
      <c r="E114" s="31">
        <f t="shared" ref="E114:L114" si="86">SUM(E115:E117)</f>
        <v>0</v>
      </c>
      <c r="F114" s="26">
        <f t="shared" si="86"/>
        <v>0</v>
      </c>
      <c r="G114" s="31">
        <f t="shared" si="86"/>
        <v>0</v>
      </c>
      <c r="H114" s="26">
        <f t="shared" si="86"/>
        <v>0</v>
      </c>
      <c r="I114" s="31">
        <f t="shared" si="86"/>
        <v>500</v>
      </c>
      <c r="J114" s="26">
        <f t="shared" si="86"/>
        <v>0</v>
      </c>
      <c r="K114" s="31">
        <f t="shared" si="86"/>
        <v>0</v>
      </c>
      <c r="L114" s="26">
        <f t="shared" si="86"/>
        <v>0</v>
      </c>
    </row>
    <row r="115" spans="1:12" ht="25.5" x14ac:dyDescent="0.25">
      <c r="A115" s="67" t="s">
        <v>221</v>
      </c>
      <c r="B115" s="25" t="s">
        <v>240</v>
      </c>
      <c r="C115" s="22">
        <f t="shared" si="77"/>
        <v>98712</v>
      </c>
      <c r="D115" s="66">
        <v>98212</v>
      </c>
      <c r="E115" s="11">
        <v>0</v>
      </c>
      <c r="F115" s="66">
        <v>0</v>
      </c>
      <c r="G115" s="11">
        <v>0</v>
      </c>
      <c r="H115" s="66">
        <v>0</v>
      </c>
      <c r="I115" s="11">
        <v>500</v>
      </c>
      <c r="J115" s="66">
        <v>0</v>
      </c>
      <c r="K115" s="11">
        <v>0</v>
      </c>
      <c r="L115" s="66">
        <v>0</v>
      </c>
    </row>
    <row r="116" spans="1:12" ht="25.5" x14ac:dyDescent="0.25">
      <c r="A116" s="67" t="s">
        <v>222</v>
      </c>
      <c r="B116" s="25" t="s">
        <v>326</v>
      </c>
      <c r="C116" s="22">
        <f t="shared" si="77"/>
        <v>83253</v>
      </c>
      <c r="D116" s="68">
        <v>83253</v>
      </c>
      <c r="E116" s="11">
        <v>0</v>
      </c>
      <c r="F116" s="66">
        <v>0</v>
      </c>
      <c r="G116" s="11">
        <v>0</v>
      </c>
      <c r="H116" s="66">
        <v>0</v>
      </c>
      <c r="I116" s="11">
        <v>0</v>
      </c>
      <c r="J116" s="66">
        <v>0</v>
      </c>
      <c r="K116" s="11">
        <v>0</v>
      </c>
      <c r="L116" s="68">
        <v>0</v>
      </c>
    </row>
    <row r="117" spans="1:12" ht="25.5" x14ac:dyDescent="0.25">
      <c r="A117" s="67" t="s">
        <v>223</v>
      </c>
      <c r="B117" s="25" t="s">
        <v>241</v>
      </c>
      <c r="C117" s="22">
        <f t="shared" si="77"/>
        <v>21310</v>
      </c>
      <c r="D117" s="68">
        <v>21310</v>
      </c>
      <c r="E117" s="11">
        <v>0</v>
      </c>
      <c r="F117" s="66">
        <v>0</v>
      </c>
      <c r="G117" s="11">
        <v>0</v>
      </c>
      <c r="H117" s="66">
        <v>0</v>
      </c>
      <c r="I117" s="11">
        <v>0</v>
      </c>
      <c r="J117" s="66">
        <v>0</v>
      </c>
      <c r="K117" s="11">
        <v>0</v>
      </c>
      <c r="L117" s="68">
        <v>0</v>
      </c>
    </row>
    <row r="118" spans="1:12" x14ac:dyDescent="0.25">
      <c r="A118" s="62" t="s">
        <v>224</v>
      </c>
      <c r="B118" s="63" t="s">
        <v>242</v>
      </c>
      <c r="C118" s="22">
        <f t="shared" si="77"/>
        <v>1149221</v>
      </c>
      <c r="D118" s="22">
        <f>SUM(D119:D121)</f>
        <v>1133341</v>
      </c>
      <c r="E118" s="31">
        <f t="shared" ref="E118:L118" si="87">SUM(E119:E121)</f>
        <v>0</v>
      </c>
      <c r="F118" s="26">
        <f t="shared" si="87"/>
        <v>0</v>
      </c>
      <c r="G118" s="31">
        <f t="shared" si="87"/>
        <v>0</v>
      </c>
      <c r="H118" s="26">
        <f t="shared" si="87"/>
        <v>15880</v>
      </c>
      <c r="I118" s="31">
        <f t="shared" si="87"/>
        <v>0</v>
      </c>
      <c r="J118" s="22">
        <f t="shared" si="87"/>
        <v>0</v>
      </c>
      <c r="K118" s="23">
        <f t="shared" si="87"/>
        <v>0</v>
      </c>
      <c r="L118" s="22">
        <f t="shared" si="87"/>
        <v>0</v>
      </c>
    </row>
    <row r="119" spans="1:12" ht="25.5" x14ac:dyDescent="0.25">
      <c r="A119" s="67" t="s">
        <v>225</v>
      </c>
      <c r="B119" s="25" t="s">
        <v>243</v>
      </c>
      <c r="C119" s="22">
        <f t="shared" si="77"/>
        <v>458706</v>
      </c>
      <c r="D119" s="68">
        <v>442826</v>
      </c>
      <c r="E119" s="11">
        <v>0</v>
      </c>
      <c r="F119" s="66">
        <v>0</v>
      </c>
      <c r="G119" s="11">
        <v>0</v>
      </c>
      <c r="H119" s="66">
        <v>15880</v>
      </c>
      <c r="I119" s="11">
        <v>0</v>
      </c>
      <c r="J119" s="66">
        <v>0</v>
      </c>
      <c r="K119" s="11">
        <v>0</v>
      </c>
      <c r="L119" s="66">
        <v>0</v>
      </c>
    </row>
    <row r="120" spans="1:12" x14ac:dyDescent="0.25">
      <c r="A120" s="67" t="s">
        <v>226</v>
      </c>
      <c r="B120" s="25" t="s">
        <v>244</v>
      </c>
      <c r="C120" s="22">
        <f t="shared" si="77"/>
        <v>690515</v>
      </c>
      <c r="D120" s="68">
        <v>690515</v>
      </c>
      <c r="E120" s="11">
        <v>0</v>
      </c>
      <c r="F120" s="66">
        <v>0</v>
      </c>
      <c r="G120" s="11">
        <v>0</v>
      </c>
      <c r="H120" s="66">
        <v>0</v>
      </c>
      <c r="I120" s="11">
        <v>0</v>
      </c>
      <c r="J120" s="66">
        <v>0</v>
      </c>
      <c r="K120" s="11">
        <v>0</v>
      </c>
      <c r="L120" s="66">
        <v>0</v>
      </c>
    </row>
    <row r="121" spans="1:12" ht="38.25" hidden="1" x14ac:dyDescent="0.25">
      <c r="A121" s="67" t="s">
        <v>384</v>
      </c>
      <c r="B121" s="25" t="s">
        <v>415</v>
      </c>
      <c r="C121" s="22">
        <f t="shared" si="77"/>
        <v>0</v>
      </c>
      <c r="D121" s="68"/>
      <c r="E121" s="11"/>
      <c r="F121" s="66"/>
      <c r="G121" s="11"/>
      <c r="H121" s="66"/>
      <c r="I121" s="11"/>
      <c r="J121" s="66"/>
      <c r="K121" s="11"/>
      <c r="L121" s="66"/>
    </row>
    <row r="122" spans="1:12" hidden="1" x14ac:dyDescent="0.25">
      <c r="A122" s="62" t="s">
        <v>499</v>
      </c>
      <c r="B122" s="63" t="s">
        <v>500</v>
      </c>
      <c r="C122" s="22">
        <f t="shared" ref="C122" si="88">SUM(D122:L122)</f>
        <v>0</v>
      </c>
      <c r="D122" s="22">
        <f>D123</f>
        <v>0</v>
      </c>
      <c r="E122" s="23">
        <f t="shared" ref="E122:L122" si="89">E123</f>
        <v>0</v>
      </c>
      <c r="F122" s="22">
        <f t="shared" si="89"/>
        <v>0</v>
      </c>
      <c r="G122" s="23">
        <f t="shared" si="89"/>
        <v>0</v>
      </c>
      <c r="H122" s="22">
        <f t="shared" si="89"/>
        <v>0</v>
      </c>
      <c r="I122" s="23">
        <f t="shared" si="89"/>
        <v>0</v>
      </c>
      <c r="J122" s="22">
        <f t="shared" si="89"/>
        <v>0</v>
      </c>
      <c r="K122" s="23">
        <f t="shared" si="89"/>
        <v>0</v>
      </c>
      <c r="L122" s="22">
        <f t="shared" si="89"/>
        <v>0</v>
      </c>
    </row>
    <row r="123" spans="1:12" ht="25.5" hidden="1" x14ac:dyDescent="0.25">
      <c r="A123" s="67" t="s">
        <v>227</v>
      </c>
      <c r="B123" s="25" t="s">
        <v>354</v>
      </c>
      <c r="C123" s="22">
        <f t="shared" si="77"/>
        <v>0</v>
      </c>
      <c r="D123" s="68"/>
      <c r="E123" s="11"/>
      <c r="F123" s="66"/>
      <c r="G123" s="11"/>
      <c r="H123" s="66"/>
      <c r="I123" s="11"/>
      <c r="J123" s="66"/>
      <c r="K123" s="11"/>
      <c r="L123" s="66"/>
    </row>
    <row r="124" spans="1:12" ht="28.5" customHeight="1" x14ac:dyDescent="0.25">
      <c r="A124" s="62" t="s">
        <v>228</v>
      </c>
      <c r="B124" s="63" t="s">
        <v>245</v>
      </c>
      <c r="C124" s="22">
        <f t="shared" si="77"/>
        <v>291913</v>
      </c>
      <c r="D124" s="22">
        <f>SUM(D125:D128)</f>
        <v>286413</v>
      </c>
      <c r="E124" s="31">
        <f t="shared" ref="E124:L124" si="90">SUM(E125:E128)</f>
        <v>5500</v>
      </c>
      <c r="F124" s="26">
        <f t="shared" si="90"/>
        <v>0</v>
      </c>
      <c r="G124" s="31">
        <f t="shared" si="90"/>
        <v>0</v>
      </c>
      <c r="H124" s="26">
        <f t="shared" si="90"/>
        <v>0</v>
      </c>
      <c r="I124" s="31">
        <f t="shared" si="90"/>
        <v>0</v>
      </c>
      <c r="J124" s="26">
        <f t="shared" si="90"/>
        <v>0</v>
      </c>
      <c r="K124" s="23">
        <f t="shared" si="90"/>
        <v>0</v>
      </c>
      <c r="L124" s="22">
        <f t="shared" si="90"/>
        <v>0</v>
      </c>
    </row>
    <row r="125" spans="1:12" ht="25.5" x14ac:dyDescent="0.25">
      <c r="A125" s="67" t="s">
        <v>229</v>
      </c>
      <c r="B125" s="25" t="s">
        <v>246</v>
      </c>
      <c r="C125" s="22">
        <f t="shared" si="77"/>
        <v>155500</v>
      </c>
      <c r="D125" s="68">
        <v>150000</v>
      </c>
      <c r="E125" s="11">
        <v>5500</v>
      </c>
      <c r="F125" s="66">
        <v>0</v>
      </c>
      <c r="G125" s="11">
        <v>0</v>
      </c>
      <c r="H125" s="66">
        <v>0</v>
      </c>
      <c r="I125" s="11">
        <v>0</v>
      </c>
      <c r="J125" s="66">
        <v>0</v>
      </c>
      <c r="K125" s="11">
        <v>0</v>
      </c>
      <c r="L125" s="66">
        <v>0</v>
      </c>
    </row>
    <row r="126" spans="1:12" ht="25.5" x14ac:dyDescent="0.25">
      <c r="A126" s="67" t="s">
        <v>230</v>
      </c>
      <c r="B126" s="25" t="s">
        <v>247</v>
      </c>
      <c r="C126" s="22">
        <f t="shared" ref="C126:C128" si="91">SUM(D126:L126)</f>
        <v>31261</v>
      </c>
      <c r="D126" s="68">
        <v>31261</v>
      </c>
      <c r="E126" s="11">
        <v>0</v>
      </c>
      <c r="F126" s="66">
        <v>0</v>
      </c>
      <c r="G126" s="11">
        <v>0</v>
      </c>
      <c r="H126" s="66">
        <v>0</v>
      </c>
      <c r="I126" s="11">
        <v>0</v>
      </c>
      <c r="J126" s="66">
        <v>0</v>
      </c>
      <c r="K126" s="11">
        <v>0</v>
      </c>
      <c r="L126" s="66">
        <v>0</v>
      </c>
    </row>
    <row r="127" spans="1:12" ht="25.5" x14ac:dyDescent="0.25">
      <c r="A127" s="67" t="s">
        <v>231</v>
      </c>
      <c r="B127" s="25" t="s">
        <v>501</v>
      </c>
      <c r="C127" s="22">
        <f t="shared" si="91"/>
        <v>4300</v>
      </c>
      <c r="D127" s="66">
        <v>4300</v>
      </c>
      <c r="E127" s="11">
        <v>0</v>
      </c>
      <c r="F127" s="66">
        <v>0</v>
      </c>
      <c r="G127" s="11">
        <v>0</v>
      </c>
      <c r="H127" s="66">
        <v>0</v>
      </c>
      <c r="I127" s="11">
        <v>0</v>
      </c>
      <c r="J127" s="66">
        <v>0</v>
      </c>
      <c r="K127" s="11">
        <v>0</v>
      </c>
      <c r="L127" s="66">
        <v>0</v>
      </c>
    </row>
    <row r="128" spans="1:12" ht="25.5" x14ac:dyDescent="0.25">
      <c r="A128" s="67" t="s">
        <v>232</v>
      </c>
      <c r="B128" s="25" t="s">
        <v>502</v>
      </c>
      <c r="C128" s="22">
        <f t="shared" si="91"/>
        <v>100852</v>
      </c>
      <c r="D128" s="66">
        <v>100852</v>
      </c>
      <c r="E128" s="11">
        <v>0</v>
      </c>
      <c r="F128" s="66">
        <v>0</v>
      </c>
      <c r="G128" s="11">
        <v>0</v>
      </c>
      <c r="H128" s="66">
        <v>0</v>
      </c>
      <c r="I128" s="11">
        <v>0</v>
      </c>
      <c r="J128" s="66">
        <v>0</v>
      </c>
      <c r="K128" s="11">
        <v>0</v>
      </c>
      <c r="L128" s="66">
        <v>0</v>
      </c>
    </row>
    <row r="129" spans="1:12" x14ac:dyDescent="0.25">
      <c r="A129" s="94" t="s">
        <v>25</v>
      </c>
      <c r="B129" s="95" t="s">
        <v>122</v>
      </c>
      <c r="C129" s="102">
        <f t="shared" ref="C129:C136" si="92">SUM(D129:L129)</f>
        <v>33166883</v>
      </c>
      <c r="D129" s="102">
        <f>D130+D134+D147+D154+D157+D162+D166</f>
        <v>20335030</v>
      </c>
      <c r="E129" s="103">
        <f t="shared" ref="E129:L129" si="93">E130+E134+E147+E154+E157+E162+E166</f>
        <v>147062</v>
      </c>
      <c r="F129" s="102">
        <f t="shared" si="93"/>
        <v>639090</v>
      </c>
      <c r="G129" s="103">
        <f t="shared" si="93"/>
        <v>71123</v>
      </c>
      <c r="H129" s="102">
        <f t="shared" si="93"/>
        <v>10655259</v>
      </c>
      <c r="I129" s="103">
        <f t="shared" si="93"/>
        <v>6839</v>
      </c>
      <c r="J129" s="102">
        <f t="shared" si="93"/>
        <v>0</v>
      </c>
      <c r="K129" s="103">
        <f t="shared" si="93"/>
        <v>0</v>
      </c>
      <c r="L129" s="102">
        <f t="shared" si="93"/>
        <v>1312480</v>
      </c>
    </row>
    <row r="130" spans="1:12" x14ac:dyDescent="0.25">
      <c r="A130" s="62" t="s">
        <v>248</v>
      </c>
      <c r="B130" s="63" t="s">
        <v>249</v>
      </c>
      <c r="C130" s="22">
        <f>SUM(D130:L130)</f>
        <v>10346847</v>
      </c>
      <c r="D130" s="22">
        <f>D131+D132+D133</f>
        <v>9275174</v>
      </c>
      <c r="E130" s="23">
        <f t="shared" ref="E130:L130" si="94">E131+E132+E133</f>
        <v>190888</v>
      </c>
      <c r="F130" s="22">
        <f t="shared" si="94"/>
        <v>93943</v>
      </c>
      <c r="G130" s="23">
        <f t="shared" si="94"/>
        <v>0</v>
      </c>
      <c r="H130" s="22">
        <f t="shared" si="94"/>
        <v>697628</v>
      </c>
      <c r="I130" s="23">
        <f t="shared" si="94"/>
        <v>1499</v>
      </c>
      <c r="J130" s="22">
        <f t="shared" si="94"/>
        <v>0</v>
      </c>
      <c r="K130" s="23">
        <f t="shared" si="94"/>
        <v>0</v>
      </c>
      <c r="L130" s="22">
        <f t="shared" si="94"/>
        <v>87715</v>
      </c>
    </row>
    <row r="131" spans="1:12" ht="25.5" x14ac:dyDescent="0.25">
      <c r="A131" s="67" t="s">
        <v>269</v>
      </c>
      <c r="B131" s="25" t="s">
        <v>278</v>
      </c>
      <c r="C131" s="22">
        <f t="shared" si="92"/>
        <v>8846847</v>
      </c>
      <c r="D131" s="66">
        <f>7691924+83250</f>
        <v>7775174</v>
      </c>
      <c r="E131" s="11">
        <v>190888</v>
      </c>
      <c r="F131" s="66">
        <v>93943</v>
      </c>
      <c r="G131" s="11">
        <v>0</v>
      </c>
      <c r="H131" s="66">
        <v>697628</v>
      </c>
      <c r="I131" s="11">
        <v>1499</v>
      </c>
      <c r="J131" s="66">
        <v>0</v>
      </c>
      <c r="K131" s="11">
        <v>0</v>
      </c>
      <c r="L131" s="66">
        <v>87715</v>
      </c>
    </row>
    <row r="132" spans="1:12" ht="63.75" hidden="1" x14ac:dyDescent="0.25">
      <c r="A132" s="64" t="s">
        <v>397</v>
      </c>
      <c r="B132" s="65" t="s">
        <v>398</v>
      </c>
      <c r="C132" s="22">
        <f t="shared" si="92"/>
        <v>0</v>
      </c>
      <c r="D132" s="66"/>
      <c r="E132" s="11"/>
      <c r="F132" s="66"/>
      <c r="G132" s="11"/>
      <c r="H132" s="66"/>
      <c r="I132" s="11"/>
      <c r="J132" s="66"/>
      <c r="K132" s="11"/>
      <c r="L132" s="66"/>
    </row>
    <row r="133" spans="1:12" ht="38.25" x14ac:dyDescent="0.25">
      <c r="A133" s="196" t="s">
        <v>822</v>
      </c>
      <c r="B133" s="65" t="s">
        <v>823</v>
      </c>
      <c r="C133" s="22">
        <f t="shared" si="92"/>
        <v>1500000</v>
      </c>
      <c r="D133" s="66">
        <v>1500000</v>
      </c>
      <c r="E133" s="11">
        <v>0</v>
      </c>
      <c r="F133" s="66">
        <v>0</v>
      </c>
      <c r="G133" s="11">
        <v>0</v>
      </c>
      <c r="H133" s="66">
        <v>0</v>
      </c>
      <c r="I133" s="11">
        <v>0</v>
      </c>
      <c r="J133" s="66">
        <v>0</v>
      </c>
      <c r="K133" s="11">
        <v>0</v>
      </c>
      <c r="L133" s="66">
        <v>0</v>
      </c>
    </row>
    <row r="134" spans="1:12" ht="25.5" x14ac:dyDescent="0.25">
      <c r="A134" s="70" t="s">
        <v>250</v>
      </c>
      <c r="B134" s="71" t="s">
        <v>273</v>
      </c>
      <c r="C134" s="26">
        <f t="shared" si="92"/>
        <v>15441865</v>
      </c>
      <c r="D134" s="26">
        <f>D135+D143</f>
        <v>6082571</v>
      </c>
      <c r="E134" s="31">
        <f t="shared" ref="E134:L134" si="95">E135+E143</f>
        <v>-44098</v>
      </c>
      <c r="F134" s="26">
        <f t="shared" si="95"/>
        <v>180447</v>
      </c>
      <c r="G134" s="31">
        <f t="shared" si="95"/>
        <v>0</v>
      </c>
      <c r="H134" s="26">
        <f t="shared" si="95"/>
        <v>8479580</v>
      </c>
      <c r="I134" s="31">
        <f t="shared" si="95"/>
        <v>3469</v>
      </c>
      <c r="J134" s="26">
        <f t="shared" si="95"/>
        <v>0</v>
      </c>
      <c r="K134" s="31">
        <f t="shared" si="95"/>
        <v>0</v>
      </c>
      <c r="L134" s="26">
        <f t="shared" si="95"/>
        <v>739896</v>
      </c>
    </row>
    <row r="135" spans="1:12" x14ac:dyDescent="0.25">
      <c r="A135" s="69" t="s">
        <v>251</v>
      </c>
      <c r="B135" s="63" t="s">
        <v>503</v>
      </c>
      <c r="C135" s="22">
        <f t="shared" si="92"/>
        <v>13164781</v>
      </c>
      <c r="D135" s="22">
        <f>SUM(D136:D142)</f>
        <v>5081611</v>
      </c>
      <c r="E135" s="31">
        <f t="shared" ref="E135:L135" si="96">SUM(E136:E142)</f>
        <v>-44098</v>
      </c>
      <c r="F135" s="26">
        <f t="shared" si="96"/>
        <v>143135</v>
      </c>
      <c r="G135" s="31">
        <f t="shared" si="96"/>
        <v>0</v>
      </c>
      <c r="H135" s="26">
        <f t="shared" si="96"/>
        <v>7609430</v>
      </c>
      <c r="I135" s="31">
        <f t="shared" si="96"/>
        <v>3469</v>
      </c>
      <c r="J135" s="26">
        <f t="shared" si="96"/>
        <v>0</v>
      </c>
      <c r="K135" s="23">
        <f t="shared" si="96"/>
        <v>0</v>
      </c>
      <c r="L135" s="22">
        <f t="shared" si="96"/>
        <v>371234</v>
      </c>
    </row>
    <row r="136" spans="1:12" ht="25.5" x14ac:dyDescent="0.25">
      <c r="A136" s="67" t="s">
        <v>252</v>
      </c>
      <c r="B136" s="25" t="s">
        <v>366</v>
      </c>
      <c r="C136" s="26">
        <f t="shared" si="92"/>
        <v>10952160</v>
      </c>
      <c r="D136" s="66">
        <f>4858740+68750</f>
        <v>4927490</v>
      </c>
      <c r="E136" s="11">
        <v>-44098</v>
      </c>
      <c r="F136" s="66">
        <v>109469</v>
      </c>
      <c r="G136" s="11">
        <v>0</v>
      </c>
      <c r="H136" s="66">
        <v>5779797</v>
      </c>
      <c r="I136" s="11">
        <v>3469</v>
      </c>
      <c r="J136" s="66">
        <v>0</v>
      </c>
      <c r="K136" s="11">
        <v>0</v>
      </c>
      <c r="L136" s="66">
        <v>176033</v>
      </c>
    </row>
    <row r="137" spans="1:12" ht="38.25" x14ac:dyDescent="0.25">
      <c r="A137" s="67" t="s">
        <v>253</v>
      </c>
      <c r="B137" s="25" t="s">
        <v>786</v>
      </c>
      <c r="C137" s="26">
        <f t="shared" ref="C137:C167" si="97">SUM(D137:L137)</f>
        <v>1583152</v>
      </c>
      <c r="D137" s="66">
        <v>123061</v>
      </c>
      <c r="E137" s="11">
        <v>0</v>
      </c>
      <c r="F137" s="66">
        <v>33666</v>
      </c>
      <c r="G137" s="11">
        <v>0</v>
      </c>
      <c r="H137" s="66">
        <v>1392794</v>
      </c>
      <c r="I137" s="11">
        <v>0</v>
      </c>
      <c r="J137" s="66">
        <v>0</v>
      </c>
      <c r="K137" s="11">
        <v>0</v>
      </c>
      <c r="L137" s="66">
        <v>33631</v>
      </c>
    </row>
    <row r="138" spans="1:12" ht="25.5" x14ac:dyDescent="0.25">
      <c r="A138" s="67" t="s">
        <v>254</v>
      </c>
      <c r="B138" s="25" t="s">
        <v>270</v>
      </c>
      <c r="C138" s="22">
        <f t="shared" si="97"/>
        <v>174058</v>
      </c>
      <c r="D138" s="68">
        <v>21596</v>
      </c>
      <c r="E138" s="11">
        <v>0</v>
      </c>
      <c r="F138" s="66">
        <v>0</v>
      </c>
      <c r="G138" s="11">
        <v>0</v>
      </c>
      <c r="H138" s="66">
        <v>50435</v>
      </c>
      <c r="I138" s="11">
        <v>0</v>
      </c>
      <c r="J138" s="66">
        <v>0</v>
      </c>
      <c r="K138" s="11">
        <v>0</v>
      </c>
      <c r="L138" s="66">
        <v>102027</v>
      </c>
    </row>
    <row r="139" spans="1:12" ht="51" x14ac:dyDescent="0.25">
      <c r="A139" s="67" t="s">
        <v>341</v>
      </c>
      <c r="B139" s="25" t="s">
        <v>417</v>
      </c>
      <c r="C139" s="22">
        <f t="shared" si="97"/>
        <v>61250</v>
      </c>
      <c r="D139" s="68">
        <v>4607</v>
      </c>
      <c r="E139" s="11">
        <v>0</v>
      </c>
      <c r="F139" s="66">
        <v>0</v>
      </c>
      <c r="G139" s="11">
        <v>0</v>
      </c>
      <c r="H139" s="66">
        <v>0</v>
      </c>
      <c r="I139" s="11">
        <v>0</v>
      </c>
      <c r="J139" s="66">
        <v>0</v>
      </c>
      <c r="K139" s="11">
        <v>0</v>
      </c>
      <c r="L139" s="66">
        <v>56643</v>
      </c>
    </row>
    <row r="140" spans="1:12" ht="76.5" x14ac:dyDescent="0.25">
      <c r="A140" s="64" t="s">
        <v>430</v>
      </c>
      <c r="B140" s="65" t="s">
        <v>504</v>
      </c>
      <c r="C140" s="26">
        <f t="shared" si="97"/>
        <v>264736</v>
      </c>
      <c r="D140" s="66">
        <v>4518</v>
      </c>
      <c r="E140" s="11">
        <v>0</v>
      </c>
      <c r="F140" s="66">
        <v>0</v>
      </c>
      <c r="G140" s="11">
        <v>0</v>
      </c>
      <c r="H140" s="66">
        <v>257318</v>
      </c>
      <c r="I140" s="11">
        <v>0</v>
      </c>
      <c r="J140" s="66">
        <v>0</v>
      </c>
      <c r="K140" s="11">
        <v>0</v>
      </c>
      <c r="L140" s="66">
        <v>2900</v>
      </c>
    </row>
    <row r="141" spans="1:12" ht="63.75" x14ac:dyDescent="0.25">
      <c r="A141" s="64" t="s">
        <v>824</v>
      </c>
      <c r="B141" s="65" t="s">
        <v>825</v>
      </c>
      <c r="C141" s="26">
        <f t="shared" si="97"/>
        <v>129425</v>
      </c>
      <c r="D141" s="66">
        <v>339</v>
      </c>
      <c r="E141" s="11">
        <v>0</v>
      </c>
      <c r="F141" s="66">
        <v>0</v>
      </c>
      <c r="G141" s="11">
        <v>0</v>
      </c>
      <c r="H141" s="66">
        <v>129086</v>
      </c>
      <c r="I141" s="11">
        <v>0</v>
      </c>
      <c r="J141" s="66">
        <v>0</v>
      </c>
      <c r="K141" s="11">
        <v>0</v>
      </c>
      <c r="L141" s="66">
        <v>0</v>
      </c>
    </row>
    <row r="142" spans="1:12" hidden="1" x14ac:dyDescent="0.25">
      <c r="A142" s="198"/>
      <c r="B142" s="199"/>
      <c r="C142" s="26">
        <f t="shared" ref="C142" si="98">SUM(D142:L142)</f>
        <v>0</v>
      </c>
      <c r="D142" s="66"/>
      <c r="E142" s="11"/>
      <c r="F142" s="66"/>
      <c r="G142" s="11"/>
      <c r="H142" s="66"/>
      <c r="I142" s="11"/>
      <c r="J142" s="66"/>
      <c r="K142" s="11"/>
      <c r="L142" s="66"/>
    </row>
    <row r="143" spans="1:12" x14ac:dyDescent="0.25">
      <c r="A143" s="69" t="s">
        <v>274</v>
      </c>
      <c r="B143" s="63" t="s">
        <v>271</v>
      </c>
      <c r="C143" s="22">
        <f>SUM(D143:L143)</f>
        <v>2277084</v>
      </c>
      <c r="D143" s="22">
        <f t="shared" ref="D143:L143" si="99">SUM(D144:D146)</f>
        <v>1000960</v>
      </c>
      <c r="E143" s="31">
        <f t="shared" si="99"/>
        <v>0</v>
      </c>
      <c r="F143" s="26">
        <f t="shared" si="99"/>
        <v>37312</v>
      </c>
      <c r="G143" s="31">
        <f t="shared" si="99"/>
        <v>0</v>
      </c>
      <c r="H143" s="26">
        <f t="shared" si="99"/>
        <v>870150</v>
      </c>
      <c r="I143" s="31">
        <f t="shared" si="99"/>
        <v>0</v>
      </c>
      <c r="J143" s="26">
        <f t="shared" si="99"/>
        <v>0</v>
      </c>
      <c r="K143" s="31">
        <f t="shared" si="99"/>
        <v>0</v>
      </c>
      <c r="L143" s="22">
        <f t="shared" si="99"/>
        <v>368662</v>
      </c>
    </row>
    <row r="144" spans="1:12" ht="25.5" x14ac:dyDescent="0.25">
      <c r="A144" s="67" t="s">
        <v>255</v>
      </c>
      <c r="B144" s="25" t="s">
        <v>367</v>
      </c>
      <c r="C144" s="22">
        <f t="shared" si="97"/>
        <v>893785</v>
      </c>
      <c r="D144" s="68">
        <v>474562</v>
      </c>
      <c r="E144" s="11">
        <v>0</v>
      </c>
      <c r="F144" s="66">
        <v>5932</v>
      </c>
      <c r="G144" s="11">
        <v>0</v>
      </c>
      <c r="H144" s="66">
        <v>403377</v>
      </c>
      <c r="I144" s="11">
        <v>0</v>
      </c>
      <c r="J144" s="66">
        <v>0</v>
      </c>
      <c r="K144" s="11">
        <v>0</v>
      </c>
      <c r="L144" s="68">
        <v>9914</v>
      </c>
    </row>
    <row r="145" spans="1:12" ht="25.5" x14ac:dyDescent="0.25">
      <c r="A145" s="67" t="s">
        <v>256</v>
      </c>
      <c r="B145" s="25" t="s">
        <v>275</v>
      </c>
      <c r="C145" s="22">
        <f t="shared" si="97"/>
        <v>742748</v>
      </c>
      <c r="D145" s="68">
        <v>29959</v>
      </c>
      <c r="E145" s="11">
        <v>0</v>
      </c>
      <c r="F145" s="66">
        <v>31380</v>
      </c>
      <c r="G145" s="11">
        <v>0</v>
      </c>
      <c r="H145" s="66">
        <v>466773</v>
      </c>
      <c r="I145" s="11">
        <v>0</v>
      </c>
      <c r="J145" s="66">
        <v>0</v>
      </c>
      <c r="K145" s="11">
        <v>0</v>
      </c>
      <c r="L145" s="68">
        <v>214636</v>
      </c>
    </row>
    <row r="146" spans="1:12" ht="54" customHeight="1" x14ac:dyDescent="0.25">
      <c r="A146" s="64" t="s">
        <v>399</v>
      </c>
      <c r="B146" s="65" t="s">
        <v>431</v>
      </c>
      <c r="C146" s="26">
        <f t="shared" si="97"/>
        <v>640551</v>
      </c>
      <c r="D146" s="66">
        <v>496439</v>
      </c>
      <c r="E146" s="11">
        <v>0</v>
      </c>
      <c r="F146" s="66">
        <v>0</v>
      </c>
      <c r="G146" s="11">
        <v>0</v>
      </c>
      <c r="H146" s="66">
        <v>0</v>
      </c>
      <c r="I146" s="11">
        <v>0</v>
      </c>
      <c r="J146" s="66">
        <v>0</v>
      </c>
      <c r="K146" s="11">
        <v>0</v>
      </c>
      <c r="L146" s="66">
        <v>144112</v>
      </c>
    </row>
    <row r="147" spans="1:12" ht="25.5" x14ac:dyDescent="0.25">
      <c r="A147" s="62" t="s">
        <v>257</v>
      </c>
      <c r="B147" s="63" t="s">
        <v>272</v>
      </c>
      <c r="C147" s="22">
        <f>SUM(D147:L147)</f>
        <v>4518888</v>
      </c>
      <c r="D147" s="22">
        <f t="shared" ref="D147:L147" si="100">SUM(D148:D153)</f>
        <v>3310986</v>
      </c>
      <c r="E147" s="31">
        <f t="shared" si="100"/>
        <v>2636</v>
      </c>
      <c r="F147" s="26">
        <f t="shared" si="100"/>
        <v>186400</v>
      </c>
      <c r="G147" s="31">
        <f t="shared" si="100"/>
        <v>0</v>
      </c>
      <c r="H147" s="26">
        <f t="shared" si="100"/>
        <v>964422</v>
      </c>
      <c r="I147" s="31">
        <f t="shared" si="100"/>
        <v>0</v>
      </c>
      <c r="J147" s="26">
        <f t="shared" si="100"/>
        <v>0</v>
      </c>
      <c r="K147" s="31">
        <f t="shared" si="100"/>
        <v>0</v>
      </c>
      <c r="L147" s="22">
        <f t="shared" si="100"/>
        <v>54444</v>
      </c>
    </row>
    <row r="148" spans="1:12" ht="25.5" x14ac:dyDescent="0.25">
      <c r="A148" s="67" t="s">
        <v>37</v>
      </c>
      <c r="B148" s="25" t="s">
        <v>853</v>
      </c>
      <c r="C148" s="22">
        <f t="shared" si="97"/>
        <v>924714</v>
      </c>
      <c r="D148" s="68">
        <v>447251</v>
      </c>
      <c r="E148" s="11">
        <v>2636</v>
      </c>
      <c r="F148" s="66">
        <v>66526</v>
      </c>
      <c r="G148" s="11">
        <v>0</v>
      </c>
      <c r="H148" s="66">
        <v>387356</v>
      </c>
      <c r="I148" s="11">
        <v>0</v>
      </c>
      <c r="J148" s="66">
        <v>0</v>
      </c>
      <c r="K148" s="11">
        <v>0</v>
      </c>
      <c r="L148" s="68">
        <v>20945</v>
      </c>
    </row>
    <row r="149" spans="1:12" ht="25.5" x14ac:dyDescent="0.25">
      <c r="A149" s="67" t="s">
        <v>38</v>
      </c>
      <c r="B149" s="25" t="s">
        <v>368</v>
      </c>
      <c r="C149" s="22">
        <f t="shared" si="97"/>
        <v>252348</v>
      </c>
      <c r="D149" s="68">
        <v>132231</v>
      </c>
      <c r="E149" s="11">
        <v>0</v>
      </c>
      <c r="F149" s="66">
        <v>12968</v>
      </c>
      <c r="G149" s="11">
        <v>0</v>
      </c>
      <c r="H149" s="66">
        <v>100882</v>
      </c>
      <c r="I149" s="11">
        <v>0</v>
      </c>
      <c r="J149" s="66">
        <v>0</v>
      </c>
      <c r="K149" s="11">
        <v>0</v>
      </c>
      <c r="L149" s="68">
        <v>6267</v>
      </c>
    </row>
    <row r="150" spans="1:12" ht="25.5" x14ac:dyDescent="0.25">
      <c r="A150" s="67" t="s">
        <v>258</v>
      </c>
      <c r="B150" s="25" t="s">
        <v>369</v>
      </c>
      <c r="C150" s="22">
        <f t="shared" si="97"/>
        <v>2322177</v>
      </c>
      <c r="D150" s="68">
        <v>1711855</v>
      </c>
      <c r="E150" s="11">
        <v>0</v>
      </c>
      <c r="F150" s="66">
        <v>106906</v>
      </c>
      <c r="G150" s="11">
        <v>0</v>
      </c>
      <c r="H150" s="66">
        <v>476184</v>
      </c>
      <c r="I150" s="11">
        <v>0</v>
      </c>
      <c r="J150" s="66">
        <v>0</v>
      </c>
      <c r="K150" s="11">
        <v>0</v>
      </c>
      <c r="L150" s="68">
        <v>27232</v>
      </c>
    </row>
    <row r="151" spans="1:12" ht="38.25" hidden="1" x14ac:dyDescent="0.25">
      <c r="A151" s="64" t="s">
        <v>259</v>
      </c>
      <c r="B151" s="65" t="s">
        <v>276</v>
      </c>
      <c r="C151" s="26">
        <f t="shared" si="97"/>
        <v>0</v>
      </c>
      <c r="D151" s="66"/>
      <c r="E151" s="11"/>
      <c r="F151" s="66"/>
      <c r="G151" s="11"/>
      <c r="H151" s="66"/>
      <c r="I151" s="11"/>
      <c r="J151" s="66"/>
      <c r="K151" s="11"/>
      <c r="L151" s="66"/>
    </row>
    <row r="152" spans="1:12" ht="76.5" x14ac:dyDescent="0.25">
      <c r="A152" s="64" t="s">
        <v>394</v>
      </c>
      <c r="B152" s="65" t="s">
        <v>393</v>
      </c>
      <c r="C152" s="26">
        <f t="shared" ref="C152:C153" si="101">SUM(D152:L152)</f>
        <v>802205</v>
      </c>
      <c r="D152" s="66">
        <v>802205</v>
      </c>
      <c r="E152" s="11">
        <v>0</v>
      </c>
      <c r="F152" s="66">
        <v>0</v>
      </c>
      <c r="G152" s="11">
        <v>0</v>
      </c>
      <c r="H152" s="66">
        <v>0</v>
      </c>
      <c r="I152" s="11">
        <v>0</v>
      </c>
      <c r="J152" s="66">
        <v>0</v>
      </c>
      <c r="K152" s="11">
        <v>0</v>
      </c>
      <c r="L152" s="66">
        <v>0</v>
      </c>
    </row>
    <row r="153" spans="1:12" ht="51" x14ac:dyDescent="0.25">
      <c r="A153" s="64" t="s">
        <v>396</v>
      </c>
      <c r="B153" s="65" t="s">
        <v>395</v>
      </c>
      <c r="C153" s="26">
        <f t="shared" si="101"/>
        <v>217444</v>
      </c>
      <c r="D153" s="66">
        <v>217444</v>
      </c>
      <c r="E153" s="11">
        <v>0</v>
      </c>
      <c r="F153" s="66">
        <v>0</v>
      </c>
      <c r="G153" s="11">
        <v>0</v>
      </c>
      <c r="H153" s="66">
        <v>0</v>
      </c>
      <c r="I153" s="11">
        <v>0</v>
      </c>
      <c r="J153" s="66">
        <v>0</v>
      </c>
      <c r="K153" s="11">
        <v>0</v>
      </c>
      <c r="L153" s="66">
        <v>0</v>
      </c>
    </row>
    <row r="154" spans="1:12" ht="66.75" customHeight="1" x14ac:dyDescent="0.25">
      <c r="A154" s="62" t="s">
        <v>263</v>
      </c>
      <c r="B154" s="63" t="s">
        <v>506</v>
      </c>
      <c r="C154" s="22">
        <f>SUM(D154:L154)</f>
        <v>8600</v>
      </c>
      <c r="D154" s="22">
        <f>SUM(D155:D156)</f>
        <v>8600</v>
      </c>
      <c r="E154" s="31">
        <f t="shared" ref="E154:L154" si="102">SUM(E155:E156)</f>
        <v>0</v>
      </c>
      <c r="F154" s="26">
        <f t="shared" si="102"/>
        <v>0</v>
      </c>
      <c r="G154" s="31">
        <f t="shared" si="102"/>
        <v>0</v>
      </c>
      <c r="H154" s="26">
        <f t="shared" si="102"/>
        <v>0</v>
      </c>
      <c r="I154" s="31">
        <f t="shared" si="102"/>
        <v>0</v>
      </c>
      <c r="J154" s="26">
        <f t="shared" si="102"/>
        <v>0</v>
      </c>
      <c r="K154" s="31">
        <f t="shared" si="102"/>
        <v>0</v>
      </c>
      <c r="L154" s="22">
        <f t="shared" si="102"/>
        <v>0</v>
      </c>
    </row>
    <row r="155" spans="1:12" ht="25.5" x14ac:dyDescent="0.25">
      <c r="A155" s="67" t="s">
        <v>42</v>
      </c>
      <c r="B155" s="25" t="s">
        <v>505</v>
      </c>
      <c r="C155" s="22">
        <f t="shared" si="97"/>
        <v>6000</v>
      </c>
      <c r="D155" s="68">
        <v>6000</v>
      </c>
      <c r="E155" s="11">
        <v>0</v>
      </c>
      <c r="F155" s="66">
        <v>0</v>
      </c>
      <c r="G155" s="11">
        <v>0</v>
      </c>
      <c r="H155" s="66">
        <v>0</v>
      </c>
      <c r="I155" s="11">
        <v>0</v>
      </c>
      <c r="J155" s="66">
        <v>0</v>
      </c>
      <c r="K155" s="11">
        <v>0</v>
      </c>
      <c r="L155" s="68">
        <v>0</v>
      </c>
    </row>
    <row r="156" spans="1:12" ht="25.5" x14ac:dyDescent="0.25">
      <c r="A156" s="67" t="s">
        <v>264</v>
      </c>
      <c r="B156" s="25" t="s">
        <v>771</v>
      </c>
      <c r="C156" s="22">
        <f t="shared" si="97"/>
        <v>2600</v>
      </c>
      <c r="D156" s="68">
        <v>2600</v>
      </c>
      <c r="E156" s="11">
        <v>0</v>
      </c>
      <c r="F156" s="66">
        <v>0</v>
      </c>
      <c r="G156" s="11">
        <v>0</v>
      </c>
      <c r="H156" s="66">
        <v>0</v>
      </c>
      <c r="I156" s="11">
        <v>0</v>
      </c>
      <c r="J156" s="66">
        <v>0</v>
      </c>
      <c r="K156" s="11">
        <v>0</v>
      </c>
      <c r="L156" s="68">
        <v>0</v>
      </c>
    </row>
    <row r="157" spans="1:12" ht="25.5" x14ac:dyDescent="0.25">
      <c r="A157" s="62" t="s">
        <v>260</v>
      </c>
      <c r="B157" s="63" t="s">
        <v>507</v>
      </c>
      <c r="C157" s="22">
        <f>SUM(D157:L157)</f>
        <v>1405466</v>
      </c>
      <c r="D157" s="22">
        <f t="shared" ref="D157:L157" si="103">SUM(D158:D161)</f>
        <v>863543</v>
      </c>
      <c r="E157" s="31">
        <f t="shared" si="103"/>
        <v>0</v>
      </c>
      <c r="F157" s="26">
        <f t="shared" si="103"/>
        <v>177577</v>
      </c>
      <c r="G157" s="31">
        <f t="shared" si="103"/>
        <v>71123</v>
      </c>
      <c r="H157" s="26">
        <f t="shared" si="103"/>
        <v>113588</v>
      </c>
      <c r="I157" s="31">
        <f t="shared" si="103"/>
        <v>0</v>
      </c>
      <c r="J157" s="26">
        <f t="shared" si="103"/>
        <v>0</v>
      </c>
      <c r="K157" s="31">
        <f t="shared" si="103"/>
        <v>0</v>
      </c>
      <c r="L157" s="22">
        <f t="shared" si="103"/>
        <v>179635</v>
      </c>
    </row>
    <row r="158" spans="1:12" ht="38.25" x14ac:dyDescent="0.25">
      <c r="A158" s="67" t="s">
        <v>261</v>
      </c>
      <c r="B158" s="25" t="s">
        <v>355</v>
      </c>
      <c r="C158" s="22">
        <f t="shared" si="97"/>
        <v>1142737</v>
      </c>
      <c r="D158" s="68">
        <v>843552</v>
      </c>
      <c r="E158" s="11">
        <v>0</v>
      </c>
      <c r="F158" s="66">
        <v>177577</v>
      </c>
      <c r="G158" s="11">
        <v>71123</v>
      </c>
      <c r="H158" s="66">
        <v>0</v>
      </c>
      <c r="I158" s="11">
        <v>0</v>
      </c>
      <c r="J158" s="66">
        <v>0</v>
      </c>
      <c r="K158" s="11">
        <v>0</v>
      </c>
      <c r="L158" s="68">
        <v>50485</v>
      </c>
    </row>
    <row r="159" spans="1:12" ht="38.25" x14ac:dyDescent="0.25">
      <c r="A159" s="67" t="s">
        <v>262</v>
      </c>
      <c r="B159" s="25" t="s">
        <v>356</v>
      </c>
      <c r="C159" s="22">
        <f t="shared" si="97"/>
        <v>186261</v>
      </c>
      <c r="D159" s="68">
        <v>11991</v>
      </c>
      <c r="E159" s="11">
        <v>0</v>
      </c>
      <c r="F159" s="66">
        <v>0</v>
      </c>
      <c r="G159" s="11">
        <v>0</v>
      </c>
      <c r="H159" s="66">
        <v>60674</v>
      </c>
      <c r="I159" s="11">
        <v>0</v>
      </c>
      <c r="J159" s="66">
        <v>0</v>
      </c>
      <c r="K159" s="11">
        <v>0</v>
      </c>
      <c r="L159" s="68">
        <v>113596</v>
      </c>
    </row>
    <row r="160" spans="1:12" x14ac:dyDescent="0.25">
      <c r="A160" s="67" t="s">
        <v>331</v>
      </c>
      <c r="B160" s="25" t="s">
        <v>406</v>
      </c>
      <c r="C160" s="22">
        <f t="shared" ref="C160:C161" si="104">SUM(D160:L160)</f>
        <v>76468</v>
      </c>
      <c r="D160" s="68">
        <v>8000</v>
      </c>
      <c r="E160" s="11">
        <v>0</v>
      </c>
      <c r="F160" s="66">
        <v>0</v>
      </c>
      <c r="G160" s="11">
        <v>0</v>
      </c>
      <c r="H160" s="66">
        <v>52914</v>
      </c>
      <c r="I160" s="11">
        <v>0</v>
      </c>
      <c r="J160" s="66">
        <v>0</v>
      </c>
      <c r="K160" s="11">
        <v>0</v>
      </c>
      <c r="L160" s="68">
        <v>15554</v>
      </c>
    </row>
    <row r="161" spans="1:12" ht="38.25" hidden="1" x14ac:dyDescent="0.25">
      <c r="A161" s="64" t="s">
        <v>790</v>
      </c>
      <c r="B161" s="65" t="s">
        <v>791</v>
      </c>
      <c r="C161" s="26">
        <f t="shared" si="104"/>
        <v>0</v>
      </c>
      <c r="D161" s="66"/>
      <c r="E161" s="11"/>
      <c r="F161" s="66"/>
      <c r="G161" s="11"/>
      <c r="H161" s="66"/>
      <c r="I161" s="11"/>
      <c r="J161" s="66"/>
      <c r="K161" s="11"/>
      <c r="L161" s="66"/>
    </row>
    <row r="162" spans="1:12" x14ac:dyDescent="0.25">
      <c r="A162" s="62" t="s">
        <v>265</v>
      </c>
      <c r="B162" s="63" t="s">
        <v>277</v>
      </c>
      <c r="C162" s="22">
        <f>SUM(D162:L162)</f>
        <v>1443742</v>
      </c>
      <c r="D162" s="22">
        <f>SUM(D163:D165)</f>
        <v>793926</v>
      </c>
      <c r="E162" s="31">
        <f t="shared" ref="E162:L162" si="105">SUM(E163:E165)</f>
        <v>-2364</v>
      </c>
      <c r="F162" s="26">
        <f t="shared" si="105"/>
        <v>723</v>
      </c>
      <c r="G162" s="31">
        <f t="shared" si="105"/>
        <v>0</v>
      </c>
      <c r="H162" s="26">
        <f t="shared" si="105"/>
        <v>400041</v>
      </c>
      <c r="I162" s="31">
        <f t="shared" si="105"/>
        <v>1871</v>
      </c>
      <c r="J162" s="26">
        <f t="shared" si="105"/>
        <v>0</v>
      </c>
      <c r="K162" s="31">
        <f t="shared" si="105"/>
        <v>0</v>
      </c>
      <c r="L162" s="22">
        <f t="shared" si="105"/>
        <v>249545</v>
      </c>
    </row>
    <row r="163" spans="1:12" ht="25.5" x14ac:dyDescent="0.25">
      <c r="A163" s="67" t="s">
        <v>266</v>
      </c>
      <c r="B163" s="25" t="s">
        <v>357</v>
      </c>
      <c r="C163" s="22">
        <f t="shared" si="97"/>
        <v>725802</v>
      </c>
      <c r="D163" s="68">
        <v>725725</v>
      </c>
      <c r="E163" s="11">
        <v>-2364</v>
      </c>
      <c r="F163" s="66">
        <v>0</v>
      </c>
      <c r="G163" s="11">
        <v>0</v>
      </c>
      <c r="H163" s="66">
        <v>0</v>
      </c>
      <c r="I163" s="11">
        <v>0</v>
      </c>
      <c r="J163" s="66">
        <v>0</v>
      </c>
      <c r="K163" s="11">
        <v>0</v>
      </c>
      <c r="L163" s="68">
        <v>2441</v>
      </c>
    </row>
    <row r="164" spans="1:12" ht="25.5" x14ac:dyDescent="0.25">
      <c r="A164" s="64" t="s">
        <v>267</v>
      </c>
      <c r="B164" s="65" t="s">
        <v>358</v>
      </c>
      <c r="C164" s="26">
        <f t="shared" si="97"/>
        <v>641210</v>
      </c>
      <c r="D164" s="66">
        <v>0</v>
      </c>
      <c r="E164" s="11">
        <v>0</v>
      </c>
      <c r="F164" s="66">
        <v>0</v>
      </c>
      <c r="G164" s="11">
        <v>0</v>
      </c>
      <c r="H164" s="66">
        <v>400041</v>
      </c>
      <c r="I164" s="11">
        <v>1871</v>
      </c>
      <c r="J164" s="66">
        <v>0</v>
      </c>
      <c r="K164" s="11">
        <v>0</v>
      </c>
      <c r="L164" s="66">
        <v>239298</v>
      </c>
    </row>
    <row r="165" spans="1:12" ht="38.25" x14ac:dyDescent="0.25">
      <c r="A165" s="67" t="s">
        <v>268</v>
      </c>
      <c r="B165" s="25" t="s">
        <v>359</v>
      </c>
      <c r="C165" s="22">
        <f t="shared" si="97"/>
        <v>76730</v>
      </c>
      <c r="D165" s="68">
        <v>68201</v>
      </c>
      <c r="E165" s="11">
        <v>0</v>
      </c>
      <c r="F165" s="66">
        <v>723</v>
      </c>
      <c r="G165" s="11">
        <v>0</v>
      </c>
      <c r="H165" s="66">
        <v>0</v>
      </c>
      <c r="I165" s="11">
        <v>0</v>
      </c>
      <c r="J165" s="66">
        <v>0</v>
      </c>
      <c r="K165" s="11">
        <v>0</v>
      </c>
      <c r="L165" s="68">
        <v>7806</v>
      </c>
    </row>
    <row r="166" spans="1:12" ht="25.5" x14ac:dyDescent="0.25">
      <c r="A166" s="62" t="s">
        <v>792</v>
      </c>
      <c r="B166" s="63" t="s">
        <v>795</v>
      </c>
      <c r="C166" s="22">
        <f>SUM(D166:L166)</f>
        <v>1475</v>
      </c>
      <c r="D166" s="22">
        <f t="shared" ref="D166:L166" si="106">D167</f>
        <v>230</v>
      </c>
      <c r="E166" s="31">
        <f t="shared" si="106"/>
        <v>0</v>
      </c>
      <c r="F166" s="26">
        <f t="shared" si="106"/>
        <v>0</v>
      </c>
      <c r="G166" s="31">
        <f t="shared" si="106"/>
        <v>0</v>
      </c>
      <c r="H166" s="26">
        <f t="shared" si="106"/>
        <v>0</v>
      </c>
      <c r="I166" s="31">
        <f t="shared" si="106"/>
        <v>0</v>
      </c>
      <c r="J166" s="26">
        <f t="shared" si="106"/>
        <v>0</v>
      </c>
      <c r="K166" s="31">
        <f t="shared" si="106"/>
        <v>0</v>
      </c>
      <c r="L166" s="22">
        <f t="shared" si="106"/>
        <v>1245</v>
      </c>
    </row>
    <row r="167" spans="1:12" x14ac:dyDescent="0.25">
      <c r="A167" s="67" t="s">
        <v>793</v>
      </c>
      <c r="B167" s="25" t="s">
        <v>794</v>
      </c>
      <c r="C167" s="22">
        <f t="shared" si="97"/>
        <v>1475</v>
      </c>
      <c r="D167" s="68">
        <v>230</v>
      </c>
      <c r="E167" s="11">
        <v>0</v>
      </c>
      <c r="F167" s="66">
        <v>0</v>
      </c>
      <c r="G167" s="11">
        <v>0</v>
      </c>
      <c r="H167" s="66">
        <v>0</v>
      </c>
      <c r="I167" s="11">
        <v>0</v>
      </c>
      <c r="J167" s="66">
        <v>0</v>
      </c>
      <c r="K167" s="11">
        <v>0</v>
      </c>
      <c r="L167" s="68">
        <v>1245</v>
      </c>
    </row>
    <row r="168" spans="1:12" x14ac:dyDescent="0.25">
      <c r="A168" s="94" t="s">
        <v>49</v>
      </c>
      <c r="B168" s="95" t="s">
        <v>123</v>
      </c>
      <c r="C168" s="102">
        <f>SUM(D168:L168)</f>
        <v>7904132</v>
      </c>
      <c r="D168" s="102">
        <f>D169+D178+D181+D185+D187+D189+D196</f>
        <v>6180498</v>
      </c>
      <c r="E168" s="103">
        <f t="shared" ref="E168:L168" si="107">E169+E178+E181+E186+E188+E189+E196</f>
        <v>199041</v>
      </c>
      <c r="F168" s="102">
        <f t="shared" si="107"/>
        <v>78118</v>
      </c>
      <c r="G168" s="103">
        <f t="shared" si="107"/>
        <v>0</v>
      </c>
      <c r="H168" s="102">
        <f t="shared" si="107"/>
        <v>1311440</v>
      </c>
      <c r="I168" s="103">
        <f t="shared" si="107"/>
        <v>27000</v>
      </c>
      <c r="J168" s="102">
        <f t="shared" si="107"/>
        <v>9214</v>
      </c>
      <c r="K168" s="103">
        <f t="shared" si="107"/>
        <v>0</v>
      </c>
      <c r="L168" s="102">
        <f t="shared" si="107"/>
        <v>98821</v>
      </c>
    </row>
    <row r="169" spans="1:12" ht="25.5" x14ac:dyDescent="0.25">
      <c r="A169" s="62" t="s">
        <v>279</v>
      </c>
      <c r="B169" s="63" t="s">
        <v>317</v>
      </c>
      <c r="C169" s="22">
        <f>SUM(D169:L169)</f>
        <v>1136946</v>
      </c>
      <c r="D169" s="22">
        <f t="shared" ref="D169:L169" si="108">SUM(D170:D177)</f>
        <v>388045</v>
      </c>
      <c r="E169" s="23">
        <f t="shared" si="108"/>
        <v>0</v>
      </c>
      <c r="F169" s="22">
        <f t="shared" si="108"/>
        <v>58148</v>
      </c>
      <c r="G169" s="23">
        <f t="shared" si="108"/>
        <v>0</v>
      </c>
      <c r="H169" s="22">
        <f t="shared" si="108"/>
        <v>632996</v>
      </c>
      <c r="I169" s="23">
        <f t="shared" si="108"/>
        <v>0</v>
      </c>
      <c r="J169" s="22">
        <f t="shared" si="108"/>
        <v>8009</v>
      </c>
      <c r="K169" s="23">
        <f t="shared" si="108"/>
        <v>0</v>
      </c>
      <c r="L169" s="22">
        <f t="shared" si="108"/>
        <v>49748</v>
      </c>
    </row>
    <row r="170" spans="1:12" ht="38.25" x14ac:dyDescent="0.25">
      <c r="A170" s="67" t="s">
        <v>280</v>
      </c>
      <c r="B170" s="25" t="s">
        <v>365</v>
      </c>
      <c r="C170" s="22">
        <f>SUM(D170:L170)</f>
        <v>460677</v>
      </c>
      <c r="D170" s="68">
        <v>134993</v>
      </c>
      <c r="E170" s="11">
        <v>0</v>
      </c>
      <c r="F170" s="66">
        <v>0</v>
      </c>
      <c r="G170" s="11">
        <v>0</v>
      </c>
      <c r="H170" s="66">
        <v>325421</v>
      </c>
      <c r="I170" s="11">
        <v>0</v>
      </c>
      <c r="J170" s="68">
        <v>0</v>
      </c>
      <c r="K170" s="11">
        <v>0</v>
      </c>
      <c r="L170" s="68">
        <v>263</v>
      </c>
    </row>
    <row r="171" spans="1:12" x14ac:dyDescent="0.25">
      <c r="A171" s="67" t="s">
        <v>281</v>
      </c>
      <c r="B171" s="25" t="s">
        <v>423</v>
      </c>
      <c r="C171" s="22">
        <f t="shared" ref="C171:C184" si="109">SUM(D171:L171)</f>
        <v>93264</v>
      </c>
      <c r="D171" s="68">
        <v>56504</v>
      </c>
      <c r="E171" s="11">
        <v>0</v>
      </c>
      <c r="F171" s="66">
        <v>24525</v>
      </c>
      <c r="G171" s="11">
        <v>0</v>
      </c>
      <c r="H171" s="66">
        <v>0</v>
      </c>
      <c r="I171" s="11">
        <v>0</v>
      </c>
      <c r="J171" s="68">
        <v>8009</v>
      </c>
      <c r="K171" s="11">
        <v>0</v>
      </c>
      <c r="L171" s="68">
        <v>4226</v>
      </c>
    </row>
    <row r="172" spans="1:12" x14ac:dyDescent="0.25">
      <c r="A172" s="67" t="s">
        <v>282</v>
      </c>
      <c r="B172" s="25" t="s">
        <v>301</v>
      </c>
      <c r="C172" s="22">
        <f t="shared" si="109"/>
        <v>88426</v>
      </c>
      <c r="D172" s="68">
        <v>68300</v>
      </c>
      <c r="E172" s="11">
        <v>0</v>
      </c>
      <c r="F172" s="66">
        <v>19849</v>
      </c>
      <c r="G172" s="11">
        <v>0</v>
      </c>
      <c r="H172" s="66">
        <v>0</v>
      </c>
      <c r="I172" s="11">
        <v>0</v>
      </c>
      <c r="J172" s="68">
        <v>0</v>
      </c>
      <c r="K172" s="11">
        <v>0</v>
      </c>
      <c r="L172" s="68">
        <v>277</v>
      </c>
    </row>
    <row r="173" spans="1:12" x14ac:dyDescent="0.25">
      <c r="A173" s="67" t="s">
        <v>283</v>
      </c>
      <c r="B173" s="25" t="s">
        <v>302</v>
      </c>
      <c r="C173" s="22">
        <f t="shared" si="109"/>
        <v>67806</v>
      </c>
      <c r="D173" s="68">
        <v>57835</v>
      </c>
      <c r="E173" s="11">
        <v>0</v>
      </c>
      <c r="F173" s="66">
        <v>8599</v>
      </c>
      <c r="G173" s="11">
        <v>0</v>
      </c>
      <c r="H173" s="66">
        <v>0</v>
      </c>
      <c r="I173" s="11">
        <v>0</v>
      </c>
      <c r="J173" s="68">
        <v>0</v>
      </c>
      <c r="K173" s="11">
        <v>0</v>
      </c>
      <c r="L173" s="68">
        <v>1372</v>
      </c>
    </row>
    <row r="174" spans="1:12" x14ac:dyDescent="0.25">
      <c r="A174" s="67" t="s">
        <v>284</v>
      </c>
      <c r="B174" s="25" t="s">
        <v>303</v>
      </c>
      <c r="C174" s="22">
        <f t="shared" si="109"/>
        <v>117176</v>
      </c>
      <c r="D174" s="68">
        <v>50413</v>
      </c>
      <c r="E174" s="11">
        <v>0</v>
      </c>
      <c r="F174" s="66">
        <v>5175</v>
      </c>
      <c r="G174" s="11">
        <v>0</v>
      </c>
      <c r="H174" s="66">
        <v>59941</v>
      </c>
      <c r="I174" s="11">
        <v>0</v>
      </c>
      <c r="J174" s="66">
        <v>0</v>
      </c>
      <c r="K174" s="11">
        <v>0</v>
      </c>
      <c r="L174" s="68">
        <v>1647</v>
      </c>
    </row>
    <row r="175" spans="1:12" ht="25.5" x14ac:dyDescent="0.25">
      <c r="A175" s="67" t="s">
        <v>332</v>
      </c>
      <c r="B175" s="25" t="s">
        <v>405</v>
      </c>
      <c r="C175" s="22">
        <f t="shared" ref="C175:C176" si="110">SUM(D175:L175)</f>
        <v>163074</v>
      </c>
      <c r="D175" s="68">
        <v>20000</v>
      </c>
      <c r="E175" s="11">
        <v>0</v>
      </c>
      <c r="F175" s="66">
        <v>0</v>
      </c>
      <c r="G175" s="11">
        <v>0</v>
      </c>
      <c r="H175" s="66">
        <v>118711</v>
      </c>
      <c r="I175" s="11">
        <v>0</v>
      </c>
      <c r="J175" s="66">
        <v>0</v>
      </c>
      <c r="K175" s="11">
        <v>0</v>
      </c>
      <c r="L175" s="68">
        <v>24363</v>
      </c>
    </row>
    <row r="176" spans="1:12" ht="51" hidden="1" x14ac:dyDescent="0.25">
      <c r="A176" s="67" t="s">
        <v>418</v>
      </c>
      <c r="B176" s="25" t="s">
        <v>643</v>
      </c>
      <c r="C176" s="22">
        <f t="shared" si="110"/>
        <v>0</v>
      </c>
      <c r="D176" s="68"/>
      <c r="E176" s="11"/>
      <c r="F176" s="66"/>
      <c r="G176" s="11"/>
      <c r="H176" s="66"/>
      <c r="I176" s="11"/>
      <c r="J176" s="66"/>
      <c r="K176" s="11"/>
      <c r="L176" s="68"/>
    </row>
    <row r="177" spans="1:12" ht="76.5" x14ac:dyDescent="0.25">
      <c r="A177" s="67" t="s">
        <v>796</v>
      </c>
      <c r="B177" s="25" t="s">
        <v>797</v>
      </c>
      <c r="C177" s="22">
        <f t="shared" ref="C177" si="111">SUM(D177:L177)</f>
        <v>146523</v>
      </c>
      <c r="D177" s="68">
        <v>0</v>
      </c>
      <c r="E177" s="11">
        <v>0</v>
      </c>
      <c r="F177" s="66">
        <v>0</v>
      </c>
      <c r="G177" s="11">
        <v>0</v>
      </c>
      <c r="H177" s="66">
        <v>128923</v>
      </c>
      <c r="I177" s="11">
        <v>0</v>
      </c>
      <c r="J177" s="66">
        <v>0</v>
      </c>
      <c r="K177" s="11">
        <v>0</v>
      </c>
      <c r="L177" s="68">
        <v>17600</v>
      </c>
    </row>
    <row r="178" spans="1:12" x14ac:dyDescent="0.25">
      <c r="A178" s="62" t="s">
        <v>285</v>
      </c>
      <c r="B178" s="63" t="s">
        <v>327</v>
      </c>
      <c r="C178" s="22">
        <f>SUM(D178:L178)</f>
        <v>523507</v>
      </c>
      <c r="D178" s="22">
        <f>SUM(D179:D180)</f>
        <v>518339</v>
      </c>
      <c r="E178" s="31">
        <f t="shared" ref="E178:L178" si="112">SUM(E179:E180)</f>
        <v>0</v>
      </c>
      <c r="F178" s="26">
        <f t="shared" si="112"/>
        <v>0</v>
      </c>
      <c r="G178" s="31">
        <f t="shared" si="112"/>
        <v>0</v>
      </c>
      <c r="H178" s="26">
        <f t="shared" si="112"/>
        <v>0</v>
      </c>
      <c r="I178" s="31">
        <f t="shared" si="112"/>
        <v>0</v>
      </c>
      <c r="J178" s="26">
        <f t="shared" si="112"/>
        <v>0</v>
      </c>
      <c r="K178" s="23">
        <f t="shared" si="112"/>
        <v>0</v>
      </c>
      <c r="L178" s="22">
        <f t="shared" si="112"/>
        <v>5168</v>
      </c>
    </row>
    <row r="179" spans="1:12" ht="22.5" customHeight="1" x14ac:dyDescent="0.25">
      <c r="A179" s="67" t="s">
        <v>286</v>
      </c>
      <c r="B179" s="25" t="s">
        <v>304</v>
      </c>
      <c r="C179" s="22">
        <f t="shared" si="109"/>
        <v>234291</v>
      </c>
      <c r="D179" s="68">
        <v>233959</v>
      </c>
      <c r="E179" s="11">
        <v>0</v>
      </c>
      <c r="F179" s="66">
        <v>0</v>
      </c>
      <c r="G179" s="11">
        <v>0</v>
      </c>
      <c r="H179" s="66">
        <v>0</v>
      </c>
      <c r="I179" s="11">
        <v>0</v>
      </c>
      <c r="J179" s="66">
        <v>0</v>
      </c>
      <c r="K179" s="11">
        <v>0</v>
      </c>
      <c r="L179" s="68">
        <v>332</v>
      </c>
    </row>
    <row r="180" spans="1:12" x14ac:dyDescent="0.25">
      <c r="A180" s="67" t="s">
        <v>287</v>
      </c>
      <c r="B180" s="25" t="s">
        <v>305</v>
      </c>
      <c r="C180" s="22">
        <f t="shared" si="109"/>
        <v>289216</v>
      </c>
      <c r="D180" s="68">
        <v>284380</v>
      </c>
      <c r="E180" s="11">
        <v>0</v>
      </c>
      <c r="F180" s="66">
        <v>0</v>
      </c>
      <c r="G180" s="11">
        <v>0</v>
      </c>
      <c r="H180" s="66">
        <v>0</v>
      </c>
      <c r="I180" s="11">
        <v>0</v>
      </c>
      <c r="J180" s="66">
        <v>0</v>
      </c>
      <c r="K180" s="11">
        <v>0</v>
      </c>
      <c r="L180" s="68">
        <v>4836</v>
      </c>
    </row>
    <row r="181" spans="1:12" x14ac:dyDescent="0.25">
      <c r="A181" s="62" t="s">
        <v>288</v>
      </c>
      <c r="B181" s="63" t="s">
        <v>306</v>
      </c>
      <c r="C181" s="22">
        <f>SUM(D181:L181)</f>
        <v>1161299</v>
      </c>
      <c r="D181" s="22">
        <f>SUM(D182:D184)</f>
        <v>1135808</v>
      </c>
      <c r="E181" s="31">
        <f t="shared" ref="E181:L181" si="113">SUM(E182:E184)</f>
        <v>-16000</v>
      </c>
      <c r="F181" s="26">
        <f t="shared" si="113"/>
        <v>5850</v>
      </c>
      <c r="G181" s="31">
        <f t="shared" si="113"/>
        <v>0</v>
      </c>
      <c r="H181" s="26">
        <f t="shared" si="113"/>
        <v>31548</v>
      </c>
      <c r="I181" s="31">
        <f t="shared" si="113"/>
        <v>0</v>
      </c>
      <c r="J181" s="26">
        <f t="shared" si="113"/>
        <v>0</v>
      </c>
      <c r="K181" s="23">
        <f t="shared" si="113"/>
        <v>0</v>
      </c>
      <c r="L181" s="22">
        <f t="shared" si="113"/>
        <v>4093</v>
      </c>
    </row>
    <row r="182" spans="1:12" ht="38.25" x14ac:dyDescent="0.25">
      <c r="A182" s="67" t="s">
        <v>289</v>
      </c>
      <c r="B182" s="25" t="s">
        <v>307</v>
      </c>
      <c r="C182" s="22">
        <f t="shared" si="109"/>
        <v>966574</v>
      </c>
      <c r="D182" s="68">
        <v>941101</v>
      </c>
      <c r="E182" s="11">
        <v>-16000</v>
      </c>
      <c r="F182" s="66">
        <v>5850</v>
      </c>
      <c r="G182" s="11">
        <v>0</v>
      </c>
      <c r="H182" s="66">
        <v>31548</v>
      </c>
      <c r="I182" s="11">
        <v>0</v>
      </c>
      <c r="J182" s="66">
        <v>0</v>
      </c>
      <c r="K182" s="11">
        <v>0</v>
      </c>
      <c r="L182" s="68">
        <v>4075</v>
      </c>
    </row>
    <row r="183" spans="1:12" ht="25.5" x14ac:dyDescent="0.25">
      <c r="A183" s="67" t="s">
        <v>290</v>
      </c>
      <c r="B183" s="25" t="s">
        <v>360</v>
      </c>
      <c r="C183" s="22">
        <f t="shared" si="109"/>
        <v>194725</v>
      </c>
      <c r="D183" s="68">
        <v>194707</v>
      </c>
      <c r="E183" s="11">
        <v>0</v>
      </c>
      <c r="F183" s="66">
        <v>0</v>
      </c>
      <c r="G183" s="11">
        <v>0</v>
      </c>
      <c r="H183" s="66">
        <v>0</v>
      </c>
      <c r="I183" s="11">
        <v>0</v>
      </c>
      <c r="J183" s="66">
        <v>0</v>
      </c>
      <c r="K183" s="11">
        <v>0</v>
      </c>
      <c r="L183" s="68">
        <v>18</v>
      </c>
    </row>
    <row r="184" spans="1:12" hidden="1" x14ac:dyDescent="0.25">
      <c r="A184" s="57"/>
      <c r="B184" s="58"/>
      <c r="C184" s="79">
        <f t="shared" si="109"/>
        <v>0</v>
      </c>
      <c r="D184" s="82"/>
      <c r="E184" s="93"/>
      <c r="F184" s="82"/>
      <c r="G184" s="93"/>
      <c r="H184" s="82"/>
      <c r="I184" s="93"/>
      <c r="J184" s="82"/>
      <c r="K184" s="93"/>
      <c r="L184" s="82"/>
    </row>
    <row r="185" spans="1:12" x14ac:dyDescent="0.25">
      <c r="A185" s="62" t="s">
        <v>508</v>
      </c>
      <c r="B185" s="63" t="s">
        <v>308</v>
      </c>
      <c r="C185" s="22">
        <f>SUM(D185:L185)</f>
        <v>53000</v>
      </c>
      <c r="D185" s="22">
        <f>D186</f>
        <v>23000</v>
      </c>
      <c r="E185" s="23">
        <f t="shared" ref="E185:L185" si="114">E186</f>
        <v>0</v>
      </c>
      <c r="F185" s="22">
        <f t="shared" si="114"/>
        <v>0</v>
      </c>
      <c r="G185" s="23">
        <f t="shared" si="114"/>
        <v>0</v>
      </c>
      <c r="H185" s="22">
        <f t="shared" si="114"/>
        <v>30000</v>
      </c>
      <c r="I185" s="23">
        <f t="shared" si="114"/>
        <v>0</v>
      </c>
      <c r="J185" s="22">
        <f t="shared" si="114"/>
        <v>0</v>
      </c>
      <c r="K185" s="23">
        <f t="shared" si="114"/>
        <v>0</v>
      </c>
      <c r="L185" s="22">
        <f t="shared" si="114"/>
        <v>0</v>
      </c>
    </row>
    <row r="186" spans="1:12" x14ac:dyDescent="0.25">
      <c r="A186" s="67" t="s">
        <v>291</v>
      </c>
      <c r="B186" s="25" t="s">
        <v>308</v>
      </c>
      <c r="C186" s="22">
        <f>SUM(D186:L186)</f>
        <v>53000</v>
      </c>
      <c r="D186" s="68">
        <v>23000</v>
      </c>
      <c r="E186" s="11">
        <v>0</v>
      </c>
      <c r="F186" s="66">
        <v>0</v>
      </c>
      <c r="G186" s="11">
        <v>0</v>
      </c>
      <c r="H186" s="66">
        <v>30000</v>
      </c>
      <c r="I186" s="11">
        <v>0</v>
      </c>
      <c r="J186" s="66">
        <v>0</v>
      </c>
      <c r="K186" s="11">
        <v>0</v>
      </c>
      <c r="L186" s="68">
        <v>0</v>
      </c>
    </row>
    <row r="187" spans="1:12" x14ac:dyDescent="0.25">
      <c r="A187" s="62" t="s">
        <v>509</v>
      </c>
      <c r="B187" s="63" t="s">
        <v>510</v>
      </c>
      <c r="C187" s="22">
        <f>SUM(D187:L187)</f>
        <v>335040</v>
      </c>
      <c r="D187" s="22">
        <f>D188</f>
        <v>335040</v>
      </c>
      <c r="E187" s="23">
        <f t="shared" ref="E187:L187" si="115">E188</f>
        <v>0</v>
      </c>
      <c r="F187" s="22">
        <f t="shared" si="115"/>
        <v>0</v>
      </c>
      <c r="G187" s="23">
        <f t="shared" si="115"/>
        <v>0</v>
      </c>
      <c r="H187" s="22">
        <f t="shared" si="115"/>
        <v>0</v>
      </c>
      <c r="I187" s="23">
        <f t="shared" si="115"/>
        <v>0</v>
      </c>
      <c r="J187" s="22">
        <f t="shared" si="115"/>
        <v>0</v>
      </c>
      <c r="K187" s="23">
        <f t="shared" si="115"/>
        <v>0</v>
      </c>
      <c r="L187" s="22">
        <f t="shared" si="115"/>
        <v>0</v>
      </c>
    </row>
    <row r="188" spans="1:12" ht="35.25" customHeight="1" x14ac:dyDescent="0.25">
      <c r="A188" s="67" t="s">
        <v>292</v>
      </c>
      <c r="B188" s="25" t="s">
        <v>309</v>
      </c>
      <c r="C188" s="22">
        <f>SUM(D188:L188)</f>
        <v>335040</v>
      </c>
      <c r="D188" s="68">
        <v>335040</v>
      </c>
      <c r="E188" s="11">
        <v>0</v>
      </c>
      <c r="F188" s="66">
        <v>0</v>
      </c>
      <c r="G188" s="11">
        <v>0</v>
      </c>
      <c r="H188" s="66">
        <v>0</v>
      </c>
      <c r="I188" s="11">
        <v>0</v>
      </c>
      <c r="J188" s="66">
        <v>0</v>
      </c>
      <c r="K188" s="11">
        <v>0</v>
      </c>
      <c r="L188" s="68">
        <v>0</v>
      </c>
    </row>
    <row r="189" spans="1:12" ht="27.75" customHeight="1" x14ac:dyDescent="0.25">
      <c r="A189" s="62" t="s">
        <v>293</v>
      </c>
      <c r="B189" s="63" t="s">
        <v>310</v>
      </c>
      <c r="C189" s="22">
        <f>SUM(D189:L189)</f>
        <v>3048248</v>
      </c>
      <c r="D189" s="22">
        <f>SUM(D190:D195)</f>
        <v>2409134</v>
      </c>
      <c r="E189" s="31">
        <f t="shared" ref="E189:L189" si="116">SUM(E190:E195)</f>
        <v>0</v>
      </c>
      <c r="F189" s="26">
        <f t="shared" si="116"/>
        <v>13940</v>
      </c>
      <c r="G189" s="31">
        <f t="shared" si="116"/>
        <v>0</v>
      </c>
      <c r="H189" s="26">
        <f t="shared" si="116"/>
        <v>616896</v>
      </c>
      <c r="I189" s="31">
        <f t="shared" si="116"/>
        <v>0</v>
      </c>
      <c r="J189" s="26">
        <f t="shared" si="116"/>
        <v>1205</v>
      </c>
      <c r="K189" s="23">
        <f t="shared" si="116"/>
        <v>0</v>
      </c>
      <c r="L189" s="22">
        <f t="shared" si="116"/>
        <v>7073</v>
      </c>
    </row>
    <row r="190" spans="1:12" x14ac:dyDescent="0.25">
      <c r="A190" s="67" t="s">
        <v>294</v>
      </c>
      <c r="B190" s="25" t="s">
        <v>311</v>
      </c>
      <c r="C190" s="22">
        <f t="shared" ref="C190:C200" si="117">SUM(D190:L190)</f>
        <v>9175</v>
      </c>
      <c r="D190" s="68">
        <v>9175</v>
      </c>
      <c r="E190" s="11">
        <v>0</v>
      </c>
      <c r="F190" s="66">
        <v>0</v>
      </c>
      <c r="G190" s="11">
        <v>0</v>
      </c>
      <c r="H190" s="66">
        <v>0</v>
      </c>
      <c r="I190" s="11">
        <v>0</v>
      </c>
      <c r="J190" s="66">
        <v>0</v>
      </c>
      <c r="K190" s="11">
        <v>0</v>
      </c>
      <c r="L190" s="68">
        <v>0</v>
      </c>
    </row>
    <row r="191" spans="1:12" ht="53.25" customHeight="1" x14ac:dyDescent="0.25">
      <c r="A191" s="67" t="s">
        <v>295</v>
      </c>
      <c r="B191" s="25" t="s">
        <v>364</v>
      </c>
      <c r="C191" s="22">
        <f t="shared" si="117"/>
        <v>67899</v>
      </c>
      <c r="D191" s="68">
        <v>67899</v>
      </c>
      <c r="E191" s="11">
        <v>0</v>
      </c>
      <c r="F191" s="66">
        <v>0</v>
      </c>
      <c r="G191" s="11">
        <v>0</v>
      </c>
      <c r="H191" s="66">
        <v>0</v>
      </c>
      <c r="I191" s="11">
        <v>0</v>
      </c>
      <c r="J191" s="66">
        <v>0</v>
      </c>
      <c r="K191" s="11">
        <v>0</v>
      </c>
      <c r="L191" s="68">
        <v>0</v>
      </c>
    </row>
    <row r="192" spans="1:12" x14ac:dyDescent="0.25">
      <c r="A192" s="67" t="s">
        <v>296</v>
      </c>
      <c r="B192" s="25" t="s">
        <v>312</v>
      </c>
      <c r="C192" s="22">
        <f t="shared" si="117"/>
        <v>92135</v>
      </c>
      <c r="D192" s="68">
        <v>80996</v>
      </c>
      <c r="E192" s="11">
        <v>0</v>
      </c>
      <c r="F192" s="66">
        <v>6640</v>
      </c>
      <c r="G192" s="11">
        <v>0</v>
      </c>
      <c r="H192" s="66">
        <v>0</v>
      </c>
      <c r="I192" s="11">
        <v>0</v>
      </c>
      <c r="J192" s="66">
        <v>1205</v>
      </c>
      <c r="K192" s="11">
        <v>0</v>
      </c>
      <c r="L192" s="68">
        <v>3294</v>
      </c>
    </row>
    <row r="193" spans="1:12" x14ac:dyDescent="0.25">
      <c r="A193" s="67" t="s">
        <v>297</v>
      </c>
      <c r="B193" s="25" t="s">
        <v>313</v>
      </c>
      <c r="C193" s="22">
        <f t="shared" ref="C193" si="118">SUM(D193:L193)</f>
        <v>15673</v>
      </c>
      <c r="D193" s="68">
        <v>12673</v>
      </c>
      <c r="E193" s="11">
        <v>0</v>
      </c>
      <c r="F193" s="66">
        <v>3000</v>
      </c>
      <c r="G193" s="11">
        <v>0</v>
      </c>
      <c r="H193" s="66">
        <v>0</v>
      </c>
      <c r="I193" s="11">
        <v>0</v>
      </c>
      <c r="J193" s="66">
        <v>0</v>
      </c>
      <c r="K193" s="11">
        <v>0</v>
      </c>
      <c r="L193" s="68">
        <v>0</v>
      </c>
    </row>
    <row r="194" spans="1:12" ht="25.5" x14ac:dyDescent="0.25">
      <c r="A194" s="67" t="s">
        <v>511</v>
      </c>
      <c r="B194" s="25" t="s">
        <v>512</v>
      </c>
      <c r="C194" s="22">
        <f t="shared" si="117"/>
        <v>263674</v>
      </c>
      <c r="D194" s="68">
        <v>255595</v>
      </c>
      <c r="E194" s="11">
        <v>0</v>
      </c>
      <c r="F194" s="66">
        <v>4300</v>
      </c>
      <c r="G194" s="11">
        <v>0</v>
      </c>
      <c r="H194" s="66">
        <v>0</v>
      </c>
      <c r="I194" s="11">
        <v>0</v>
      </c>
      <c r="J194" s="66">
        <v>0</v>
      </c>
      <c r="K194" s="11">
        <v>0</v>
      </c>
      <c r="L194" s="68">
        <v>3779</v>
      </c>
    </row>
    <row r="195" spans="1:12" ht="38.25" x14ac:dyDescent="0.25">
      <c r="A195" s="67" t="s">
        <v>513</v>
      </c>
      <c r="B195" s="25" t="s">
        <v>514</v>
      </c>
      <c r="C195" s="22">
        <f t="shared" si="117"/>
        <v>2599692</v>
      </c>
      <c r="D195" s="68">
        <v>1982796</v>
      </c>
      <c r="E195" s="11">
        <v>0</v>
      </c>
      <c r="F195" s="66">
        <v>0</v>
      </c>
      <c r="G195" s="11">
        <v>0</v>
      </c>
      <c r="H195" s="66">
        <v>616896</v>
      </c>
      <c r="I195" s="11">
        <v>0</v>
      </c>
      <c r="J195" s="66">
        <v>0</v>
      </c>
      <c r="K195" s="11">
        <v>0</v>
      </c>
      <c r="L195" s="68">
        <v>0</v>
      </c>
    </row>
    <row r="196" spans="1:12" ht="25.5" x14ac:dyDescent="0.25">
      <c r="A196" s="62" t="s">
        <v>298</v>
      </c>
      <c r="B196" s="63" t="s">
        <v>314</v>
      </c>
      <c r="C196" s="22">
        <f>SUM(D196:L196)</f>
        <v>1646092</v>
      </c>
      <c r="D196" s="22">
        <f>SUM(D197:D200)</f>
        <v>1371132</v>
      </c>
      <c r="E196" s="31">
        <f t="shared" ref="E196:L196" si="119">SUM(E197:E200)</f>
        <v>215041</v>
      </c>
      <c r="F196" s="26">
        <f t="shared" si="119"/>
        <v>180</v>
      </c>
      <c r="G196" s="31">
        <f t="shared" si="119"/>
        <v>0</v>
      </c>
      <c r="H196" s="26">
        <f t="shared" si="119"/>
        <v>0</v>
      </c>
      <c r="I196" s="31">
        <f t="shared" si="119"/>
        <v>27000</v>
      </c>
      <c r="J196" s="26">
        <f t="shared" si="119"/>
        <v>0</v>
      </c>
      <c r="K196" s="23">
        <f t="shared" si="119"/>
        <v>0</v>
      </c>
      <c r="L196" s="22">
        <f t="shared" si="119"/>
        <v>32739</v>
      </c>
    </row>
    <row r="197" spans="1:12" ht="38.25" x14ac:dyDescent="0.25">
      <c r="A197" s="67" t="s">
        <v>315</v>
      </c>
      <c r="B197" s="25" t="s">
        <v>361</v>
      </c>
      <c r="C197" s="22">
        <f t="shared" si="117"/>
        <v>1127601</v>
      </c>
      <c r="D197" s="68">
        <v>1119147</v>
      </c>
      <c r="E197" s="11">
        <v>0</v>
      </c>
      <c r="F197" s="66">
        <v>180</v>
      </c>
      <c r="G197" s="11">
        <v>0</v>
      </c>
      <c r="H197" s="66">
        <v>0</v>
      </c>
      <c r="I197" s="11">
        <v>0</v>
      </c>
      <c r="J197" s="66">
        <v>0</v>
      </c>
      <c r="K197" s="11">
        <v>0</v>
      </c>
      <c r="L197" s="68">
        <v>8274</v>
      </c>
    </row>
    <row r="198" spans="1:12" ht="25.5" x14ac:dyDescent="0.25">
      <c r="A198" s="67" t="s">
        <v>299</v>
      </c>
      <c r="B198" s="25" t="s">
        <v>328</v>
      </c>
      <c r="C198" s="22">
        <f t="shared" ref="C198:C199" si="120">SUM(D198:L198)</f>
        <v>65000</v>
      </c>
      <c r="D198" s="68">
        <v>7179</v>
      </c>
      <c r="E198" s="11">
        <v>30800</v>
      </c>
      <c r="F198" s="66">
        <v>0</v>
      </c>
      <c r="G198" s="11">
        <v>0</v>
      </c>
      <c r="H198" s="66">
        <v>0</v>
      </c>
      <c r="I198" s="11">
        <v>27000</v>
      </c>
      <c r="J198" s="66">
        <v>0</v>
      </c>
      <c r="K198" s="11">
        <v>0</v>
      </c>
      <c r="L198" s="68">
        <v>21</v>
      </c>
    </row>
    <row r="199" spans="1:12" ht="38.25" x14ac:dyDescent="0.25">
      <c r="A199" s="67" t="s">
        <v>300</v>
      </c>
      <c r="B199" s="25" t="s">
        <v>316</v>
      </c>
      <c r="C199" s="22">
        <f t="shared" si="120"/>
        <v>269250</v>
      </c>
      <c r="D199" s="68">
        <v>244806</v>
      </c>
      <c r="E199" s="11">
        <v>0</v>
      </c>
      <c r="F199" s="68">
        <v>0</v>
      </c>
      <c r="G199" s="11">
        <v>0</v>
      </c>
      <c r="H199" s="68">
        <v>0</v>
      </c>
      <c r="I199" s="11">
        <v>0</v>
      </c>
      <c r="J199" s="68">
        <v>0</v>
      </c>
      <c r="K199" s="11">
        <v>0</v>
      </c>
      <c r="L199" s="68">
        <v>24444</v>
      </c>
    </row>
    <row r="200" spans="1:12" x14ac:dyDescent="0.25">
      <c r="A200" s="64" t="s">
        <v>848</v>
      </c>
      <c r="B200" s="65" t="s">
        <v>849</v>
      </c>
      <c r="C200" s="26">
        <f t="shared" si="117"/>
        <v>184241</v>
      </c>
      <c r="D200" s="66">
        <v>0</v>
      </c>
      <c r="E200" s="11">
        <v>184241</v>
      </c>
      <c r="F200" s="66">
        <v>0</v>
      </c>
      <c r="G200" s="11">
        <v>0</v>
      </c>
      <c r="H200" s="66">
        <v>0</v>
      </c>
      <c r="I200" s="11">
        <v>0</v>
      </c>
      <c r="J200" s="66">
        <v>0</v>
      </c>
      <c r="K200" s="11">
        <v>0</v>
      </c>
      <c r="L200" s="66">
        <v>0</v>
      </c>
    </row>
    <row r="201" spans="1:12" x14ac:dyDescent="0.25">
      <c r="A201" s="87"/>
      <c r="B201" s="30" t="s">
        <v>112</v>
      </c>
      <c r="C201" s="28">
        <f>SUM(D201:L201)</f>
        <v>9173159</v>
      </c>
      <c r="D201" s="28">
        <f>D202+D203+D209</f>
        <v>2320343</v>
      </c>
      <c r="E201" s="28">
        <f t="shared" ref="E201:L201" si="121">E202+E203+E209</f>
        <v>-381303</v>
      </c>
      <c r="F201" s="28">
        <f t="shared" si="121"/>
        <v>0</v>
      </c>
      <c r="G201" s="28">
        <f t="shared" si="121"/>
        <v>0</v>
      </c>
      <c r="H201" s="28">
        <f t="shared" si="121"/>
        <v>0</v>
      </c>
      <c r="I201" s="28">
        <f t="shared" si="121"/>
        <v>388970</v>
      </c>
      <c r="J201" s="28">
        <f t="shared" si="121"/>
        <v>0</v>
      </c>
      <c r="K201" s="28">
        <f t="shared" si="121"/>
        <v>0</v>
      </c>
      <c r="L201" s="28">
        <f t="shared" si="121"/>
        <v>6845149</v>
      </c>
    </row>
    <row r="202" spans="1:12" ht="25.5" x14ac:dyDescent="0.25">
      <c r="A202" s="62" t="s">
        <v>113</v>
      </c>
      <c r="B202" s="63" t="s">
        <v>124</v>
      </c>
      <c r="C202" s="22">
        <f>SUM(D202:L202)</f>
        <v>7234119</v>
      </c>
      <c r="D202" s="22">
        <v>0</v>
      </c>
      <c r="E202" s="11">
        <v>0</v>
      </c>
      <c r="F202" s="26">
        <v>0</v>
      </c>
      <c r="G202" s="11">
        <v>0</v>
      </c>
      <c r="H202" s="26">
        <v>0</v>
      </c>
      <c r="I202" s="11">
        <v>388970</v>
      </c>
      <c r="J202" s="26">
        <v>0</v>
      </c>
      <c r="K202" s="11">
        <v>0</v>
      </c>
      <c r="L202" s="22">
        <v>6845149</v>
      </c>
    </row>
    <row r="203" spans="1:12" ht="25.5" x14ac:dyDescent="0.25">
      <c r="A203" s="62" t="s">
        <v>114</v>
      </c>
      <c r="B203" s="63" t="s">
        <v>125</v>
      </c>
      <c r="C203" s="22">
        <f>SUM(D203:L203)</f>
        <v>807335</v>
      </c>
      <c r="D203" s="22">
        <f>SUM(D204:D208)</f>
        <v>698055</v>
      </c>
      <c r="E203" s="31">
        <f t="shared" ref="E203:L203" si="122">SUM(E204:E208)</f>
        <v>109280</v>
      </c>
      <c r="F203" s="26">
        <f t="shared" si="122"/>
        <v>0</v>
      </c>
      <c r="G203" s="31">
        <f t="shared" si="122"/>
        <v>0</v>
      </c>
      <c r="H203" s="26">
        <f t="shared" si="122"/>
        <v>0</v>
      </c>
      <c r="I203" s="31">
        <f t="shared" si="122"/>
        <v>0</v>
      </c>
      <c r="J203" s="26">
        <f t="shared" si="122"/>
        <v>0</v>
      </c>
      <c r="K203" s="23">
        <f t="shared" si="122"/>
        <v>0</v>
      </c>
      <c r="L203" s="22">
        <f t="shared" si="122"/>
        <v>0</v>
      </c>
    </row>
    <row r="204" spans="1:12" ht="25.5" hidden="1" x14ac:dyDescent="0.25">
      <c r="A204" s="74"/>
      <c r="B204" s="25" t="s">
        <v>362</v>
      </c>
      <c r="C204" s="22">
        <f t="shared" ref="C204:C208" si="123">SUM(D204:L204)</f>
        <v>0</v>
      </c>
      <c r="D204" s="68">
        <v>0</v>
      </c>
      <c r="E204" s="11">
        <v>0</v>
      </c>
      <c r="F204" s="68">
        <v>0</v>
      </c>
      <c r="G204" s="12">
        <v>0</v>
      </c>
      <c r="H204" s="68">
        <v>0</v>
      </c>
      <c r="I204" s="12">
        <v>0</v>
      </c>
      <c r="J204" s="68">
        <v>0</v>
      </c>
      <c r="K204" s="12">
        <v>0</v>
      </c>
      <c r="L204" s="109">
        <v>0</v>
      </c>
    </row>
    <row r="205" spans="1:12" x14ac:dyDescent="0.25">
      <c r="A205" s="74"/>
      <c r="B205" s="25" t="s">
        <v>338</v>
      </c>
      <c r="C205" s="22">
        <f t="shared" si="123"/>
        <v>25000</v>
      </c>
      <c r="D205" s="68">
        <v>25000</v>
      </c>
      <c r="E205" s="11">
        <v>0</v>
      </c>
      <c r="F205" s="68">
        <v>0</v>
      </c>
      <c r="G205" s="12">
        <v>0</v>
      </c>
      <c r="H205" s="68">
        <v>0</v>
      </c>
      <c r="I205" s="12">
        <v>0</v>
      </c>
      <c r="J205" s="68">
        <v>0</v>
      </c>
      <c r="K205" s="12">
        <v>0</v>
      </c>
      <c r="L205" s="109">
        <v>0</v>
      </c>
    </row>
    <row r="206" spans="1:12" ht="16.5" customHeight="1" x14ac:dyDescent="0.25">
      <c r="A206" s="74"/>
      <c r="B206" s="25" t="s">
        <v>337</v>
      </c>
      <c r="C206" s="22">
        <f t="shared" si="123"/>
        <v>682335</v>
      </c>
      <c r="D206" s="68">
        <v>573055</v>
      </c>
      <c r="E206" s="11">
        <v>109280</v>
      </c>
      <c r="F206" s="66">
        <v>0</v>
      </c>
      <c r="G206" s="11">
        <v>0</v>
      </c>
      <c r="H206" s="66">
        <v>0</v>
      </c>
      <c r="I206" s="12">
        <v>0</v>
      </c>
      <c r="J206" s="68">
        <v>0</v>
      </c>
      <c r="K206" s="12">
        <v>0</v>
      </c>
      <c r="L206" s="109">
        <v>0</v>
      </c>
    </row>
    <row r="207" spans="1:12" x14ac:dyDescent="0.25">
      <c r="A207" s="74"/>
      <c r="B207" s="25" t="s">
        <v>336</v>
      </c>
      <c r="C207" s="22">
        <f t="shared" si="123"/>
        <v>100000</v>
      </c>
      <c r="D207" s="68">
        <v>100000</v>
      </c>
      <c r="E207" s="11">
        <v>0</v>
      </c>
      <c r="F207" s="66">
        <v>0</v>
      </c>
      <c r="G207" s="11">
        <v>0</v>
      </c>
      <c r="H207" s="66">
        <v>0</v>
      </c>
      <c r="I207" s="12">
        <v>0</v>
      </c>
      <c r="J207" s="68">
        <v>0</v>
      </c>
      <c r="K207" s="12">
        <v>0</v>
      </c>
      <c r="L207" s="109">
        <v>0</v>
      </c>
    </row>
    <row r="208" spans="1:12" hidden="1" x14ac:dyDescent="0.25">
      <c r="A208" s="74"/>
      <c r="B208" s="25" t="s">
        <v>335</v>
      </c>
      <c r="C208" s="22">
        <f t="shared" si="123"/>
        <v>0</v>
      </c>
      <c r="D208" s="68">
        <v>0</v>
      </c>
      <c r="E208" s="11">
        <v>0</v>
      </c>
      <c r="F208" s="66">
        <v>0</v>
      </c>
      <c r="G208" s="11">
        <v>0</v>
      </c>
      <c r="H208" s="66">
        <v>0</v>
      </c>
      <c r="I208" s="12">
        <v>0</v>
      </c>
      <c r="J208" s="68">
        <v>0</v>
      </c>
      <c r="K208" s="12">
        <v>0</v>
      </c>
      <c r="L208" s="109">
        <v>0</v>
      </c>
    </row>
    <row r="209" spans="1:12" ht="25.5" x14ac:dyDescent="0.25">
      <c r="A209" s="62" t="s">
        <v>93</v>
      </c>
      <c r="B209" s="63" t="s">
        <v>127</v>
      </c>
      <c r="C209" s="22">
        <f>SUM(D209:L209)</f>
        <v>1131705</v>
      </c>
      <c r="D209" s="105">
        <f>1774288-152000</f>
        <v>1622288</v>
      </c>
      <c r="E209" s="123">
        <v>-490583</v>
      </c>
      <c r="F209" s="117">
        <v>0</v>
      </c>
      <c r="G209" s="123">
        <v>0</v>
      </c>
      <c r="H209" s="117">
        <v>0</v>
      </c>
      <c r="I209" s="123">
        <v>0</v>
      </c>
      <c r="J209" s="105">
        <v>0</v>
      </c>
      <c r="K209" s="110">
        <v>0</v>
      </c>
      <c r="L209" s="105">
        <v>0</v>
      </c>
    </row>
    <row r="210" spans="1:12" x14ac:dyDescent="0.25">
      <c r="A210" s="59"/>
      <c r="B210" s="113" t="s">
        <v>318</v>
      </c>
      <c r="C210" s="111">
        <f>C11+C201</f>
        <v>105430010</v>
      </c>
      <c r="D210" s="111">
        <f>D11+D201</f>
        <v>68613864</v>
      </c>
      <c r="E210" s="112">
        <f>E11+E201</f>
        <v>0</v>
      </c>
      <c r="F210" s="111">
        <f t="shared" ref="F210:L210" si="124">F11+F201</f>
        <v>1714373</v>
      </c>
      <c r="G210" s="112">
        <f t="shared" si="124"/>
        <v>71123</v>
      </c>
      <c r="H210" s="111">
        <f t="shared" si="124"/>
        <v>20562501</v>
      </c>
      <c r="I210" s="112">
        <f t="shared" si="124"/>
        <v>482195</v>
      </c>
      <c r="J210" s="111">
        <f t="shared" si="124"/>
        <v>690899</v>
      </c>
      <c r="K210" s="112">
        <f t="shared" si="124"/>
        <v>0</v>
      </c>
      <c r="L210" s="111">
        <f t="shared" si="124"/>
        <v>13295055</v>
      </c>
    </row>
    <row r="211" spans="1:12" x14ac:dyDescent="0.25">
      <c r="A211" s="9"/>
      <c r="B211" s="8"/>
      <c r="C211" s="16"/>
      <c r="D211" s="9"/>
      <c r="E211" s="89"/>
      <c r="F211" s="9"/>
      <c r="G211" s="89"/>
      <c r="H211" s="9"/>
      <c r="I211" s="89"/>
      <c r="J211" s="9"/>
      <c r="K211" s="89"/>
    </row>
    <row r="212" spans="1:12" ht="18.75" x14ac:dyDescent="0.3">
      <c r="A212" s="532" t="s">
        <v>102</v>
      </c>
      <c r="B212" s="532"/>
      <c r="C212" s="32"/>
      <c r="D212" s="7"/>
      <c r="E212" s="90"/>
      <c r="F212" s="7"/>
      <c r="G212" s="91"/>
      <c r="H212" s="7"/>
      <c r="I212" s="91"/>
      <c r="J212" s="7"/>
      <c r="K212" s="533" t="s">
        <v>103</v>
      </c>
      <c r="L212" s="533"/>
    </row>
    <row r="213" spans="1:12" x14ac:dyDescent="0.25">
      <c r="A213" s="9"/>
      <c r="B213" s="8"/>
      <c r="C213" s="16"/>
      <c r="D213" s="9"/>
      <c r="E213" s="89"/>
      <c r="F213" s="9"/>
      <c r="G213" s="89"/>
      <c r="H213" s="9"/>
      <c r="I213" s="89"/>
      <c r="J213" s="9"/>
      <c r="K213" s="89"/>
    </row>
    <row r="214" spans="1:12" x14ac:dyDescent="0.25">
      <c r="A214" s="9"/>
      <c r="B214" s="8"/>
      <c r="C214" s="16"/>
      <c r="D214" s="9"/>
      <c r="E214" s="166"/>
      <c r="F214" s="9"/>
      <c r="G214" s="89"/>
      <c r="H214" s="9"/>
      <c r="I214" s="89"/>
      <c r="J214" s="9"/>
      <c r="K214" s="89"/>
    </row>
    <row r="215" spans="1:12" x14ac:dyDescent="0.25">
      <c r="A215" s="9"/>
      <c r="C215" s="16"/>
      <c r="D215" s="9"/>
      <c r="E215" s="89"/>
      <c r="F215" s="9"/>
      <c r="G215" s="89"/>
      <c r="H215" s="9"/>
      <c r="I215" s="89"/>
      <c r="J215" s="9"/>
      <c r="K215" s="89"/>
    </row>
    <row r="216" spans="1:12" x14ac:dyDescent="0.25">
      <c r="A216" s="9"/>
      <c r="C216" s="16"/>
      <c r="D216" s="9"/>
      <c r="E216" s="89"/>
      <c r="F216" s="9"/>
      <c r="G216" s="89"/>
      <c r="H216" s="9"/>
      <c r="I216" s="89"/>
      <c r="J216" s="9"/>
      <c r="K216" s="89"/>
    </row>
    <row r="217" spans="1:12" x14ac:dyDescent="0.25">
      <c r="A217" s="9"/>
      <c r="C217" s="16"/>
      <c r="D217" s="9"/>
      <c r="E217" s="89"/>
      <c r="F217" s="9"/>
      <c r="G217" s="89"/>
      <c r="H217" s="9"/>
      <c r="I217" s="89"/>
      <c r="J217" s="9"/>
      <c r="K217" s="89"/>
    </row>
    <row r="218" spans="1:12" x14ac:dyDescent="0.25">
      <c r="A218" s="9"/>
      <c r="C218" s="16"/>
      <c r="D218" s="9"/>
      <c r="E218" s="89"/>
      <c r="F218" s="9"/>
      <c r="G218" s="89"/>
      <c r="H218" s="9"/>
      <c r="I218" s="89"/>
      <c r="J218" s="9"/>
      <c r="K218" s="89"/>
    </row>
    <row r="219" spans="1:12" x14ac:dyDescent="0.25">
      <c r="A219" s="9"/>
      <c r="C219" s="16"/>
      <c r="D219" s="9"/>
      <c r="E219" s="89"/>
      <c r="F219" s="9"/>
      <c r="G219" s="89"/>
      <c r="H219" s="9"/>
      <c r="I219" s="89"/>
      <c r="J219" s="9"/>
      <c r="K219" s="89"/>
    </row>
    <row r="220" spans="1:12" x14ac:dyDescent="0.25">
      <c r="A220" s="9"/>
      <c r="B220" s="8"/>
      <c r="C220" s="16"/>
      <c r="D220" s="9"/>
      <c r="E220" s="89"/>
      <c r="F220" s="9"/>
      <c r="G220" s="89"/>
      <c r="H220" s="9"/>
      <c r="I220" s="89"/>
      <c r="J220" s="9"/>
      <c r="K220" s="89"/>
    </row>
    <row r="221" spans="1:12" x14ac:dyDescent="0.25">
      <c r="A221" s="9"/>
      <c r="B221" s="8"/>
      <c r="C221" s="16"/>
      <c r="D221" s="9"/>
      <c r="E221" s="89"/>
      <c r="F221" s="9"/>
      <c r="G221" s="89"/>
      <c r="H221" s="9"/>
      <c r="I221" s="89"/>
      <c r="J221" s="9"/>
      <c r="K221" s="89"/>
    </row>
    <row r="222" spans="1:12" x14ac:dyDescent="0.25">
      <c r="A222" s="9"/>
      <c r="B222" s="8"/>
      <c r="C222" s="16"/>
      <c r="D222" s="9"/>
      <c r="E222" s="89"/>
      <c r="F222" s="9"/>
      <c r="G222" s="89"/>
      <c r="H222" s="9"/>
      <c r="I222" s="89"/>
      <c r="J222" s="9"/>
      <c r="K222" s="89"/>
    </row>
    <row r="223" spans="1:12" x14ac:dyDescent="0.25">
      <c r="A223" s="9"/>
      <c r="B223" s="8"/>
      <c r="C223" s="16"/>
      <c r="D223" s="9"/>
      <c r="E223" s="89"/>
      <c r="F223" s="9"/>
      <c r="G223" s="89"/>
      <c r="H223" s="9"/>
      <c r="I223" s="89"/>
      <c r="J223" s="9"/>
      <c r="K223" s="89"/>
    </row>
    <row r="224" spans="1:12" x14ac:dyDescent="0.25">
      <c r="A224" s="9"/>
      <c r="B224" s="8"/>
      <c r="C224" s="16"/>
      <c r="D224" s="9"/>
      <c r="E224" s="89"/>
      <c r="F224" s="9"/>
      <c r="G224" s="89"/>
      <c r="H224" s="9"/>
      <c r="I224" s="89"/>
      <c r="J224" s="9"/>
      <c r="K224" s="89"/>
    </row>
    <row r="225" spans="1:11" x14ac:dyDescent="0.25">
      <c r="A225" s="9"/>
      <c r="B225" s="8"/>
      <c r="C225" s="16"/>
      <c r="D225" s="9"/>
      <c r="E225" s="89"/>
      <c r="F225" s="9"/>
      <c r="G225" s="89"/>
      <c r="H225" s="9"/>
      <c r="I225" s="89"/>
      <c r="J225" s="9"/>
      <c r="K225" s="89"/>
    </row>
    <row r="226" spans="1:11" x14ac:dyDescent="0.25">
      <c r="A226" s="9"/>
      <c r="B226" s="8"/>
      <c r="C226" s="16"/>
      <c r="D226" s="9"/>
      <c r="E226" s="89"/>
      <c r="F226" s="9"/>
      <c r="G226" s="89"/>
      <c r="H226" s="9"/>
      <c r="I226" s="89"/>
      <c r="J226" s="9"/>
      <c r="K226" s="89"/>
    </row>
    <row r="227" spans="1:11" x14ac:dyDescent="0.25">
      <c r="A227" s="9"/>
      <c r="B227" s="8"/>
      <c r="C227" s="16"/>
      <c r="D227" s="9"/>
      <c r="E227" s="89"/>
      <c r="F227" s="9"/>
      <c r="G227" s="89"/>
      <c r="H227" s="9"/>
      <c r="I227" s="89"/>
      <c r="J227" s="9"/>
      <c r="K227" s="89"/>
    </row>
    <row r="228" spans="1:11" x14ac:dyDescent="0.25">
      <c r="A228" s="9"/>
      <c r="B228" s="8"/>
      <c r="C228" s="16"/>
      <c r="D228" s="9"/>
      <c r="E228" s="89"/>
      <c r="F228" s="9"/>
      <c r="G228" s="89"/>
      <c r="H228" s="9"/>
      <c r="I228" s="89"/>
      <c r="J228" s="9"/>
      <c r="K228" s="89"/>
    </row>
    <row r="229" spans="1:11" x14ac:dyDescent="0.25">
      <c r="A229" s="9"/>
      <c r="B229" s="8"/>
      <c r="C229" s="16"/>
      <c r="D229" s="9"/>
      <c r="E229" s="89"/>
      <c r="F229" s="9"/>
      <c r="G229" s="89"/>
      <c r="H229" s="9"/>
      <c r="I229" s="89"/>
      <c r="J229" s="9"/>
      <c r="K229" s="89"/>
    </row>
    <row r="230" spans="1:11" x14ac:dyDescent="0.25">
      <c r="A230" s="9"/>
      <c r="B230" s="8"/>
      <c r="C230" s="16"/>
      <c r="D230" s="9"/>
      <c r="E230" s="89"/>
      <c r="F230" s="9"/>
      <c r="G230" s="89"/>
      <c r="H230" s="9"/>
      <c r="I230" s="89"/>
      <c r="J230" s="9"/>
      <c r="K230" s="89"/>
    </row>
    <row r="231" spans="1:11" x14ac:dyDescent="0.25">
      <c r="A231" s="9"/>
      <c r="B231" s="8"/>
      <c r="C231" s="16"/>
      <c r="D231" s="9"/>
      <c r="E231" s="89"/>
      <c r="F231" s="9"/>
      <c r="G231" s="89"/>
      <c r="H231" s="9"/>
      <c r="I231" s="89"/>
      <c r="J231" s="9"/>
      <c r="K231" s="89"/>
    </row>
    <row r="232" spans="1:11" x14ac:dyDescent="0.25">
      <c r="A232" s="9"/>
      <c r="B232" s="8"/>
      <c r="C232" s="16"/>
      <c r="D232" s="9"/>
      <c r="E232" s="89"/>
      <c r="F232" s="9"/>
      <c r="G232" s="89"/>
      <c r="H232" s="9"/>
      <c r="I232" s="89"/>
      <c r="J232" s="9"/>
      <c r="K232" s="89"/>
    </row>
    <row r="233" spans="1:11" x14ac:dyDescent="0.25">
      <c r="A233" s="9"/>
      <c r="B233" s="8"/>
      <c r="C233" s="16"/>
      <c r="D233" s="9"/>
      <c r="E233" s="89"/>
      <c r="F233" s="9"/>
      <c r="G233" s="89"/>
      <c r="H233" s="9"/>
      <c r="I233" s="89"/>
      <c r="J233" s="9"/>
      <c r="K233" s="89"/>
    </row>
    <row r="234" spans="1:11" x14ac:dyDescent="0.25">
      <c r="A234" s="9"/>
      <c r="B234" s="8"/>
      <c r="C234" s="16"/>
      <c r="D234" s="9"/>
      <c r="E234" s="89"/>
      <c r="F234" s="9"/>
      <c r="G234" s="89"/>
      <c r="H234" s="9"/>
      <c r="I234" s="89"/>
      <c r="J234" s="9"/>
      <c r="K234" s="89"/>
    </row>
    <row r="235" spans="1:11" x14ac:dyDescent="0.25">
      <c r="A235" s="9"/>
      <c r="B235" s="8"/>
      <c r="C235" s="16"/>
      <c r="D235" s="9"/>
      <c r="E235" s="89"/>
      <c r="F235" s="9"/>
      <c r="G235" s="89"/>
      <c r="H235" s="9"/>
      <c r="I235" s="89"/>
      <c r="J235" s="9"/>
      <c r="K235" s="89"/>
    </row>
    <row r="236" spans="1:11" x14ac:dyDescent="0.25">
      <c r="A236" s="9"/>
      <c r="B236" s="8"/>
      <c r="C236" s="16"/>
      <c r="D236" s="9"/>
      <c r="E236" s="89"/>
      <c r="F236" s="9"/>
      <c r="G236" s="89"/>
      <c r="H236" s="9"/>
      <c r="I236" s="89"/>
      <c r="J236" s="9"/>
      <c r="K236" s="89"/>
    </row>
    <row r="237" spans="1:11" x14ac:dyDescent="0.25">
      <c r="A237" s="9"/>
      <c r="B237" s="8"/>
      <c r="C237" s="16"/>
      <c r="D237" s="9"/>
      <c r="E237" s="89"/>
      <c r="F237" s="9"/>
      <c r="G237" s="89"/>
      <c r="H237" s="9"/>
      <c r="I237" s="89"/>
      <c r="J237" s="9"/>
      <c r="K237" s="89"/>
    </row>
    <row r="238" spans="1:11" x14ac:dyDescent="0.25">
      <c r="A238" s="9"/>
      <c r="B238" s="8"/>
      <c r="C238" s="16"/>
      <c r="D238" s="9"/>
      <c r="E238" s="89"/>
      <c r="F238" s="9"/>
      <c r="G238" s="89"/>
      <c r="H238" s="9"/>
      <c r="I238" s="89"/>
      <c r="J238" s="9"/>
      <c r="K238" s="89"/>
    </row>
    <row r="239" spans="1:11" x14ac:dyDescent="0.25">
      <c r="A239" s="9"/>
      <c r="B239" s="8"/>
      <c r="C239" s="16"/>
      <c r="D239" s="9"/>
      <c r="E239" s="89"/>
      <c r="F239" s="9"/>
      <c r="G239" s="89"/>
      <c r="H239" s="9"/>
      <c r="I239" s="89"/>
      <c r="J239" s="9"/>
      <c r="K239" s="89"/>
    </row>
    <row r="240" spans="1:11" x14ac:dyDescent="0.25">
      <c r="A240" s="9"/>
      <c r="B240" s="8"/>
      <c r="C240" s="16"/>
      <c r="D240" s="9"/>
      <c r="E240" s="89"/>
      <c r="F240" s="9"/>
      <c r="G240" s="89"/>
      <c r="H240" s="9"/>
      <c r="I240" s="89"/>
      <c r="J240" s="9"/>
      <c r="K240" s="89"/>
    </row>
    <row r="241" spans="1:11" x14ac:dyDescent="0.25">
      <c r="A241" s="9"/>
      <c r="B241" s="8"/>
      <c r="C241" s="16"/>
      <c r="D241" s="9"/>
      <c r="E241" s="89"/>
      <c r="F241" s="9"/>
      <c r="G241" s="89"/>
      <c r="H241" s="9"/>
      <c r="I241" s="89"/>
      <c r="J241" s="9"/>
      <c r="K241" s="89"/>
    </row>
    <row r="242" spans="1:11" x14ac:dyDescent="0.25">
      <c r="A242" s="9"/>
      <c r="B242" s="8"/>
      <c r="C242" s="16"/>
      <c r="D242" s="9"/>
      <c r="E242" s="89"/>
      <c r="F242" s="9"/>
      <c r="G242" s="89"/>
      <c r="H242" s="9"/>
      <c r="I242" s="89"/>
      <c r="J242" s="9"/>
      <c r="K242" s="89"/>
    </row>
  </sheetData>
  <mergeCells count="10">
    <mergeCell ref="A212:B212"/>
    <mergeCell ref="K212:L212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9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755"/>
  <sheetViews>
    <sheetView showGridLines="0" workbookViewId="0">
      <selection activeCell="J5" sqref="J5"/>
    </sheetView>
  </sheetViews>
  <sheetFormatPr defaultRowHeight="12.75" x14ac:dyDescent="0.2"/>
  <cols>
    <col min="1" max="1" width="5.140625" style="382" customWidth="1"/>
    <col min="2" max="2" width="44.5703125" style="382" customWidth="1"/>
    <col min="3" max="3" width="15.5703125" style="382" customWidth="1"/>
    <col min="4" max="4" width="13.42578125" style="382" customWidth="1"/>
    <col min="5" max="5" width="18.42578125" style="382" customWidth="1"/>
    <col min="6" max="16384" width="9.140625" style="382"/>
  </cols>
  <sheetData>
    <row r="1" spans="1:5" ht="15.75" customHeight="1" x14ac:dyDescent="0.25">
      <c r="C1" s="384"/>
      <c r="D1" s="384"/>
      <c r="E1" s="385" t="s">
        <v>517</v>
      </c>
    </row>
    <row r="2" spans="1:5" ht="15.75" customHeight="1" x14ac:dyDescent="0.2">
      <c r="C2" s="414" t="s">
        <v>871</v>
      </c>
      <c r="D2" s="414"/>
      <c r="E2" s="414"/>
    </row>
    <row r="3" spans="1:5" ht="15.75" customHeight="1" x14ac:dyDescent="0.2">
      <c r="C3" s="414" t="s">
        <v>873</v>
      </c>
      <c r="D3" s="414"/>
      <c r="E3" s="414"/>
    </row>
    <row r="5" spans="1:5" ht="56.25" customHeight="1" x14ac:dyDescent="0.2">
      <c r="A5" s="415" t="s">
        <v>838</v>
      </c>
      <c r="B5" s="416"/>
      <c r="C5" s="416"/>
      <c r="D5" s="416"/>
      <c r="E5" s="416"/>
    </row>
    <row r="6" spans="1:5" ht="28.5" customHeight="1" x14ac:dyDescent="0.2">
      <c r="A6" s="417" t="s">
        <v>419</v>
      </c>
      <c r="B6" s="418"/>
      <c r="C6" s="379" t="s">
        <v>837</v>
      </c>
      <c r="D6" s="379" t="s">
        <v>868</v>
      </c>
      <c r="E6" s="379" t="s">
        <v>845</v>
      </c>
    </row>
    <row r="7" spans="1:5" x14ac:dyDescent="0.2">
      <c r="A7" s="386"/>
      <c r="B7" s="386"/>
      <c r="C7" s="386"/>
      <c r="D7" s="386"/>
      <c r="E7" s="386"/>
    </row>
    <row r="8" spans="1:5" ht="15.75" customHeight="1" x14ac:dyDescent="0.2">
      <c r="A8" s="412" t="s">
        <v>518</v>
      </c>
      <c r="B8" s="413"/>
      <c r="C8" s="413"/>
      <c r="D8" s="413"/>
      <c r="E8" s="413"/>
    </row>
    <row r="9" spans="1:5" ht="15" customHeight="1" x14ac:dyDescent="0.2">
      <c r="A9" s="386"/>
      <c r="B9" s="387" t="s">
        <v>519</v>
      </c>
      <c r="C9" s="388">
        <v>34914725</v>
      </c>
      <c r="D9" s="388">
        <v>203525</v>
      </c>
      <c r="E9" s="388">
        <v>35118250</v>
      </c>
    </row>
    <row r="10" spans="1:5" ht="15" customHeight="1" x14ac:dyDescent="0.2">
      <c r="A10" s="386"/>
      <c r="B10" s="387" t="s">
        <v>520</v>
      </c>
      <c r="C10" s="388">
        <v>3969773</v>
      </c>
      <c r="D10" s="388">
        <v>3525</v>
      </c>
      <c r="E10" s="388">
        <v>3973298</v>
      </c>
    </row>
    <row r="11" spans="1:5" ht="15" customHeight="1" x14ac:dyDescent="0.2">
      <c r="A11" s="386"/>
      <c r="B11" s="387" t="s">
        <v>521</v>
      </c>
      <c r="C11" s="388">
        <v>2518974</v>
      </c>
      <c r="D11" s="388">
        <v>200000</v>
      </c>
      <c r="E11" s="388">
        <v>2718974</v>
      </c>
    </row>
    <row r="12" spans="1:5" ht="15" customHeight="1" x14ac:dyDescent="0.2">
      <c r="A12" s="386"/>
      <c r="B12" s="387" t="s">
        <v>522</v>
      </c>
      <c r="C12" s="388">
        <v>64292</v>
      </c>
      <c r="D12" s="388">
        <v>0</v>
      </c>
      <c r="E12" s="388">
        <v>64292</v>
      </c>
    </row>
    <row r="13" spans="1:5" ht="15" customHeight="1" x14ac:dyDescent="0.2">
      <c r="A13" s="386"/>
      <c r="B13" s="387" t="s">
        <v>523</v>
      </c>
      <c r="C13" s="388">
        <v>26988362</v>
      </c>
      <c r="D13" s="388">
        <v>0</v>
      </c>
      <c r="E13" s="388">
        <v>26988362</v>
      </c>
    </row>
    <row r="14" spans="1:5" ht="30" customHeight="1" x14ac:dyDescent="0.2">
      <c r="A14" s="386"/>
      <c r="B14" s="387" t="s">
        <v>524</v>
      </c>
      <c r="C14" s="388">
        <v>1373324</v>
      </c>
      <c r="D14" s="388">
        <v>0</v>
      </c>
      <c r="E14" s="388">
        <v>1373324</v>
      </c>
    </row>
    <row r="16" spans="1:5" ht="15.75" customHeight="1" x14ac:dyDescent="0.2">
      <c r="A16" s="410" t="s">
        <v>525</v>
      </c>
      <c r="B16" s="411"/>
      <c r="C16" s="411"/>
      <c r="D16" s="411"/>
      <c r="E16" s="411"/>
    </row>
    <row r="17" spans="1:5" s="389" customFormat="1" ht="15" customHeight="1" x14ac:dyDescent="0.2">
      <c r="B17" s="390" t="s">
        <v>519</v>
      </c>
      <c r="C17" s="391">
        <v>4574431</v>
      </c>
      <c r="D17" s="391">
        <v>200000</v>
      </c>
      <c r="E17" s="391">
        <v>4774431</v>
      </c>
    </row>
    <row r="18" spans="1:5" ht="15" customHeight="1" x14ac:dyDescent="0.2">
      <c r="B18" s="380" t="s">
        <v>520</v>
      </c>
      <c r="C18" s="378">
        <v>3760872</v>
      </c>
      <c r="D18" s="378">
        <v>0</v>
      </c>
      <c r="E18" s="378">
        <v>3760872</v>
      </c>
    </row>
    <row r="19" spans="1:5" ht="15" customHeight="1" x14ac:dyDescent="0.2">
      <c r="B19" s="380" t="s">
        <v>521</v>
      </c>
      <c r="C19" s="378">
        <v>713559</v>
      </c>
      <c r="D19" s="378">
        <v>200000</v>
      </c>
      <c r="E19" s="378">
        <v>913559</v>
      </c>
    </row>
    <row r="20" spans="1:5" ht="15" customHeight="1" x14ac:dyDescent="0.2">
      <c r="B20" s="380" t="s">
        <v>523</v>
      </c>
      <c r="C20" s="378">
        <v>100000</v>
      </c>
      <c r="D20" s="378">
        <v>0</v>
      </c>
      <c r="E20" s="378">
        <v>100000</v>
      </c>
    </row>
    <row r="22" spans="1:5" ht="15.75" customHeight="1" x14ac:dyDescent="0.2">
      <c r="A22" s="410" t="s">
        <v>526</v>
      </c>
      <c r="B22" s="411"/>
      <c r="C22" s="411"/>
      <c r="D22" s="411"/>
      <c r="E22" s="411"/>
    </row>
    <row r="23" spans="1:5" s="389" customFormat="1" ht="15" customHeight="1" x14ac:dyDescent="0.2">
      <c r="B23" s="390" t="s">
        <v>519</v>
      </c>
      <c r="C23" s="391">
        <v>50876</v>
      </c>
      <c r="D23" s="391">
        <v>0</v>
      </c>
      <c r="E23" s="391">
        <v>50876</v>
      </c>
    </row>
    <row r="24" spans="1:5" ht="15" customHeight="1" x14ac:dyDescent="0.2">
      <c r="B24" s="380" t="s">
        <v>521</v>
      </c>
      <c r="C24" s="378">
        <v>13459</v>
      </c>
      <c r="D24" s="378">
        <v>0</v>
      </c>
      <c r="E24" s="378">
        <v>13459</v>
      </c>
    </row>
    <row r="25" spans="1:5" ht="30" customHeight="1" x14ac:dyDescent="0.2">
      <c r="B25" s="380" t="s">
        <v>524</v>
      </c>
      <c r="C25" s="378">
        <v>37417</v>
      </c>
      <c r="D25" s="378">
        <v>0</v>
      </c>
      <c r="E25" s="378">
        <v>37417</v>
      </c>
    </row>
    <row r="27" spans="1:5" ht="31.5" customHeight="1" x14ac:dyDescent="0.2">
      <c r="A27" s="410" t="s">
        <v>527</v>
      </c>
      <c r="B27" s="411"/>
      <c r="C27" s="411"/>
      <c r="D27" s="411"/>
      <c r="E27" s="411"/>
    </row>
    <row r="28" spans="1:5" s="389" customFormat="1" ht="15" customHeight="1" x14ac:dyDescent="0.2">
      <c r="B28" s="390" t="s">
        <v>519</v>
      </c>
      <c r="C28" s="391">
        <v>42753</v>
      </c>
      <c r="D28" s="391">
        <v>0</v>
      </c>
      <c r="E28" s="391">
        <v>42753</v>
      </c>
    </row>
    <row r="29" spans="1:5" ht="15" customHeight="1" x14ac:dyDescent="0.2">
      <c r="B29" s="380" t="s">
        <v>520</v>
      </c>
      <c r="C29" s="378">
        <v>35753</v>
      </c>
      <c r="D29" s="378">
        <v>0</v>
      </c>
      <c r="E29" s="378">
        <v>35753</v>
      </c>
    </row>
    <row r="30" spans="1:5" ht="15" customHeight="1" x14ac:dyDescent="0.2">
      <c r="B30" s="380" t="s">
        <v>521</v>
      </c>
      <c r="C30" s="378">
        <v>7000</v>
      </c>
      <c r="D30" s="378">
        <v>0</v>
      </c>
      <c r="E30" s="378">
        <v>7000</v>
      </c>
    </row>
    <row r="32" spans="1:5" ht="15.75" customHeight="1" x14ac:dyDescent="0.2">
      <c r="A32" s="410" t="s">
        <v>528</v>
      </c>
      <c r="B32" s="411"/>
      <c r="C32" s="411"/>
      <c r="D32" s="411"/>
      <c r="E32" s="411"/>
    </row>
    <row r="33" spans="1:5" s="389" customFormat="1" ht="15" customHeight="1" x14ac:dyDescent="0.2">
      <c r="B33" s="390" t="s">
        <v>519</v>
      </c>
      <c r="C33" s="391">
        <v>96585</v>
      </c>
      <c r="D33" s="391">
        <v>0</v>
      </c>
      <c r="E33" s="391">
        <v>96585</v>
      </c>
    </row>
    <row r="34" spans="1:5" ht="15" customHeight="1" x14ac:dyDescent="0.2">
      <c r="B34" s="380" t="s">
        <v>521</v>
      </c>
      <c r="C34" s="378">
        <v>96585</v>
      </c>
      <c r="D34" s="378">
        <v>0</v>
      </c>
      <c r="E34" s="378">
        <v>96585</v>
      </c>
    </row>
    <row r="36" spans="1:5" ht="15.75" customHeight="1" x14ac:dyDescent="0.2">
      <c r="A36" s="410" t="s">
        <v>529</v>
      </c>
      <c r="B36" s="411"/>
      <c r="C36" s="411"/>
      <c r="D36" s="411"/>
      <c r="E36" s="411"/>
    </row>
    <row r="37" spans="1:5" s="389" customFormat="1" ht="15" customHeight="1" x14ac:dyDescent="0.2">
      <c r="B37" s="390" t="s">
        <v>519</v>
      </c>
      <c r="C37" s="391">
        <v>493980</v>
      </c>
      <c r="D37" s="391">
        <v>0</v>
      </c>
      <c r="E37" s="391">
        <v>493980</v>
      </c>
    </row>
    <row r="38" spans="1:5" ht="15" customHeight="1" x14ac:dyDescent="0.2">
      <c r="B38" s="380" t="s">
        <v>521</v>
      </c>
      <c r="C38" s="378">
        <v>370225</v>
      </c>
      <c r="D38" s="378">
        <v>0</v>
      </c>
      <c r="E38" s="378">
        <v>370225</v>
      </c>
    </row>
    <row r="39" spans="1:5" ht="15" customHeight="1" x14ac:dyDescent="0.2">
      <c r="B39" s="380" t="s">
        <v>523</v>
      </c>
      <c r="C39" s="378">
        <v>123755</v>
      </c>
      <c r="D39" s="378">
        <v>0</v>
      </c>
      <c r="E39" s="378">
        <v>123755</v>
      </c>
    </row>
    <row r="41" spans="1:5" ht="31.5" customHeight="1" x14ac:dyDescent="0.2">
      <c r="A41" s="410" t="s">
        <v>530</v>
      </c>
      <c r="B41" s="411"/>
      <c r="C41" s="411"/>
      <c r="D41" s="411"/>
      <c r="E41" s="411"/>
    </row>
    <row r="42" spans="1:5" s="389" customFormat="1" ht="15" customHeight="1" x14ac:dyDescent="0.2">
      <c r="B42" s="390" t="s">
        <v>519</v>
      </c>
      <c r="C42" s="391">
        <v>156999</v>
      </c>
      <c r="D42" s="391">
        <v>0</v>
      </c>
      <c r="E42" s="391">
        <v>156999</v>
      </c>
    </row>
    <row r="43" spans="1:5" ht="15" customHeight="1" x14ac:dyDescent="0.2">
      <c r="B43" s="380" t="s">
        <v>521</v>
      </c>
      <c r="C43" s="378">
        <v>26717</v>
      </c>
      <c r="D43" s="378">
        <v>0</v>
      </c>
      <c r="E43" s="378">
        <v>26717</v>
      </c>
    </row>
    <row r="44" spans="1:5" ht="15" customHeight="1" x14ac:dyDescent="0.2">
      <c r="B44" s="380" t="s">
        <v>523</v>
      </c>
      <c r="C44" s="378">
        <v>112420</v>
      </c>
      <c r="D44" s="378">
        <v>0</v>
      </c>
      <c r="E44" s="378">
        <v>112420</v>
      </c>
    </row>
    <row r="45" spans="1:5" ht="30" customHeight="1" x14ac:dyDescent="0.2">
      <c r="B45" s="380" t="s">
        <v>524</v>
      </c>
      <c r="C45" s="378">
        <v>17862</v>
      </c>
      <c r="D45" s="378">
        <v>0</v>
      </c>
      <c r="E45" s="378">
        <v>17862</v>
      </c>
    </row>
    <row r="47" spans="1:5" ht="15.75" customHeight="1" x14ac:dyDescent="0.2">
      <c r="A47" s="410" t="s">
        <v>855</v>
      </c>
      <c r="B47" s="411"/>
      <c r="C47" s="411"/>
      <c r="D47" s="411"/>
      <c r="E47" s="411"/>
    </row>
    <row r="48" spans="1:5" s="389" customFormat="1" ht="15" customHeight="1" x14ac:dyDescent="0.2">
      <c r="B48" s="390" t="s">
        <v>519</v>
      </c>
      <c r="C48" s="391">
        <v>0</v>
      </c>
      <c r="D48" s="391">
        <v>3525</v>
      </c>
      <c r="E48" s="391">
        <v>3525</v>
      </c>
    </row>
    <row r="49" spans="1:5" ht="15" customHeight="1" x14ac:dyDescent="0.2">
      <c r="B49" s="380" t="s">
        <v>520</v>
      </c>
      <c r="C49" s="378">
        <v>0</v>
      </c>
      <c r="D49" s="378">
        <v>3525</v>
      </c>
      <c r="E49" s="378">
        <v>3525</v>
      </c>
    </row>
    <row r="51" spans="1:5" ht="31.5" customHeight="1" x14ac:dyDescent="0.2">
      <c r="A51" s="410" t="s">
        <v>531</v>
      </c>
      <c r="B51" s="411"/>
      <c r="C51" s="411"/>
      <c r="D51" s="411"/>
      <c r="E51" s="411"/>
    </row>
    <row r="52" spans="1:5" s="389" customFormat="1" ht="15" customHeight="1" x14ac:dyDescent="0.2">
      <c r="B52" s="390" t="s">
        <v>519</v>
      </c>
      <c r="C52" s="391">
        <v>9755809</v>
      </c>
      <c r="D52" s="391">
        <v>0</v>
      </c>
      <c r="E52" s="391">
        <v>9755809</v>
      </c>
    </row>
    <row r="53" spans="1:5" ht="15" customHeight="1" x14ac:dyDescent="0.2">
      <c r="B53" s="380" t="s">
        <v>523</v>
      </c>
      <c r="C53" s="378">
        <v>9755809</v>
      </c>
      <c r="D53" s="378">
        <v>0</v>
      </c>
      <c r="E53" s="378">
        <v>9755809</v>
      </c>
    </row>
    <row r="55" spans="1:5" ht="31.5" customHeight="1" x14ac:dyDescent="0.2">
      <c r="A55" s="410" t="s">
        <v>532</v>
      </c>
      <c r="B55" s="411"/>
      <c r="C55" s="411"/>
      <c r="D55" s="411"/>
      <c r="E55" s="411"/>
    </row>
    <row r="56" spans="1:5" s="389" customFormat="1" ht="15" customHeight="1" x14ac:dyDescent="0.2">
      <c r="B56" s="390" t="s">
        <v>519</v>
      </c>
      <c r="C56" s="391">
        <v>4502896</v>
      </c>
      <c r="D56" s="391">
        <v>0</v>
      </c>
      <c r="E56" s="391">
        <v>4502896</v>
      </c>
    </row>
    <row r="57" spans="1:5" ht="15" customHeight="1" x14ac:dyDescent="0.2">
      <c r="B57" s="380" t="s">
        <v>523</v>
      </c>
      <c r="C57" s="378">
        <v>4502896</v>
      </c>
      <c r="D57" s="378">
        <v>0</v>
      </c>
      <c r="E57" s="378">
        <v>4502896</v>
      </c>
    </row>
    <row r="59" spans="1:5" ht="31.5" customHeight="1" x14ac:dyDescent="0.2">
      <c r="A59" s="410" t="s">
        <v>839</v>
      </c>
      <c r="B59" s="411"/>
      <c r="C59" s="411"/>
      <c r="D59" s="411"/>
      <c r="E59" s="411"/>
    </row>
    <row r="60" spans="1:5" s="389" customFormat="1" ht="15" customHeight="1" x14ac:dyDescent="0.2">
      <c r="B60" s="390" t="s">
        <v>519</v>
      </c>
      <c r="C60" s="391">
        <v>2375180</v>
      </c>
      <c r="D60" s="391">
        <v>0</v>
      </c>
      <c r="E60" s="391">
        <v>2375180</v>
      </c>
    </row>
    <row r="61" spans="1:5" ht="15" customHeight="1" x14ac:dyDescent="0.2">
      <c r="B61" s="380" t="s">
        <v>523</v>
      </c>
      <c r="C61" s="378">
        <v>2375180</v>
      </c>
      <c r="D61" s="378">
        <v>0</v>
      </c>
      <c r="E61" s="378">
        <v>2375180</v>
      </c>
    </row>
    <row r="63" spans="1:5" ht="31.5" customHeight="1" x14ac:dyDescent="0.2">
      <c r="A63" s="410" t="s">
        <v>533</v>
      </c>
      <c r="B63" s="411"/>
      <c r="C63" s="411"/>
      <c r="D63" s="411"/>
      <c r="E63" s="411"/>
    </row>
    <row r="64" spans="1:5" s="389" customFormat="1" ht="15" customHeight="1" x14ac:dyDescent="0.2">
      <c r="B64" s="390" t="s">
        <v>519</v>
      </c>
      <c r="C64" s="391">
        <v>10000</v>
      </c>
      <c r="D64" s="391">
        <v>0</v>
      </c>
      <c r="E64" s="391">
        <v>10000</v>
      </c>
    </row>
    <row r="65" spans="1:5" ht="15" customHeight="1" x14ac:dyDescent="0.2">
      <c r="B65" s="380" t="s">
        <v>521</v>
      </c>
      <c r="C65" s="378">
        <v>4080</v>
      </c>
      <c r="D65" s="378">
        <v>0</v>
      </c>
      <c r="E65" s="378">
        <v>4080</v>
      </c>
    </row>
    <row r="66" spans="1:5" ht="15" customHeight="1" x14ac:dyDescent="0.2">
      <c r="B66" s="380" t="s">
        <v>523</v>
      </c>
      <c r="C66" s="378">
        <v>5920</v>
      </c>
      <c r="D66" s="378">
        <v>0</v>
      </c>
      <c r="E66" s="378">
        <v>5920</v>
      </c>
    </row>
    <row r="68" spans="1:5" ht="31.5" customHeight="1" x14ac:dyDescent="0.2">
      <c r="A68" s="410" t="s">
        <v>534</v>
      </c>
      <c r="B68" s="411"/>
      <c r="C68" s="411"/>
      <c r="D68" s="411"/>
      <c r="E68" s="411"/>
    </row>
    <row r="69" spans="1:5" s="389" customFormat="1" ht="15" customHeight="1" x14ac:dyDescent="0.2">
      <c r="B69" s="390" t="s">
        <v>519</v>
      </c>
      <c r="C69" s="391">
        <v>1828829</v>
      </c>
      <c r="D69" s="391">
        <v>0</v>
      </c>
      <c r="E69" s="391">
        <v>1828829</v>
      </c>
    </row>
    <row r="70" spans="1:5" ht="15" customHeight="1" x14ac:dyDescent="0.2">
      <c r="B70" s="380" t="s">
        <v>521</v>
      </c>
      <c r="C70" s="378">
        <v>38630</v>
      </c>
      <c r="D70" s="378">
        <v>0</v>
      </c>
      <c r="E70" s="378">
        <v>38630</v>
      </c>
    </row>
    <row r="71" spans="1:5" ht="15" customHeight="1" x14ac:dyDescent="0.2">
      <c r="B71" s="380" t="s">
        <v>522</v>
      </c>
      <c r="C71" s="378">
        <v>18960</v>
      </c>
      <c r="D71" s="378">
        <v>0</v>
      </c>
      <c r="E71" s="378">
        <v>18960</v>
      </c>
    </row>
    <row r="72" spans="1:5" ht="15" customHeight="1" x14ac:dyDescent="0.2">
      <c r="B72" s="380" t="s">
        <v>523</v>
      </c>
      <c r="C72" s="378">
        <v>1039871</v>
      </c>
      <c r="D72" s="378">
        <v>0</v>
      </c>
      <c r="E72" s="378">
        <v>1039871</v>
      </c>
    </row>
    <row r="73" spans="1:5" ht="30" customHeight="1" x14ac:dyDescent="0.2">
      <c r="B73" s="380" t="s">
        <v>524</v>
      </c>
      <c r="C73" s="378">
        <v>731368</v>
      </c>
      <c r="D73" s="378">
        <v>0</v>
      </c>
      <c r="E73" s="378">
        <v>731368</v>
      </c>
    </row>
    <row r="75" spans="1:5" ht="15.75" customHeight="1" x14ac:dyDescent="0.2">
      <c r="A75" s="410" t="s">
        <v>535</v>
      </c>
      <c r="B75" s="411"/>
      <c r="C75" s="411"/>
      <c r="D75" s="411"/>
      <c r="E75" s="411"/>
    </row>
    <row r="76" spans="1:5" s="389" customFormat="1" ht="15" customHeight="1" x14ac:dyDescent="0.2">
      <c r="B76" s="390" t="s">
        <v>519</v>
      </c>
      <c r="C76" s="391">
        <v>69900</v>
      </c>
      <c r="D76" s="391">
        <v>0</v>
      </c>
      <c r="E76" s="391">
        <v>69900</v>
      </c>
    </row>
    <row r="77" spans="1:5" ht="15" customHeight="1" x14ac:dyDescent="0.2">
      <c r="B77" s="380" t="s">
        <v>521</v>
      </c>
      <c r="C77" s="378">
        <v>69900</v>
      </c>
      <c r="D77" s="378">
        <v>0</v>
      </c>
      <c r="E77" s="378">
        <v>69900</v>
      </c>
    </row>
    <row r="79" spans="1:5" ht="31.5" customHeight="1" x14ac:dyDescent="0.2">
      <c r="A79" s="410" t="s">
        <v>536</v>
      </c>
      <c r="B79" s="411"/>
      <c r="C79" s="411"/>
      <c r="D79" s="411"/>
      <c r="E79" s="411"/>
    </row>
    <row r="80" spans="1:5" s="389" customFormat="1" ht="15" customHeight="1" x14ac:dyDescent="0.2">
      <c r="B80" s="390" t="s">
        <v>519</v>
      </c>
      <c r="C80" s="391">
        <v>2335848</v>
      </c>
      <c r="D80" s="391">
        <v>0</v>
      </c>
      <c r="E80" s="391">
        <v>2335848</v>
      </c>
    </row>
    <row r="81" spans="1:5" ht="15" customHeight="1" x14ac:dyDescent="0.2">
      <c r="B81" s="380" t="s">
        <v>521</v>
      </c>
      <c r="C81" s="378">
        <v>605</v>
      </c>
      <c r="D81" s="378">
        <v>0</v>
      </c>
      <c r="E81" s="378">
        <v>605</v>
      </c>
    </row>
    <row r="82" spans="1:5" ht="15" customHeight="1" x14ac:dyDescent="0.2">
      <c r="B82" s="380" t="s">
        <v>523</v>
      </c>
      <c r="C82" s="378">
        <v>2335243</v>
      </c>
      <c r="D82" s="378">
        <v>0</v>
      </c>
      <c r="E82" s="378">
        <v>2335243</v>
      </c>
    </row>
    <row r="84" spans="1:5" ht="31.5" customHeight="1" x14ac:dyDescent="0.2">
      <c r="A84" s="410" t="s">
        <v>537</v>
      </c>
      <c r="B84" s="411"/>
      <c r="C84" s="411"/>
      <c r="D84" s="411"/>
      <c r="E84" s="411"/>
    </row>
    <row r="85" spans="1:5" s="389" customFormat="1" ht="15" customHeight="1" x14ac:dyDescent="0.2">
      <c r="B85" s="390" t="s">
        <v>519</v>
      </c>
      <c r="C85" s="391">
        <v>324359</v>
      </c>
      <c r="D85" s="391">
        <v>0</v>
      </c>
      <c r="E85" s="391">
        <v>324359</v>
      </c>
    </row>
    <row r="86" spans="1:5" ht="30" customHeight="1" x14ac:dyDescent="0.2">
      <c r="B86" s="380" t="s">
        <v>524</v>
      </c>
      <c r="C86" s="378">
        <v>324359</v>
      </c>
      <c r="D86" s="378">
        <v>0</v>
      </c>
      <c r="E86" s="378">
        <v>324359</v>
      </c>
    </row>
    <row r="88" spans="1:5" ht="15.75" customHeight="1" x14ac:dyDescent="0.2">
      <c r="A88" s="410" t="s">
        <v>538</v>
      </c>
      <c r="B88" s="411"/>
      <c r="C88" s="411"/>
      <c r="D88" s="411"/>
      <c r="E88" s="411"/>
    </row>
    <row r="89" spans="1:5" s="389" customFormat="1" ht="15" customHeight="1" x14ac:dyDescent="0.2">
      <c r="B89" s="390" t="s">
        <v>519</v>
      </c>
      <c r="C89" s="391">
        <v>703281</v>
      </c>
      <c r="D89" s="391">
        <v>0</v>
      </c>
      <c r="E89" s="391">
        <v>703281</v>
      </c>
    </row>
    <row r="90" spans="1:5" ht="15" customHeight="1" x14ac:dyDescent="0.2">
      <c r="B90" s="380" t="s">
        <v>521</v>
      </c>
      <c r="C90" s="378">
        <v>19000</v>
      </c>
      <c r="D90" s="378">
        <v>0</v>
      </c>
      <c r="E90" s="378">
        <v>19000</v>
      </c>
    </row>
    <row r="91" spans="1:5" ht="15" customHeight="1" x14ac:dyDescent="0.2">
      <c r="B91" s="380" t="s">
        <v>523</v>
      </c>
      <c r="C91" s="378">
        <v>684281</v>
      </c>
      <c r="D91" s="378">
        <v>0</v>
      </c>
      <c r="E91" s="378">
        <v>684281</v>
      </c>
    </row>
    <row r="93" spans="1:5" ht="15.75" customHeight="1" x14ac:dyDescent="0.2">
      <c r="A93" s="410" t="s">
        <v>539</v>
      </c>
      <c r="B93" s="411"/>
      <c r="C93" s="411"/>
      <c r="D93" s="411"/>
      <c r="E93" s="411"/>
    </row>
    <row r="94" spans="1:5" s="389" customFormat="1" ht="15" customHeight="1" x14ac:dyDescent="0.2">
      <c r="B94" s="390" t="s">
        <v>519</v>
      </c>
      <c r="C94" s="391">
        <v>318200</v>
      </c>
      <c r="D94" s="391">
        <v>0</v>
      </c>
      <c r="E94" s="391">
        <v>318200</v>
      </c>
    </row>
    <row r="95" spans="1:5" ht="15" customHeight="1" x14ac:dyDescent="0.2">
      <c r="B95" s="380" t="s">
        <v>521</v>
      </c>
      <c r="C95" s="378">
        <v>191200</v>
      </c>
      <c r="D95" s="378">
        <v>0</v>
      </c>
      <c r="E95" s="378">
        <v>191200</v>
      </c>
    </row>
    <row r="96" spans="1:5" ht="15" customHeight="1" x14ac:dyDescent="0.2">
      <c r="B96" s="380" t="s">
        <v>522</v>
      </c>
      <c r="C96" s="378">
        <v>25000</v>
      </c>
      <c r="D96" s="378">
        <v>0</v>
      </c>
      <c r="E96" s="378">
        <v>25000</v>
      </c>
    </row>
    <row r="97" spans="1:5" ht="15" customHeight="1" x14ac:dyDescent="0.2">
      <c r="B97" s="380" t="s">
        <v>523</v>
      </c>
      <c r="C97" s="378">
        <v>102000</v>
      </c>
      <c r="D97" s="378">
        <v>0</v>
      </c>
      <c r="E97" s="378">
        <v>102000</v>
      </c>
    </row>
    <row r="99" spans="1:5" ht="15" x14ac:dyDescent="0.2">
      <c r="A99" s="410" t="s">
        <v>540</v>
      </c>
      <c r="B99" s="411"/>
      <c r="C99" s="411"/>
      <c r="D99" s="411"/>
      <c r="E99" s="411"/>
    </row>
    <row r="100" spans="1:5" s="389" customFormat="1" ht="15" customHeight="1" x14ac:dyDescent="0.2">
      <c r="B100" s="390" t="s">
        <v>519</v>
      </c>
      <c r="C100" s="391">
        <v>9500</v>
      </c>
      <c r="D100" s="391">
        <v>0</v>
      </c>
      <c r="E100" s="391">
        <v>9500</v>
      </c>
    </row>
    <row r="101" spans="1:5" ht="15" customHeight="1" x14ac:dyDescent="0.2">
      <c r="B101" s="380" t="s">
        <v>520</v>
      </c>
      <c r="C101" s="378">
        <v>3500</v>
      </c>
      <c r="D101" s="378">
        <v>0</v>
      </c>
      <c r="E101" s="378">
        <v>3500</v>
      </c>
    </row>
    <row r="102" spans="1:5" ht="15" customHeight="1" x14ac:dyDescent="0.2">
      <c r="B102" s="380" t="s">
        <v>521</v>
      </c>
      <c r="C102" s="378">
        <v>6000</v>
      </c>
      <c r="D102" s="378">
        <v>0</v>
      </c>
      <c r="E102" s="378">
        <v>6000</v>
      </c>
    </row>
    <row r="104" spans="1:5" ht="31.5" customHeight="1" x14ac:dyDescent="0.2">
      <c r="A104" s="410" t="s">
        <v>541</v>
      </c>
      <c r="B104" s="411"/>
      <c r="C104" s="411"/>
      <c r="D104" s="411"/>
      <c r="E104" s="411"/>
    </row>
    <row r="105" spans="1:5" s="389" customFormat="1" ht="15" customHeight="1" x14ac:dyDescent="0.2">
      <c r="B105" s="390" t="s">
        <v>519</v>
      </c>
      <c r="C105" s="391">
        <v>15000</v>
      </c>
      <c r="D105" s="391">
        <v>0</v>
      </c>
      <c r="E105" s="391">
        <v>15000</v>
      </c>
    </row>
    <row r="106" spans="1:5" ht="15" customHeight="1" x14ac:dyDescent="0.2">
      <c r="B106" s="380" t="s">
        <v>522</v>
      </c>
      <c r="C106" s="378">
        <v>15000</v>
      </c>
      <c r="D106" s="378">
        <v>0</v>
      </c>
      <c r="E106" s="378">
        <v>15000</v>
      </c>
    </row>
    <row r="108" spans="1:5" ht="31.5" customHeight="1" x14ac:dyDescent="0.2">
      <c r="A108" s="410" t="s">
        <v>542</v>
      </c>
      <c r="B108" s="411"/>
      <c r="C108" s="411"/>
      <c r="D108" s="411"/>
      <c r="E108" s="411"/>
    </row>
    <row r="109" spans="1:5" s="389" customFormat="1" ht="15" customHeight="1" x14ac:dyDescent="0.2">
      <c r="B109" s="390" t="s">
        <v>519</v>
      </c>
      <c r="C109" s="391">
        <v>9474</v>
      </c>
      <c r="D109" s="391">
        <v>0</v>
      </c>
      <c r="E109" s="391">
        <v>9474</v>
      </c>
    </row>
    <row r="110" spans="1:5" ht="15" customHeight="1" x14ac:dyDescent="0.2">
      <c r="B110" s="380" t="s">
        <v>520</v>
      </c>
      <c r="C110" s="378">
        <v>3611</v>
      </c>
      <c r="D110" s="378">
        <v>0</v>
      </c>
      <c r="E110" s="378">
        <v>3611</v>
      </c>
    </row>
    <row r="111" spans="1:5" ht="15" customHeight="1" x14ac:dyDescent="0.2">
      <c r="B111" s="380" t="s">
        <v>521</v>
      </c>
      <c r="C111" s="378">
        <v>3031</v>
      </c>
      <c r="D111" s="378">
        <v>0</v>
      </c>
      <c r="E111" s="378">
        <v>3031</v>
      </c>
    </row>
    <row r="112" spans="1:5" ht="15" customHeight="1" x14ac:dyDescent="0.2">
      <c r="B112" s="380" t="s">
        <v>522</v>
      </c>
      <c r="C112" s="378">
        <v>2832</v>
      </c>
      <c r="D112" s="378">
        <v>0</v>
      </c>
      <c r="E112" s="378">
        <v>2832</v>
      </c>
    </row>
    <row r="114" spans="1:5" ht="31.5" customHeight="1" x14ac:dyDescent="0.2">
      <c r="A114" s="410" t="s">
        <v>543</v>
      </c>
      <c r="B114" s="411"/>
      <c r="C114" s="411"/>
      <c r="D114" s="411"/>
      <c r="E114" s="411"/>
    </row>
    <row r="115" spans="1:5" s="389" customFormat="1" ht="15" customHeight="1" x14ac:dyDescent="0.2">
      <c r="B115" s="390" t="s">
        <v>519</v>
      </c>
      <c r="C115" s="391">
        <v>93990</v>
      </c>
      <c r="D115" s="391">
        <v>0</v>
      </c>
      <c r="E115" s="391">
        <v>93990</v>
      </c>
    </row>
    <row r="116" spans="1:5" ht="15" customHeight="1" x14ac:dyDescent="0.2">
      <c r="B116" s="380" t="s">
        <v>520</v>
      </c>
      <c r="C116" s="378">
        <v>4109</v>
      </c>
      <c r="D116" s="378">
        <v>0</v>
      </c>
      <c r="E116" s="378">
        <v>4109</v>
      </c>
    </row>
    <row r="117" spans="1:5" ht="15" customHeight="1" x14ac:dyDescent="0.2">
      <c r="B117" s="380" t="s">
        <v>521</v>
      </c>
      <c r="C117" s="378">
        <v>89881</v>
      </c>
      <c r="D117" s="378">
        <v>0</v>
      </c>
      <c r="E117" s="378">
        <v>89881</v>
      </c>
    </row>
    <row r="119" spans="1:5" ht="15.75" customHeight="1" x14ac:dyDescent="0.2">
      <c r="A119" s="410" t="s">
        <v>544</v>
      </c>
      <c r="B119" s="411"/>
      <c r="C119" s="411"/>
      <c r="D119" s="411"/>
      <c r="E119" s="411"/>
    </row>
    <row r="120" spans="1:5" s="389" customFormat="1" ht="15" customHeight="1" x14ac:dyDescent="0.2">
      <c r="B120" s="390" t="s">
        <v>519</v>
      </c>
      <c r="C120" s="391">
        <v>690515</v>
      </c>
      <c r="D120" s="391">
        <v>0</v>
      </c>
      <c r="E120" s="391">
        <v>690515</v>
      </c>
    </row>
    <row r="121" spans="1:5" ht="15" customHeight="1" x14ac:dyDescent="0.2">
      <c r="B121" s="380" t="s">
        <v>520</v>
      </c>
      <c r="C121" s="378">
        <v>55724</v>
      </c>
      <c r="D121" s="378">
        <v>0</v>
      </c>
      <c r="E121" s="378">
        <v>55724</v>
      </c>
    </row>
    <row r="122" spans="1:5" ht="15" customHeight="1" x14ac:dyDescent="0.2">
      <c r="B122" s="380" t="s">
        <v>521</v>
      </c>
      <c r="C122" s="378">
        <v>599491</v>
      </c>
      <c r="D122" s="378">
        <v>0</v>
      </c>
      <c r="E122" s="378">
        <v>599491</v>
      </c>
    </row>
    <row r="123" spans="1:5" ht="15" customHeight="1" x14ac:dyDescent="0.2">
      <c r="B123" s="380" t="s">
        <v>522</v>
      </c>
      <c r="C123" s="378">
        <v>2500</v>
      </c>
      <c r="D123" s="378">
        <v>0</v>
      </c>
      <c r="E123" s="378">
        <v>2500</v>
      </c>
    </row>
    <row r="124" spans="1:5" ht="15" customHeight="1" x14ac:dyDescent="0.2">
      <c r="B124" s="380" t="s">
        <v>523</v>
      </c>
      <c r="C124" s="378">
        <v>32800</v>
      </c>
      <c r="D124" s="378">
        <v>0</v>
      </c>
      <c r="E124" s="378">
        <v>32800</v>
      </c>
    </row>
    <row r="126" spans="1:5" ht="15" x14ac:dyDescent="0.2">
      <c r="A126" s="410" t="s">
        <v>840</v>
      </c>
      <c r="B126" s="411"/>
      <c r="C126" s="411"/>
      <c r="D126" s="411"/>
      <c r="E126" s="411"/>
    </row>
    <row r="127" spans="1:5" s="389" customFormat="1" ht="15" customHeight="1" x14ac:dyDescent="0.2">
      <c r="B127" s="390" t="s">
        <v>519</v>
      </c>
      <c r="C127" s="391">
        <v>1500000</v>
      </c>
      <c r="D127" s="391">
        <v>0</v>
      </c>
      <c r="E127" s="391">
        <v>1500000</v>
      </c>
    </row>
    <row r="128" spans="1:5" ht="15" customHeight="1" x14ac:dyDescent="0.2">
      <c r="B128" s="380" t="s">
        <v>523</v>
      </c>
      <c r="C128" s="378">
        <v>1500000</v>
      </c>
      <c r="D128" s="378">
        <v>0</v>
      </c>
      <c r="E128" s="378">
        <v>1500000</v>
      </c>
    </row>
    <row r="130" spans="1:5" ht="31.5" customHeight="1" x14ac:dyDescent="0.2">
      <c r="A130" s="410" t="s">
        <v>545</v>
      </c>
      <c r="B130" s="411"/>
      <c r="C130" s="411"/>
      <c r="D130" s="411"/>
      <c r="E130" s="411"/>
    </row>
    <row r="131" spans="1:5" s="389" customFormat="1" ht="15" customHeight="1" x14ac:dyDescent="0.2">
      <c r="B131" s="390" t="s">
        <v>519</v>
      </c>
      <c r="C131" s="391">
        <v>61250</v>
      </c>
      <c r="D131" s="391">
        <v>0</v>
      </c>
      <c r="E131" s="391">
        <v>61250</v>
      </c>
    </row>
    <row r="132" spans="1:5" ht="15" customHeight="1" x14ac:dyDescent="0.2">
      <c r="B132" s="380" t="s">
        <v>523</v>
      </c>
      <c r="C132" s="378">
        <v>61250</v>
      </c>
      <c r="D132" s="378">
        <v>0</v>
      </c>
      <c r="E132" s="378">
        <v>61250</v>
      </c>
    </row>
    <row r="134" spans="1:5" ht="36" customHeight="1" x14ac:dyDescent="0.2">
      <c r="A134" s="410" t="s">
        <v>546</v>
      </c>
      <c r="B134" s="411"/>
      <c r="C134" s="411"/>
      <c r="D134" s="411"/>
      <c r="E134" s="411"/>
    </row>
    <row r="135" spans="1:5" s="389" customFormat="1" ht="15" customHeight="1" x14ac:dyDescent="0.2">
      <c r="B135" s="390" t="s">
        <v>519</v>
      </c>
      <c r="C135" s="391">
        <v>264736</v>
      </c>
      <c r="D135" s="391">
        <v>0</v>
      </c>
      <c r="E135" s="391">
        <v>264736</v>
      </c>
    </row>
    <row r="136" spans="1:5" ht="15" customHeight="1" x14ac:dyDescent="0.2">
      <c r="B136" s="380" t="s">
        <v>521</v>
      </c>
      <c r="C136" s="378">
        <v>7418</v>
      </c>
      <c r="D136" s="378">
        <v>0</v>
      </c>
      <c r="E136" s="378">
        <v>7418</v>
      </c>
    </row>
    <row r="137" spans="1:5" ht="30" customHeight="1" x14ac:dyDescent="0.2">
      <c r="B137" s="380" t="s">
        <v>524</v>
      </c>
      <c r="C137" s="378">
        <v>257318</v>
      </c>
      <c r="D137" s="378">
        <v>0</v>
      </c>
      <c r="E137" s="378">
        <v>257318</v>
      </c>
    </row>
    <row r="139" spans="1:5" ht="31.5" customHeight="1" x14ac:dyDescent="0.2">
      <c r="A139" s="410" t="s">
        <v>841</v>
      </c>
      <c r="B139" s="411"/>
      <c r="C139" s="411"/>
      <c r="D139" s="411"/>
      <c r="E139" s="411"/>
    </row>
    <row r="140" spans="1:5" s="389" customFormat="1" ht="15" customHeight="1" x14ac:dyDescent="0.2">
      <c r="B140" s="390" t="s">
        <v>519</v>
      </c>
      <c r="C140" s="391">
        <v>129425</v>
      </c>
      <c r="D140" s="391">
        <v>0</v>
      </c>
      <c r="E140" s="391">
        <v>129425</v>
      </c>
    </row>
    <row r="141" spans="1:5" ht="15" customHeight="1" x14ac:dyDescent="0.2">
      <c r="B141" s="380" t="s">
        <v>523</v>
      </c>
      <c r="C141" s="378">
        <v>129425</v>
      </c>
      <c r="D141" s="378">
        <v>0</v>
      </c>
      <c r="E141" s="378">
        <v>129425</v>
      </c>
    </row>
    <row r="143" spans="1:5" ht="31.5" customHeight="1" x14ac:dyDescent="0.2">
      <c r="A143" s="410" t="s">
        <v>547</v>
      </c>
      <c r="B143" s="411"/>
      <c r="C143" s="411"/>
      <c r="D143" s="411"/>
      <c r="E143" s="411"/>
    </row>
    <row r="144" spans="1:5" s="389" customFormat="1" ht="15" customHeight="1" x14ac:dyDescent="0.2">
      <c r="B144" s="390" t="s">
        <v>519</v>
      </c>
      <c r="C144" s="391">
        <v>640551</v>
      </c>
      <c r="D144" s="391">
        <v>0</v>
      </c>
      <c r="E144" s="391">
        <v>640551</v>
      </c>
    </row>
    <row r="145" spans="1:5" ht="15" customHeight="1" x14ac:dyDescent="0.2">
      <c r="B145" s="380" t="s">
        <v>521</v>
      </c>
      <c r="C145" s="378">
        <v>132380</v>
      </c>
      <c r="D145" s="378">
        <v>0</v>
      </c>
      <c r="E145" s="378">
        <v>132380</v>
      </c>
    </row>
    <row r="146" spans="1:5" ht="15" customHeight="1" x14ac:dyDescent="0.2">
      <c r="B146" s="380" t="s">
        <v>523</v>
      </c>
      <c r="C146" s="378">
        <v>508171</v>
      </c>
      <c r="D146" s="378">
        <v>0</v>
      </c>
      <c r="E146" s="378">
        <v>508171</v>
      </c>
    </row>
    <row r="148" spans="1:5" ht="31.5" customHeight="1" x14ac:dyDescent="0.2">
      <c r="A148" s="410" t="s">
        <v>548</v>
      </c>
      <c r="B148" s="411"/>
      <c r="C148" s="411"/>
      <c r="D148" s="411"/>
      <c r="E148" s="411"/>
    </row>
    <row r="149" spans="1:5" s="389" customFormat="1" ht="15" customHeight="1" x14ac:dyDescent="0.2">
      <c r="B149" s="390" t="s">
        <v>519</v>
      </c>
      <c r="C149" s="391">
        <v>802205</v>
      </c>
      <c r="D149" s="391">
        <v>0</v>
      </c>
      <c r="E149" s="391">
        <v>802205</v>
      </c>
    </row>
    <row r="150" spans="1:5" ht="15" customHeight="1" x14ac:dyDescent="0.2">
      <c r="B150" s="380" t="s">
        <v>523</v>
      </c>
      <c r="C150" s="378">
        <v>802205</v>
      </c>
      <c r="D150" s="378">
        <v>0</v>
      </c>
      <c r="E150" s="378">
        <v>802205</v>
      </c>
    </row>
    <row r="152" spans="1:5" ht="31.5" customHeight="1" x14ac:dyDescent="0.2">
      <c r="A152" s="410" t="s">
        <v>549</v>
      </c>
      <c r="B152" s="411"/>
      <c r="C152" s="411"/>
      <c r="D152" s="411"/>
      <c r="E152" s="411"/>
    </row>
    <row r="153" spans="1:5" s="389" customFormat="1" ht="15" customHeight="1" x14ac:dyDescent="0.2">
      <c r="B153" s="390" t="s">
        <v>519</v>
      </c>
      <c r="C153" s="391">
        <v>217444</v>
      </c>
      <c r="D153" s="391">
        <v>0</v>
      </c>
      <c r="E153" s="391">
        <v>217444</v>
      </c>
    </row>
    <row r="154" spans="1:5" ht="15" customHeight="1" x14ac:dyDescent="0.2">
      <c r="B154" s="380" t="s">
        <v>523</v>
      </c>
      <c r="C154" s="378">
        <v>217444</v>
      </c>
      <c r="D154" s="378">
        <v>0</v>
      </c>
      <c r="E154" s="378">
        <v>217444</v>
      </c>
    </row>
    <row r="156" spans="1:5" ht="15.75" customHeight="1" x14ac:dyDescent="0.2">
      <c r="A156" s="410" t="s">
        <v>550</v>
      </c>
      <c r="B156" s="411"/>
      <c r="C156" s="411"/>
      <c r="D156" s="411"/>
      <c r="E156" s="411"/>
    </row>
    <row r="157" spans="1:5" s="389" customFormat="1" ht="15" customHeight="1" x14ac:dyDescent="0.2">
      <c r="B157" s="390" t="s">
        <v>519</v>
      </c>
      <c r="C157" s="391">
        <v>76468</v>
      </c>
      <c r="D157" s="391">
        <v>0</v>
      </c>
      <c r="E157" s="391">
        <v>76468</v>
      </c>
    </row>
    <row r="158" spans="1:5" ht="15" customHeight="1" x14ac:dyDescent="0.2">
      <c r="B158" s="380" t="s">
        <v>520</v>
      </c>
      <c r="C158" s="378">
        <v>45807</v>
      </c>
      <c r="D158" s="378">
        <v>0</v>
      </c>
      <c r="E158" s="378">
        <v>45807</v>
      </c>
    </row>
    <row r="159" spans="1:5" ht="15" customHeight="1" x14ac:dyDescent="0.2">
      <c r="B159" s="380" t="s">
        <v>521</v>
      </c>
      <c r="C159" s="378">
        <v>30661</v>
      </c>
      <c r="D159" s="378">
        <v>0</v>
      </c>
      <c r="E159" s="378">
        <v>30661</v>
      </c>
    </row>
    <row r="161" spans="1:5" ht="15.75" customHeight="1" x14ac:dyDescent="0.2">
      <c r="A161" s="410" t="s">
        <v>804</v>
      </c>
      <c r="B161" s="411"/>
      <c r="C161" s="411"/>
      <c r="D161" s="411"/>
      <c r="E161" s="411"/>
    </row>
    <row r="162" spans="1:5" s="389" customFormat="1" ht="15" customHeight="1" x14ac:dyDescent="0.2">
      <c r="B162" s="390" t="s">
        <v>519</v>
      </c>
      <c r="C162" s="391">
        <v>1475</v>
      </c>
      <c r="D162" s="391">
        <v>0</v>
      </c>
      <c r="E162" s="391">
        <v>1475</v>
      </c>
    </row>
    <row r="163" spans="1:5" ht="15" customHeight="1" x14ac:dyDescent="0.2">
      <c r="B163" s="380" t="s">
        <v>520</v>
      </c>
      <c r="C163" s="378">
        <v>698</v>
      </c>
      <c r="D163" s="378">
        <v>0</v>
      </c>
      <c r="E163" s="378">
        <v>698</v>
      </c>
    </row>
    <row r="164" spans="1:5" ht="15" customHeight="1" x14ac:dyDescent="0.2">
      <c r="B164" s="380" t="s">
        <v>521</v>
      </c>
      <c r="C164" s="378">
        <v>777</v>
      </c>
      <c r="D164" s="378">
        <v>0</v>
      </c>
      <c r="E164" s="378">
        <v>777</v>
      </c>
    </row>
    <row r="166" spans="1:5" ht="15.75" customHeight="1" x14ac:dyDescent="0.2">
      <c r="A166" s="410" t="s">
        <v>551</v>
      </c>
      <c r="B166" s="411"/>
      <c r="C166" s="411"/>
      <c r="D166" s="411"/>
      <c r="E166" s="411"/>
    </row>
    <row r="167" spans="1:5" s="389" customFormat="1" ht="15" customHeight="1" x14ac:dyDescent="0.2">
      <c r="B167" s="390" t="s">
        <v>519</v>
      </c>
      <c r="C167" s="391">
        <v>163074</v>
      </c>
      <c r="D167" s="391">
        <v>0</v>
      </c>
      <c r="E167" s="391">
        <v>163074</v>
      </c>
    </row>
    <row r="168" spans="1:5" ht="15" customHeight="1" x14ac:dyDescent="0.2">
      <c r="B168" s="380" t="s">
        <v>520</v>
      </c>
      <c r="C168" s="378">
        <v>59699</v>
      </c>
      <c r="D168" s="378">
        <v>0</v>
      </c>
      <c r="E168" s="378">
        <v>59699</v>
      </c>
    </row>
    <row r="169" spans="1:5" ht="15" customHeight="1" x14ac:dyDescent="0.2">
      <c r="B169" s="380" t="s">
        <v>521</v>
      </c>
      <c r="C169" s="378">
        <v>98375</v>
      </c>
      <c r="D169" s="378">
        <v>0</v>
      </c>
      <c r="E169" s="378">
        <v>98375</v>
      </c>
    </row>
    <row r="170" spans="1:5" ht="30" customHeight="1" x14ac:dyDescent="0.2">
      <c r="B170" s="380" t="s">
        <v>524</v>
      </c>
      <c r="C170" s="378">
        <v>5000</v>
      </c>
      <c r="D170" s="378">
        <v>0</v>
      </c>
      <c r="E170" s="378">
        <v>5000</v>
      </c>
    </row>
    <row r="172" spans="1:5" ht="15.75" customHeight="1" x14ac:dyDescent="0.2">
      <c r="A172" s="410" t="s">
        <v>552</v>
      </c>
      <c r="B172" s="411"/>
      <c r="C172" s="411"/>
      <c r="D172" s="411"/>
      <c r="E172" s="411"/>
    </row>
    <row r="173" spans="1:5" s="389" customFormat="1" ht="15" customHeight="1" x14ac:dyDescent="0.2">
      <c r="B173" s="390" t="s">
        <v>519</v>
      </c>
      <c r="C173" s="391">
        <v>2599692</v>
      </c>
      <c r="D173" s="391">
        <v>0</v>
      </c>
      <c r="E173" s="391">
        <v>2599692</v>
      </c>
    </row>
    <row r="174" spans="1:5" ht="15" customHeight="1" x14ac:dyDescent="0.2">
      <c r="B174" s="380" t="s">
        <v>523</v>
      </c>
      <c r="C174" s="378">
        <v>2599692</v>
      </c>
      <c r="D174" s="378">
        <v>0</v>
      </c>
      <c r="E174" s="378">
        <v>2599692</v>
      </c>
    </row>
    <row r="175" spans="1:5" ht="21" customHeight="1" x14ac:dyDescent="0.2"/>
    <row r="176" spans="1:5" ht="15.75" customHeight="1" x14ac:dyDescent="0.2">
      <c r="A176" s="419" t="s">
        <v>553</v>
      </c>
      <c r="B176" s="420"/>
      <c r="C176" s="420"/>
      <c r="D176" s="420"/>
      <c r="E176" s="420"/>
    </row>
    <row r="177" spans="1:5" ht="15" customHeight="1" x14ac:dyDescent="0.25">
      <c r="A177" s="392"/>
      <c r="B177" s="387" t="s">
        <v>519</v>
      </c>
      <c r="C177" s="388">
        <v>4428237</v>
      </c>
      <c r="D177" s="388">
        <v>-121855</v>
      </c>
      <c r="E177" s="388">
        <v>4306382</v>
      </c>
    </row>
    <row r="178" spans="1:5" ht="15" customHeight="1" x14ac:dyDescent="0.25">
      <c r="A178" s="392"/>
      <c r="B178" s="387" t="s">
        <v>521</v>
      </c>
      <c r="C178" s="388">
        <v>865522</v>
      </c>
      <c r="D178" s="388">
        <v>-127355</v>
      </c>
      <c r="E178" s="388">
        <v>738167</v>
      </c>
    </row>
    <row r="179" spans="1:5" ht="15" customHeight="1" x14ac:dyDescent="0.25">
      <c r="A179" s="392"/>
      <c r="B179" s="387" t="s">
        <v>522</v>
      </c>
      <c r="C179" s="388">
        <v>3508615</v>
      </c>
      <c r="D179" s="388">
        <v>5500</v>
      </c>
      <c r="E179" s="388">
        <v>3514115</v>
      </c>
    </row>
    <row r="180" spans="1:5" ht="15" customHeight="1" x14ac:dyDescent="0.25">
      <c r="A180" s="392"/>
      <c r="B180" s="387" t="s">
        <v>805</v>
      </c>
      <c r="C180" s="388">
        <v>50600</v>
      </c>
      <c r="D180" s="388">
        <v>0</v>
      </c>
      <c r="E180" s="388">
        <v>50600</v>
      </c>
    </row>
    <row r="181" spans="1:5" ht="30" customHeight="1" x14ac:dyDescent="0.25">
      <c r="A181" s="392"/>
      <c r="B181" s="387" t="s">
        <v>524</v>
      </c>
      <c r="C181" s="388">
        <v>3500</v>
      </c>
      <c r="D181" s="388">
        <v>0</v>
      </c>
      <c r="E181" s="388">
        <v>3500</v>
      </c>
    </row>
    <row r="183" spans="1:5" ht="15.75" customHeight="1" x14ac:dyDescent="0.2">
      <c r="A183" s="410" t="s">
        <v>554</v>
      </c>
      <c r="B183" s="411"/>
      <c r="C183" s="411"/>
      <c r="D183" s="411"/>
      <c r="E183" s="411"/>
    </row>
    <row r="184" spans="1:5" s="389" customFormat="1" ht="15" customHeight="1" x14ac:dyDescent="0.2">
      <c r="B184" s="390" t="s">
        <v>519</v>
      </c>
      <c r="C184" s="391">
        <v>45250</v>
      </c>
      <c r="D184" s="391">
        <v>0</v>
      </c>
      <c r="E184" s="391">
        <v>45250</v>
      </c>
    </row>
    <row r="185" spans="1:5" ht="15" customHeight="1" x14ac:dyDescent="0.2">
      <c r="B185" s="380" t="s">
        <v>521</v>
      </c>
      <c r="C185" s="378">
        <v>45250</v>
      </c>
      <c r="D185" s="378">
        <v>0</v>
      </c>
      <c r="E185" s="378">
        <v>45250</v>
      </c>
    </row>
    <row r="187" spans="1:5" ht="15.75" customHeight="1" x14ac:dyDescent="0.2">
      <c r="A187" s="410" t="s">
        <v>856</v>
      </c>
      <c r="B187" s="411"/>
      <c r="C187" s="411"/>
      <c r="D187" s="411"/>
      <c r="E187" s="411"/>
    </row>
    <row r="188" spans="1:5" s="389" customFormat="1" ht="15" customHeight="1" x14ac:dyDescent="0.2">
      <c r="B188" s="390" t="s">
        <v>519</v>
      </c>
      <c r="C188" s="391">
        <v>270000</v>
      </c>
      <c r="D188" s="391">
        <v>0</v>
      </c>
      <c r="E188" s="391">
        <v>270000</v>
      </c>
    </row>
    <row r="189" spans="1:5" ht="15" customHeight="1" x14ac:dyDescent="0.2">
      <c r="B189" s="380" t="s">
        <v>521</v>
      </c>
      <c r="C189" s="378">
        <v>219400</v>
      </c>
      <c r="D189" s="378">
        <v>0</v>
      </c>
      <c r="E189" s="378">
        <v>219400</v>
      </c>
    </row>
    <row r="190" spans="1:5" ht="15" customHeight="1" x14ac:dyDescent="0.2">
      <c r="B190" s="380" t="s">
        <v>805</v>
      </c>
      <c r="C190" s="378">
        <v>50600</v>
      </c>
      <c r="D190" s="378">
        <v>0</v>
      </c>
      <c r="E190" s="378">
        <v>50600</v>
      </c>
    </row>
    <row r="192" spans="1:5" ht="15.75" customHeight="1" x14ac:dyDescent="0.2">
      <c r="A192" s="410" t="s">
        <v>555</v>
      </c>
      <c r="B192" s="411"/>
      <c r="C192" s="411"/>
      <c r="D192" s="411"/>
      <c r="E192" s="411"/>
    </row>
    <row r="193" spans="1:5" s="389" customFormat="1" ht="15" customHeight="1" x14ac:dyDescent="0.2">
      <c r="B193" s="390" t="s">
        <v>519</v>
      </c>
      <c r="C193" s="391">
        <v>500000</v>
      </c>
      <c r="D193" s="391">
        <v>-127355</v>
      </c>
      <c r="E193" s="391">
        <v>372645</v>
      </c>
    </row>
    <row r="194" spans="1:5" ht="15" customHeight="1" x14ac:dyDescent="0.2">
      <c r="B194" s="380" t="s">
        <v>521</v>
      </c>
      <c r="C194" s="378">
        <v>500000</v>
      </c>
      <c r="D194" s="378">
        <v>-127355</v>
      </c>
      <c r="E194" s="378">
        <v>372645</v>
      </c>
    </row>
    <row r="196" spans="1:5" ht="15.75" customHeight="1" x14ac:dyDescent="0.2">
      <c r="A196" s="410" t="s">
        <v>556</v>
      </c>
      <c r="B196" s="411"/>
      <c r="C196" s="411"/>
      <c r="D196" s="411"/>
      <c r="E196" s="411"/>
    </row>
    <row r="197" spans="1:5" s="389" customFormat="1" ht="15" customHeight="1" x14ac:dyDescent="0.2">
      <c r="B197" s="390" t="s">
        <v>519</v>
      </c>
      <c r="C197" s="391">
        <v>2515164</v>
      </c>
      <c r="D197" s="391">
        <v>0</v>
      </c>
      <c r="E197" s="391">
        <v>2515164</v>
      </c>
    </row>
    <row r="198" spans="1:5" ht="15" customHeight="1" x14ac:dyDescent="0.2">
      <c r="B198" s="380" t="s">
        <v>522</v>
      </c>
      <c r="C198" s="378">
        <v>2515164</v>
      </c>
      <c r="D198" s="378">
        <v>0</v>
      </c>
      <c r="E198" s="378">
        <v>2515164</v>
      </c>
    </row>
    <row r="200" spans="1:5" ht="15.75" customHeight="1" x14ac:dyDescent="0.2">
      <c r="A200" s="410" t="s">
        <v>557</v>
      </c>
      <c r="B200" s="411"/>
      <c r="C200" s="411"/>
      <c r="D200" s="411"/>
      <c r="E200" s="411"/>
    </row>
    <row r="201" spans="1:5" s="389" customFormat="1" ht="15" customHeight="1" x14ac:dyDescent="0.2">
      <c r="B201" s="390" t="s">
        <v>519</v>
      </c>
      <c r="C201" s="391">
        <v>3500</v>
      </c>
      <c r="D201" s="391">
        <v>0</v>
      </c>
      <c r="E201" s="391">
        <v>3500</v>
      </c>
    </row>
    <row r="202" spans="1:5" ht="30" customHeight="1" x14ac:dyDescent="0.2">
      <c r="B202" s="380" t="s">
        <v>524</v>
      </c>
      <c r="C202" s="378">
        <v>3500</v>
      </c>
      <c r="D202" s="378">
        <v>0</v>
      </c>
      <c r="E202" s="378">
        <v>3500</v>
      </c>
    </row>
    <row r="204" spans="1:5" ht="15.75" customHeight="1" x14ac:dyDescent="0.2">
      <c r="A204" s="410" t="s">
        <v>558</v>
      </c>
      <c r="B204" s="411"/>
      <c r="C204" s="411"/>
      <c r="D204" s="411"/>
      <c r="E204" s="411"/>
    </row>
    <row r="205" spans="1:5" s="389" customFormat="1" ht="15" customHeight="1" x14ac:dyDescent="0.2">
      <c r="B205" s="390" t="s">
        <v>519</v>
      </c>
      <c r="C205" s="391">
        <v>535784</v>
      </c>
      <c r="D205" s="391">
        <v>0</v>
      </c>
      <c r="E205" s="391">
        <v>535784</v>
      </c>
    </row>
    <row r="206" spans="1:5" ht="15" customHeight="1" x14ac:dyDescent="0.2">
      <c r="B206" s="380" t="s">
        <v>522</v>
      </c>
      <c r="C206" s="378">
        <v>535784</v>
      </c>
      <c r="D206" s="378">
        <v>0</v>
      </c>
      <c r="E206" s="378">
        <v>535784</v>
      </c>
    </row>
    <row r="208" spans="1:5" ht="15.75" customHeight="1" x14ac:dyDescent="0.2">
      <c r="A208" s="410" t="s">
        <v>857</v>
      </c>
      <c r="B208" s="411"/>
      <c r="C208" s="411"/>
      <c r="D208" s="411"/>
      <c r="E208" s="411"/>
    </row>
    <row r="209" spans="1:5" s="389" customFormat="1" ht="15" customHeight="1" x14ac:dyDescent="0.2">
      <c r="B209" s="390" t="s">
        <v>519</v>
      </c>
      <c r="C209" s="391">
        <v>56829</v>
      </c>
      <c r="D209" s="391">
        <v>0</v>
      </c>
      <c r="E209" s="391">
        <v>56829</v>
      </c>
    </row>
    <row r="210" spans="1:5" ht="15" customHeight="1" x14ac:dyDescent="0.2">
      <c r="B210" s="380" t="s">
        <v>521</v>
      </c>
      <c r="C210" s="378">
        <v>20</v>
      </c>
      <c r="D210" s="378">
        <v>0</v>
      </c>
      <c r="E210" s="378">
        <v>20</v>
      </c>
    </row>
    <row r="211" spans="1:5" ht="15" customHeight="1" x14ac:dyDescent="0.2">
      <c r="B211" s="380" t="s">
        <v>522</v>
      </c>
      <c r="C211" s="378">
        <v>56809</v>
      </c>
      <c r="D211" s="378">
        <v>0</v>
      </c>
      <c r="E211" s="378">
        <v>56809</v>
      </c>
    </row>
    <row r="213" spans="1:5" ht="31.5" customHeight="1" x14ac:dyDescent="0.2">
      <c r="A213" s="410" t="s">
        <v>559</v>
      </c>
      <c r="B213" s="411"/>
      <c r="C213" s="411"/>
      <c r="D213" s="411"/>
      <c r="E213" s="411"/>
    </row>
    <row r="214" spans="1:5" s="389" customFormat="1" ht="15" customHeight="1" x14ac:dyDescent="0.2">
      <c r="B214" s="390" t="s">
        <v>519</v>
      </c>
      <c r="C214" s="391">
        <v>222958</v>
      </c>
      <c r="D214" s="391">
        <v>0</v>
      </c>
      <c r="E214" s="391">
        <v>222958</v>
      </c>
    </row>
    <row r="215" spans="1:5" ht="15" customHeight="1" x14ac:dyDescent="0.2">
      <c r="B215" s="380" t="s">
        <v>522</v>
      </c>
      <c r="C215" s="378">
        <v>222958</v>
      </c>
      <c r="D215" s="378">
        <v>0</v>
      </c>
      <c r="E215" s="378">
        <v>222958</v>
      </c>
    </row>
    <row r="217" spans="1:5" ht="15.75" customHeight="1" x14ac:dyDescent="0.2">
      <c r="A217" s="410" t="s">
        <v>773</v>
      </c>
      <c r="B217" s="411"/>
      <c r="C217" s="411"/>
      <c r="D217" s="411"/>
      <c r="E217" s="411"/>
    </row>
    <row r="218" spans="1:5" s="389" customFormat="1" ht="15" customHeight="1" x14ac:dyDescent="0.2">
      <c r="B218" s="390" t="s">
        <v>519</v>
      </c>
      <c r="C218" s="391">
        <v>10000</v>
      </c>
      <c r="D218" s="391">
        <v>0</v>
      </c>
      <c r="E218" s="391">
        <v>10000</v>
      </c>
    </row>
    <row r="219" spans="1:5" ht="15" customHeight="1" x14ac:dyDescent="0.2">
      <c r="B219" s="380" t="s">
        <v>522</v>
      </c>
      <c r="C219" s="378">
        <v>10000</v>
      </c>
      <c r="D219" s="378">
        <v>0</v>
      </c>
      <c r="E219" s="378">
        <v>10000</v>
      </c>
    </row>
    <row r="221" spans="1:5" ht="15.75" customHeight="1" x14ac:dyDescent="0.2">
      <c r="A221" s="410" t="s">
        <v>560</v>
      </c>
      <c r="B221" s="411"/>
      <c r="C221" s="411"/>
      <c r="D221" s="411"/>
      <c r="E221" s="411"/>
    </row>
    <row r="222" spans="1:5" s="389" customFormat="1" ht="15" customHeight="1" x14ac:dyDescent="0.2">
      <c r="B222" s="390" t="s">
        <v>519</v>
      </c>
      <c r="C222" s="391">
        <v>5000</v>
      </c>
      <c r="D222" s="391">
        <v>0</v>
      </c>
      <c r="E222" s="391">
        <v>5000</v>
      </c>
    </row>
    <row r="223" spans="1:5" ht="15" customHeight="1" x14ac:dyDescent="0.2">
      <c r="B223" s="380" t="s">
        <v>522</v>
      </c>
      <c r="C223" s="378">
        <v>5000</v>
      </c>
      <c r="D223" s="378">
        <v>0</v>
      </c>
      <c r="E223" s="378">
        <v>5000</v>
      </c>
    </row>
    <row r="225" spans="1:5" ht="15.75" customHeight="1" x14ac:dyDescent="0.2">
      <c r="A225" s="410" t="s">
        <v>561</v>
      </c>
      <c r="B225" s="411"/>
      <c r="C225" s="411"/>
      <c r="D225" s="411"/>
      <c r="E225" s="411"/>
    </row>
    <row r="226" spans="1:5" s="389" customFormat="1" ht="15" customHeight="1" x14ac:dyDescent="0.2">
      <c r="B226" s="390" t="s">
        <v>519</v>
      </c>
      <c r="C226" s="391">
        <v>150000</v>
      </c>
      <c r="D226" s="391">
        <v>5500</v>
      </c>
      <c r="E226" s="391">
        <v>155500</v>
      </c>
    </row>
    <row r="227" spans="1:5" ht="15" customHeight="1" x14ac:dyDescent="0.2">
      <c r="B227" s="380" t="s">
        <v>522</v>
      </c>
      <c r="C227" s="378">
        <v>150000</v>
      </c>
      <c r="D227" s="378">
        <v>5500</v>
      </c>
      <c r="E227" s="378">
        <v>155500</v>
      </c>
    </row>
    <row r="229" spans="1:5" ht="15.75" customHeight="1" x14ac:dyDescent="0.2">
      <c r="A229" s="410" t="s">
        <v>562</v>
      </c>
      <c r="B229" s="411"/>
      <c r="C229" s="411"/>
      <c r="D229" s="411"/>
      <c r="E229" s="411"/>
    </row>
    <row r="230" spans="1:5" s="389" customFormat="1" ht="15" customHeight="1" x14ac:dyDescent="0.2">
      <c r="B230" s="390" t="s">
        <v>519</v>
      </c>
      <c r="C230" s="391">
        <v>4300</v>
      </c>
      <c r="D230" s="391">
        <v>0</v>
      </c>
      <c r="E230" s="391">
        <v>4300</v>
      </c>
    </row>
    <row r="231" spans="1:5" ht="15" customHeight="1" x14ac:dyDescent="0.2">
      <c r="B231" s="380" t="s">
        <v>522</v>
      </c>
      <c r="C231" s="378">
        <v>4300</v>
      </c>
      <c r="D231" s="378">
        <v>0</v>
      </c>
      <c r="E231" s="378">
        <v>4300</v>
      </c>
    </row>
    <row r="233" spans="1:5" ht="15.75" customHeight="1" x14ac:dyDescent="0.2">
      <c r="A233" s="410" t="s">
        <v>563</v>
      </c>
      <c r="B233" s="411"/>
      <c r="C233" s="411"/>
      <c r="D233" s="411"/>
      <c r="E233" s="411"/>
    </row>
    <row r="234" spans="1:5" s="389" customFormat="1" ht="15" customHeight="1" x14ac:dyDescent="0.2">
      <c r="B234" s="390" t="s">
        <v>519</v>
      </c>
      <c r="C234" s="391">
        <v>100852</v>
      </c>
      <c r="D234" s="391">
        <v>0</v>
      </c>
      <c r="E234" s="391">
        <v>100852</v>
      </c>
    </row>
    <row r="235" spans="1:5" ht="15" customHeight="1" x14ac:dyDescent="0.2">
      <c r="B235" s="380" t="s">
        <v>521</v>
      </c>
      <c r="C235" s="378">
        <v>100852</v>
      </c>
      <c r="D235" s="378">
        <v>0</v>
      </c>
      <c r="E235" s="378">
        <v>100852</v>
      </c>
    </row>
    <row r="237" spans="1:5" ht="15.75" customHeight="1" x14ac:dyDescent="0.2">
      <c r="A237" s="410" t="s">
        <v>564</v>
      </c>
      <c r="B237" s="411"/>
      <c r="C237" s="411"/>
      <c r="D237" s="411"/>
      <c r="E237" s="411"/>
    </row>
    <row r="238" spans="1:5" s="389" customFormat="1" ht="15" customHeight="1" x14ac:dyDescent="0.2">
      <c r="B238" s="390" t="s">
        <v>519</v>
      </c>
      <c r="C238" s="391">
        <v>6000</v>
      </c>
      <c r="D238" s="391">
        <v>0</v>
      </c>
      <c r="E238" s="391">
        <v>6000</v>
      </c>
    </row>
    <row r="239" spans="1:5" ht="15" customHeight="1" x14ac:dyDescent="0.2">
      <c r="B239" s="380" t="s">
        <v>522</v>
      </c>
      <c r="C239" s="378">
        <v>6000</v>
      </c>
      <c r="D239" s="378">
        <v>0</v>
      </c>
      <c r="E239" s="378">
        <v>6000</v>
      </c>
    </row>
    <row r="241" spans="1:5" ht="15.75" customHeight="1" x14ac:dyDescent="0.2">
      <c r="A241" s="410" t="s">
        <v>565</v>
      </c>
      <c r="B241" s="411"/>
      <c r="C241" s="411"/>
      <c r="D241" s="411"/>
      <c r="E241" s="411"/>
    </row>
    <row r="242" spans="1:5" s="389" customFormat="1" ht="15" customHeight="1" x14ac:dyDescent="0.2">
      <c r="B242" s="390" t="s">
        <v>519</v>
      </c>
      <c r="C242" s="391">
        <v>2600</v>
      </c>
      <c r="D242" s="391">
        <v>0</v>
      </c>
      <c r="E242" s="391">
        <v>2600</v>
      </c>
    </row>
    <row r="243" spans="1:5" ht="15" customHeight="1" x14ac:dyDescent="0.2">
      <c r="B243" s="380" t="s">
        <v>522</v>
      </c>
      <c r="C243" s="378">
        <v>2600</v>
      </c>
      <c r="D243" s="378">
        <v>0</v>
      </c>
      <c r="E243" s="378">
        <v>2600</v>
      </c>
    </row>
    <row r="245" spans="1:5" ht="31.5" customHeight="1" x14ac:dyDescent="0.2">
      <c r="A245" s="419" t="s">
        <v>566</v>
      </c>
      <c r="B245" s="420"/>
      <c r="C245" s="420"/>
      <c r="D245" s="420"/>
      <c r="E245" s="420"/>
    </row>
    <row r="246" spans="1:5" ht="15" customHeight="1" x14ac:dyDescent="0.25">
      <c r="A246" s="392"/>
      <c r="B246" s="387" t="s">
        <v>519</v>
      </c>
      <c r="C246" s="388">
        <v>293041</v>
      </c>
      <c r="D246" s="388">
        <v>0</v>
      </c>
      <c r="E246" s="388">
        <v>293041</v>
      </c>
    </row>
    <row r="247" spans="1:5" ht="15" customHeight="1" x14ac:dyDescent="0.25">
      <c r="A247" s="392"/>
      <c r="B247" s="387" t="s">
        <v>520</v>
      </c>
      <c r="C247" s="388">
        <v>274470</v>
      </c>
      <c r="D247" s="388">
        <v>0</v>
      </c>
      <c r="E247" s="388">
        <v>274470</v>
      </c>
    </row>
    <row r="248" spans="1:5" ht="15" customHeight="1" x14ac:dyDescent="0.25">
      <c r="A248" s="392"/>
      <c r="B248" s="387" t="s">
        <v>521</v>
      </c>
      <c r="C248" s="388">
        <v>14571</v>
      </c>
      <c r="D248" s="388">
        <v>0</v>
      </c>
      <c r="E248" s="388">
        <v>14571</v>
      </c>
    </row>
    <row r="249" spans="1:5" ht="15" customHeight="1" x14ac:dyDescent="0.25">
      <c r="A249" s="392"/>
      <c r="B249" s="387" t="s">
        <v>523</v>
      </c>
      <c r="C249" s="388">
        <v>4000</v>
      </c>
      <c r="D249" s="388">
        <v>0</v>
      </c>
      <c r="E249" s="388">
        <v>4000</v>
      </c>
    </row>
    <row r="251" spans="1:5" ht="15.75" customHeight="1" x14ac:dyDescent="0.2">
      <c r="A251" s="410" t="s">
        <v>567</v>
      </c>
      <c r="B251" s="411"/>
      <c r="C251" s="411"/>
      <c r="D251" s="411"/>
      <c r="E251" s="411"/>
    </row>
    <row r="252" spans="1:5" s="389" customFormat="1" ht="15" customHeight="1" x14ac:dyDescent="0.2">
      <c r="B252" s="390" t="s">
        <v>519</v>
      </c>
      <c r="C252" s="391">
        <v>293041</v>
      </c>
      <c r="D252" s="391">
        <v>0</v>
      </c>
      <c r="E252" s="391">
        <v>293041</v>
      </c>
    </row>
    <row r="253" spans="1:5" ht="15" customHeight="1" x14ac:dyDescent="0.2">
      <c r="B253" s="380" t="s">
        <v>520</v>
      </c>
      <c r="C253" s="378">
        <v>274470</v>
      </c>
      <c r="D253" s="378">
        <v>0</v>
      </c>
      <c r="E253" s="378">
        <v>274470</v>
      </c>
    </row>
    <row r="254" spans="1:5" ht="15" customHeight="1" x14ac:dyDescent="0.2">
      <c r="B254" s="380" t="s">
        <v>521</v>
      </c>
      <c r="C254" s="378">
        <v>14571</v>
      </c>
      <c r="D254" s="378">
        <v>0</v>
      </c>
      <c r="E254" s="378">
        <v>14571</v>
      </c>
    </row>
    <row r="255" spans="1:5" ht="15" customHeight="1" x14ac:dyDescent="0.2">
      <c r="B255" s="380" t="s">
        <v>523</v>
      </c>
      <c r="C255" s="378">
        <v>4000</v>
      </c>
      <c r="D255" s="378">
        <v>0</v>
      </c>
      <c r="E255" s="378">
        <v>4000</v>
      </c>
    </row>
    <row r="257" spans="1:5" ht="31.5" customHeight="1" x14ac:dyDescent="0.2">
      <c r="A257" s="419" t="s">
        <v>568</v>
      </c>
      <c r="B257" s="420"/>
      <c r="C257" s="420"/>
      <c r="D257" s="420"/>
      <c r="E257" s="420"/>
    </row>
    <row r="258" spans="1:5" ht="15" customHeight="1" x14ac:dyDescent="0.25">
      <c r="A258" s="392"/>
      <c r="B258" s="387" t="s">
        <v>519</v>
      </c>
      <c r="C258" s="388">
        <v>3093463</v>
      </c>
      <c r="D258" s="388">
        <v>0</v>
      </c>
      <c r="E258" s="388">
        <v>3093463</v>
      </c>
    </row>
    <row r="259" spans="1:5" ht="15" customHeight="1" x14ac:dyDescent="0.25">
      <c r="A259" s="392"/>
      <c r="B259" s="387" t="s">
        <v>520</v>
      </c>
      <c r="C259" s="388">
        <v>2752780</v>
      </c>
      <c r="D259" s="388">
        <v>0</v>
      </c>
      <c r="E259" s="388">
        <v>2752780</v>
      </c>
    </row>
    <row r="260" spans="1:5" ht="15" customHeight="1" x14ac:dyDescent="0.25">
      <c r="A260" s="392"/>
      <c r="B260" s="387" t="s">
        <v>521</v>
      </c>
      <c r="C260" s="388">
        <v>287683</v>
      </c>
      <c r="D260" s="388">
        <v>0</v>
      </c>
      <c r="E260" s="388">
        <v>287683</v>
      </c>
    </row>
    <row r="261" spans="1:5" ht="15" customHeight="1" x14ac:dyDescent="0.25">
      <c r="A261" s="392"/>
      <c r="B261" s="387" t="s">
        <v>523</v>
      </c>
      <c r="C261" s="388">
        <v>53000</v>
      </c>
      <c r="D261" s="388">
        <v>0</v>
      </c>
      <c r="E261" s="388">
        <v>53000</v>
      </c>
    </row>
    <row r="263" spans="1:5" ht="15.75" customHeight="1" x14ac:dyDescent="0.2">
      <c r="A263" s="410" t="s">
        <v>569</v>
      </c>
      <c r="B263" s="411"/>
      <c r="C263" s="411"/>
      <c r="D263" s="411"/>
      <c r="E263" s="411"/>
    </row>
    <row r="264" spans="1:5" s="389" customFormat="1" ht="15" customHeight="1" x14ac:dyDescent="0.2">
      <c r="B264" s="390" t="s">
        <v>519</v>
      </c>
      <c r="C264" s="391">
        <v>3093463</v>
      </c>
      <c r="D264" s="391">
        <v>0</v>
      </c>
      <c r="E264" s="391">
        <v>3093463</v>
      </c>
    </row>
    <row r="265" spans="1:5" ht="15" customHeight="1" x14ac:dyDescent="0.2">
      <c r="B265" s="380" t="s">
        <v>520</v>
      </c>
      <c r="C265" s="378">
        <v>2752780</v>
      </c>
      <c r="D265" s="378">
        <v>0</v>
      </c>
      <c r="E265" s="378">
        <v>2752780</v>
      </c>
    </row>
    <row r="266" spans="1:5" ht="15" customHeight="1" x14ac:dyDescent="0.2">
      <c r="B266" s="380" t="s">
        <v>521</v>
      </c>
      <c r="C266" s="378">
        <v>287683</v>
      </c>
      <c r="D266" s="378">
        <v>0</v>
      </c>
      <c r="E266" s="378">
        <v>287683</v>
      </c>
    </row>
    <row r="267" spans="1:5" ht="15" customHeight="1" x14ac:dyDescent="0.2">
      <c r="B267" s="380" t="s">
        <v>523</v>
      </c>
      <c r="C267" s="378">
        <v>53000</v>
      </c>
      <c r="D267" s="378">
        <v>0</v>
      </c>
      <c r="E267" s="378">
        <v>53000</v>
      </c>
    </row>
    <row r="269" spans="1:5" ht="31.5" customHeight="1" x14ac:dyDescent="0.2">
      <c r="A269" s="419" t="s">
        <v>570</v>
      </c>
      <c r="B269" s="420"/>
      <c r="C269" s="420"/>
      <c r="D269" s="420"/>
      <c r="E269" s="420"/>
    </row>
    <row r="270" spans="1:5" ht="15" customHeight="1" x14ac:dyDescent="0.25">
      <c r="A270" s="392"/>
      <c r="B270" s="387" t="s">
        <v>519</v>
      </c>
      <c r="C270" s="388">
        <v>429341</v>
      </c>
      <c r="D270" s="388">
        <v>0</v>
      </c>
      <c r="E270" s="388">
        <v>429341</v>
      </c>
    </row>
    <row r="271" spans="1:5" ht="15" customHeight="1" x14ac:dyDescent="0.25">
      <c r="A271" s="392"/>
      <c r="B271" s="387" t="s">
        <v>520</v>
      </c>
      <c r="C271" s="388">
        <v>279099</v>
      </c>
      <c r="D271" s="388">
        <v>0</v>
      </c>
      <c r="E271" s="388">
        <v>279099</v>
      </c>
    </row>
    <row r="272" spans="1:5" ht="15" customHeight="1" x14ac:dyDescent="0.25">
      <c r="A272" s="392"/>
      <c r="B272" s="387" t="s">
        <v>521</v>
      </c>
      <c r="C272" s="388">
        <v>138142</v>
      </c>
      <c r="D272" s="388">
        <v>-1204</v>
      </c>
      <c r="E272" s="388">
        <v>136938</v>
      </c>
    </row>
    <row r="273" spans="1:5" ht="15" customHeight="1" x14ac:dyDescent="0.25">
      <c r="A273" s="392"/>
      <c r="B273" s="387" t="s">
        <v>523</v>
      </c>
      <c r="C273" s="388">
        <v>12100</v>
      </c>
      <c r="D273" s="388">
        <v>1204</v>
      </c>
      <c r="E273" s="388">
        <v>13304</v>
      </c>
    </row>
    <row r="275" spans="1:5" ht="15.75" customHeight="1" x14ac:dyDescent="0.2">
      <c r="A275" s="410" t="s">
        <v>571</v>
      </c>
      <c r="B275" s="411"/>
      <c r="C275" s="411"/>
      <c r="D275" s="411"/>
      <c r="E275" s="411"/>
    </row>
    <row r="276" spans="1:5" s="389" customFormat="1" ht="15" customHeight="1" x14ac:dyDescent="0.2">
      <c r="B276" s="390" t="s">
        <v>519</v>
      </c>
      <c r="C276" s="391">
        <v>426760</v>
      </c>
      <c r="D276" s="391">
        <v>0</v>
      </c>
      <c r="E276" s="391">
        <v>426760</v>
      </c>
    </row>
    <row r="277" spans="1:5" ht="15" customHeight="1" x14ac:dyDescent="0.2">
      <c r="B277" s="380" t="s">
        <v>520</v>
      </c>
      <c r="C277" s="378">
        <v>278921</v>
      </c>
      <c r="D277" s="378">
        <v>0</v>
      </c>
      <c r="E277" s="378">
        <v>278921</v>
      </c>
    </row>
    <row r="278" spans="1:5" ht="15" customHeight="1" x14ac:dyDescent="0.2">
      <c r="B278" s="380" t="s">
        <v>521</v>
      </c>
      <c r="C278" s="378">
        <v>135739</v>
      </c>
      <c r="D278" s="378">
        <v>-1204</v>
      </c>
      <c r="E278" s="378">
        <v>134535</v>
      </c>
    </row>
    <row r="279" spans="1:5" ht="15" customHeight="1" x14ac:dyDescent="0.2">
      <c r="B279" s="380" t="s">
        <v>523</v>
      </c>
      <c r="C279" s="378">
        <v>12100</v>
      </c>
      <c r="D279" s="378">
        <v>1204</v>
      </c>
      <c r="E279" s="378">
        <v>13304</v>
      </c>
    </row>
    <row r="281" spans="1:5" ht="31.5" customHeight="1" x14ac:dyDescent="0.2">
      <c r="A281" s="410" t="s">
        <v>772</v>
      </c>
      <c r="B281" s="411"/>
      <c r="C281" s="411"/>
      <c r="D281" s="411"/>
      <c r="E281" s="411"/>
    </row>
    <row r="282" spans="1:5" s="389" customFormat="1" ht="15" customHeight="1" x14ac:dyDescent="0.2">
      <c r="B282" s="390" t="s">
        <v>519</v>
      </c>
      <c r="C282" s="391">
        <v>2581</v>
      </c>
      <c r="D282" s="391">
        <v>0</v>
      </c>
      <c r="E282" s="391">
        <v>2581</v>
      </c>
    </row>
    <row r="283" spans="1:5" ht="15" customHeight="1" x14ac:dyDescent="0.2">
      <c r="B283" s="380" t="s">
        <v>520</v>
      </c>
      <c r="C283" s="378">
        <v>178</v>
      </c>
      <c r="D283" s="378">
        <v>0</v>
      </c>
      <c r="E283" s="378">
        <v>178</v>
      </c>
    </row>
    <row r="284" spans="1:5" ht="15" customHeight="1" x14ac:dyDescent="0.2">
      <c r="B284" s="380" t="s">
        <v>521</v>
      </c>
      <c r="C284" s="378">
        <v>2403</v>
      </c>
      <c r="D284" s="378">
        <v>0</v>
      </c>
      <c r="E284" s="378">
        <v>2403</v>
      </c>
    </row>
    <row r="285" spans="1:5" ht="26.25" customHeight="1" x14ac:dyDescent="0.2"/>
    <row r="286" spans="1:5" ht="31.5" customHeight="1" x14ac:dyDescent="0.2">
      <c r="A286" s="419" t="s">
        <v>572</v>
      </c>
      <c r="B286" s="420"/>
      <c r="C286" s="420"/>
      <c r="D286" s="420"/>
      <c r="E286" s="420"/>
    </row>
    <row r="287" spans="1:5" ht="15" customHeight="1" x14ac:dyDescent="0.25">
      <c r="A287" s="392"/>
      <c r="B287" s="387" t="s">
        <v>519</v>
      </c>
      <c r="C287" s="388">
        <v>444409</v>
      </c>
      <c r="D287" s="388">
        <v>0</v>
      </c>
      <c r="E287" s="388">
        <v>444409</v>
      </c>
    </row>
    <row r="288" spans="1:5" ht="15" customHeight="1" x14ac:dyDescent="0.25">
      <c r="A288" s="392"/>
      <c r="B288" s="387" t="s">
        <v>520</v>
      </c>
      <c r="C288" s="388">
        <v>274163</v>
      </c>
      <c r="D288" s="388">
        <v>0</v>
      </c>
      <c r="E288" s="388">
        <v>274163</v>
      </c>
    </row>
    <row r="289" spans="1:5" ht="15" customHeight="1" x14ac:dyDescent="0.25">
      <c r="A289" s="392"/>
      <c r="B289" s="387" t="s">
        <v>521</v>
      </c>
      <c r="C289" s="388">
        <v>163246</v>
      </c>
      <c r="D289" s="388">
        <v>0</v>
      </c>
      <c r="E289" s="388">
        <v>163246</v>
      </c>
    </row>
    <row r="290" spans="1:5" ht="15" customHeight="1" x14ac:dyDescent="0.25">
      <c r="A290" s="392"/>
      <c r="B290" s="387" t="s">
        <v>523</v>
      </c>
      <c r="C290" s="388">
        <v>7000</v>
      </c>
      <c r="D290" s="388">
        <v>0</v>
      </c>
      <c r="E290" s="388">
        <v>7000</v>
      </c>
    </row>
    <row r="292" spans="1:5" ht="15.75" customHeight="1" x14ac:dyDescent="0.2">
      <c r="A292" s="410" t="s">
        <v>573</v>
      </c>
      <c r="B292" s="411"/>
      <c r="C292" s="411"/>
      <c r="D292" s="411"/>
      <c r="E292" s="411"/>
    </row>
    <row r="293" spans="1:5" s="389" customFormat="1" ht="15" customHeight="1" x14ac:dyDescent="0.2">
      <c r="B293" s="390" t="s">
        <v>519</v>
      </c>
      <c r="C293" s="391">
        <v>444409</v>
      </c>
      <c r="D293" s="391">
        <v>0</v>
      </c>
      <c r="E293" s="391">
        <v>444409</v>
      </c>
    </row>
    <row r="294" spans="1:5" ht="15" customHeight="1" x14ac:dyDescent="0.2">
      <c r="B294" s="380" t="s">
        <v>520</v>
      </c>
      <c r="C294" s="378">
        <v>274163</v>
      </c>
      <c r="D294" s="378">
        <v>0</v>
      </c>
      <c r="E294" s="378">
        <v>274163</v>
      </c>
    </row>
    <row r="295" spans="1:5" ht="15" customHeight="1" x14ac:dyDescent="0.2">
      <c r="B295" s="380" t="s">
        <v>521</v>
      </c>
      <c r="C295" s="378">
        <v>163246</v>
      </c>
      <c r="D295" s="378">
        <v>0</v>
      </c>
      <c r="E295" s="378">
        <v>163246</v>
      </c>
    </row>
    <row r="296" spans="1:5" ht="15" customHeight="1" x14ac:dyDescent="0.2">
      <c r="B296" s="380" t="s">
        <v>523</v>
      </c>
      <c r="C296" s="378">
        <v>7000</v>
      </c>
      <c r="D296" s="378">
        <v>0</v>
      </c>
      <c r="E296" s="378">
        <v>7000</v>
      </c>
    </row>
    <row r="297" spans="1:5" ht="22.5" customHeight="1" x14ac:dyDescent="0.2"/>
    <row r="298" spans="1:5" ht="15.75" customHeight="1" x14ac:dyDescent="0.2">
      <c r="A298" s="419" t="s">
        <v>574</v>
      </c>
      <c r="B298" s="420"/>
      <c r="C298" s="420"/>
      <c r="D298" s="420"/>
      <c r="E298" s="420"/>
    </row>
    <row r="299" spans="1:5" ht="15" customHeight="1" x14ac:dyDescent="0.25">
      <c r="A299" s="392"/>
      <c r="B299" s="387" t="s">
        <v>519</v>
      </c>
      <c r="C299" s="388">
        <v>10420365</v>
      </c>
      <c r="D299" s="388">
        <v>0</v>
      </c>
      <c r="E299" s="388">
        <v>10420365</v>
      </c>
    </row>
    <row r="300" spans="1:5" ht="15" customHeight="1" x14ac:dyDescent="0.25">
      <c r="A300" s="392"/>
      <c r="B300" s="387" t="s">
        <v>520</v>
      </c>
      <c r="C300" s="388">
        <v>887903</v>
      </c>
      <c r="D300" s="388">
        <v>0</v>
      </c>
      <c r="E300" s="388">
        <v>887903</v>
      </c>
    </row>
    <row r="301" spans="1:5" ht="15" customHeight="1" x14ac:dyDescent="0.25">
      <c r="A301" s="392"/>
      <c r="B301" s="387" t="s">
        <v>521</v>
      </c>
      <c r="C301" s="388">
        <v>4742755</v>
      </c>
      <c r="D301" s="388">
        <v>-15515</v>
      </c>
      <c r="E301" s="388">
        <v>4727240</v>
      </c>
    </row>
    <row r="302" spans="1:5" ht="15" customHeight="1" x14ac:dyDescent="0.25">
      <c r="A302" s="392"/>
      <c r="B302" s="387" t="s">
        <v>522</v>
      </c>
      <c r="C302" s="388">
        <v>100000</v>
      </c>
      <c r="D302" s="388">
        <v>0</v>
      </c>
      <c r="E302" s="388">
        <v>100000</v>
      </c>
    </row>
    <row r="303" spans="1:5" ht="15" customHeight="1" x14ac:dyDescent="0.25">
      <c r="A303" s="392"/>
      <c r="B303" s="387" t="s">
        <v>523</v>
      </c>
      <c r="C303" s="388">
        <v>4661507</v>
      </c>
      <c r="D303" s="388">
        <v>15515</v>
      </c>
      <c r="E303" s="388">
        <v>4677022</v>
      </c>
    </row>
    <row r="304" spans="1:5" ht="15" customHeight="1" x14ac:dyDescent="0.25">
      <c r="A304" s="392"/>
      <c r="B304" s="387" t="s">
        <v>575</v>
      </c>
      <c r="C304" s="388">
        <v>28200</v>
      </c>
      <c r="D304" s="388">
        <v>0</v>
      </c>
      <c r="E304" s="388">
        <v>28200</v>
      </c>
    </row>
    <row r="306" spans="1:5" ht="15.75" customHeight="1" x14ac:dyDescent="0.2">
      <c r="A306" s="410" t="s">
        <v>576</v>
      </c>
      <c r="B306" s="411"/>
      <c r="C306" s="411"/>
      <c r="D306" s="411"/>
      <c r="E306" s="411"/>
    </row>
    <row r="307" spans="1:5" s="389" customFormat="1" ht="15" customHeight="1" x14ac:dyDescent="0.2">
      <c r="B307" s="390" t="s">
        <v>519</v>
      </c>
      <c r="C307" s="391">
        <v>3336522</v>
      </c>
      <c r="D307" s="391">
        <v>0</v>
      </c>
      <c r="E307" s="391">
        <v>3336522</v>
      </c>
    </row>
    <row r="308" spans="1:5" ht="15" customHeight="1" x14ac:dyDescent="0.2">
      <c r="B308" s="380" t="s">
        <v>520</v>
      </c>
      <c r="C308" s="378">
        <v>66223</v>
      </c>
      <c r="D308" s="378">
        <v>0</v>
      </c>
      <c r="E308" s="378">
        <v>66223</v>
      </c>
    </row>
    <row r="309" spans="1:5" ht="15" customHeight="1" x14ac:dyDescent="0.2">
      <c r="B309" s="380" t="s">
        <v>521</v>
      </c>
      <c r="C309" s="378">
        <v>1293274</v>
      </c>
      <c r="D309" s="378">
        <v>0</v>
      </c>
      <c r="E309" s="378">
        <v>1293274</v>
      </c>
    </row>
    <row r="310" spans="1:5" ht="15" customHeight="1" x14ac:dyDescent="0.2">
      <c r="B310" s="380" t="s">
        <v>523</v>
      </c>
      <c r="C310" s="378">
        <v>1977025</v>
      </c>
      <c r="D310" s="378">
        <v>0</v>
      </c>
      <c r="E310" s="378">
        <v>1977025</v>
      </c>
    </row>
    <row r="312" spans="1:5" ht="31.5" customHeight="1" x14ac:dyDescent="0.2">
      <c r="A312" s="410" t="s">
        <v>577</v>
      </c>
      <c r="B312" s="411"/>
      <c r="C312" s="411"/>
      <c r="D312" s="411"/>
      <c r="E312" s="411"/>
    </row>
    <row r="313" spans="1:5" s="389" customFormat="1" ht="15" customHeight="1" x14ac:dyDescent="0.2">
      <c r="B313" s="390" t="s">
        <v>519</v>
      </c>
      <c r="C313" s="391">
        <v>1040402</v>
      </c>
      <c r="D313" s="391">
        <v>0</v>
      </c>
      <c r="E313" s="391">
        <v>1040402</v>
      </c>
    </row>
    <row r="314" spans="1:5" ht="15" customHeight="1" x14ac:dyDescent="0.2">
      <c r="B314" s="380" t="s">
        <v>523</v>
      </c>
      <c r="C314" s="378">
        <v>1040402</v>
      </c>
      <c r="D314" s="378">
        <v>0</v>
      </c>
      <c r="E314" s="378">
        <v>1040402</v>
      </c>
    </row>
    <row r="316" spans="1:5" ht="15.75" customHeight="1" x14ac:dyDescent="0.2">
      <c r="A316" s="410" t="s">
        <v>578</v>
      </c>
      <c r="B316" s="411"/>
      <c r="C316" s="411"/>
      <c r="D316" s="411"/>
      <c r="E316" s="411"/>
    </row>
    <row r="317" spans="1:5" s="389" customFormat="1" ht="15" customHeight="1" x14ac:dyDescent="0.2">
      <c r="B317" s="390" t="s">
        <v>519</v>
      </c>
      <c r="C317" s="391">
        <v>323343</v>
      </c>
      <c r="D317" s="391">
        <v>0</v>
      </c>
      <c r="E317" s="391">
        <v>323343</v>
      </c>
    </row>
    <row r="318" spans="1:5" ht="15" customHeight="1" x14ac:dyDescent="0.2">
      <c r="B318" s="380" t="s">
        <v>523</v>
      </c>
      <c r="C318" s="378">
        <v>323343</v>
      </c>
      <c r="D318" s="378">
        <v>0</v>
      </c>
      <c r="E318" s="378">
        <v>323343</v>
      </c>
    </row>
    <row r="320" spans="1:5" ht="15.75" customHeight="1" x14ac:dyDescent="0.2">
      <c r="A320" s="410" t="s">
        <v>579</v>
      </c>
      <c r="B320" s="411"/>
      <c r="C320" s="411"/>
      <c r="D320" s="411"/>
      <c r="E320" s="411"/>
    </row>
    <row r="321" spans="1:5" s="389" customFormat="1" ht="15" customHeight="1" x14ac:dyDescent="0.2">
      <c r="B321" s="390" t="s">
        <v>519</v>
      </c>
      <c r="C321" s="391">
        <v>1158310</v>
      </c>
      <c r="D321" s="391">
        <v>0</v>
      </c>
      <c r="E321" s="391">
        <v>1158310</v>
      </c>
    </row>
    <row r="322" spans="1:5" ht="15" customHeight="1" x14ac:dyDescent="0.2">
      <c r="B322" s="380" t="s">
        <v>521</v>
      </c>
      <c r="C322" s="378">
        <v>1158310</v>
      </c>
      <c r="D322" s="378">
        <v>-6988</v>
      </c>
      <c r="E322" s="378">
        <v>1151322</v>
      </c>
    </row>
    <row r="323" spans="1:5" ht="15" customHeight="1" x14ac:dyDescent="0.2">
      <c r="B323" s="380" t="s">
        <v>523</v>
      </c>
      <c r="C323" s="378">
        <v>0</v>
      </c>
      <c r="D323" s="378">
        <v>6988</v>
      </c>
      <c r="E323" s="378">
        <v>6988</v>
      </c>
    </row>
    <row r="325" spans="1:5" ht="15.75" customHeight="1" x14ac:dyDescent="0.2">
      <c r="A325" s="410" t="s">
        <v>580</v>
      </c>
      <c r="B325" s="411"/>
      <c r="C325" s="411"/>
      <c r="D325" s="411"/>
      <c r="E325" s="411"/>
    </row>
    <row r="326" spans="1:5" s="389" customFormat="1" ht="15" customHeight="1" x14ac:dyDescent="0.2">
      <c r="B326" s="390" t="s">
        <v>519</v>
      </c>
      <c r="C326" s="391">
        <v>636420</v>
      </c>
      <c r="D326" s="391">
        <v>0</v>
      </c>
      <c r="E326" s="391">
        <v>636420</v>
      </c>
    </row>
    <row r="327" spans="1:5" ht="15" customHeight="1" x14ac:dyDescent="0.2">
      <c r="B327" s="380" t="s">
        <v>521</v>
      </c>
      <c r="C327" s="378">
        <v>505107</v>
      </c>
      <c r="D327" s="378">
        <v>0</v>
      </c>
      <c r="E327" s="378">
        <v>505107</v>
      </c>
    </row>
    <row r="328" spans="1:5" ht="15" customHeight="1" x14ac:dyDescent="0.2">
      <c r="B328" s="380" t="s">
        <v>523</v>
      </c>
      <c r="C328" s="378">
        <v>131313</v>
      </c>
      <c r="D328" s="378">
        <v>0</v>
      </c>
      <c r="E328" s="378">
        <v>131313</v>
      </c>
    </row>
    <row r="330" spans="1:5" ht="15.75" customHeight="1" x14ac:dyDescent="0.2">
      <c r="A330" s="410" t="s">
        <v>581</v>
      </c>
      <c r="B330" s="411"/>
      <c r="C330" s="411"/>
      <c r="D330" s="411"/>
      <c r="E330" s="411"/>
    </row>
    <row r="331" spans="1:5" s="389" customFormat="1" ht="15" customHeight="1" x14ac:dyDescent="0.2">
      <c r="B331" s="390" t="s">
        <v>519</v>
      </c>
      <c r="C331" s="391">
        <v>693609</v>
      </c>
      <c r="D331" s="391">
        <v>0</v>
      </c>
      <c r="E331" s="391">
        <v>693609</v>
      </c>
    </row>
    <row r="332" spans="1:5" ht="15" customHeight="1" x14ac:dyDescent="0.2">
      <c r="B332" s="380" t="s">
        <v>521</v>
      </c>
      <c r="C332" s="378">
        <v>562055</v>
      </c>
      <c r="D332" s="378">
        <v>0</v>
      </c>
      <c r="E332" s="378">
        <v>562055</v>
      </c>
    </row>
    <row r="333" spans="1:5" ht="15" customHeight="1" x14ac:dyDescent="0.2">
      <c r="B333" s="380" t="s">
        <v>523</v>
      </c>
      <c r="C333" s="378">
        <v>131554</v>
      </c>
      <c r="D333" s="378">
        <v>0</v>
      </c>
      <c r="E333" s="378">
        <v>131554</v>
      </c>
    </row>
    <row r="335" spans="1:5" ht="31.5" customHeight="1" x14ac:dyDescent="0.2">
      <c r="A335" s="410" t="s">
        <v>582</v>
      </c>
      <c r="B335" s="411"/>
      <c r="C335" s="411"/>
      <c r="D335" s="411"/>
      <c r="E335" s="411"/>
    </row>
    <row r="336" spans="1:5" s="389" customFormat="1" ht="15" customHeight="1" x14ac:dyDescent="0.2">
      <c r="B336" s="390" t="s">
        <v>519</v>
      </c>
      <c r="C336" s="391">
        <v>937155</v>
      </c>
      <c r="D336" s="391">
        <v>0</v>
      </c>
      <c r="E336" s="391">
        <v>937155</v>
      </c>
    </row>
    <row r="337" spans="1:5" ht="15" customHeight="1" x14ac:dyDescent="0.2">
      <c r="B337" s="380" t="s">
        <v>523</v>
      </c>
      <c r="C337" s="378">
        <v>937155</v>
      </c>
      <c r="D337" s="378">
        <v>0</v>
      </c>
      <c r="E337" s="378">
        <v>937155</v>
      </c>
    </row>
    <row r="339" spans="1:5" ht="15.75" customHeight="1" x14ac:dyDescent="0.2">
      <c r="A339" s="410" t="s">
        <v>583</v>
      </c>
      <c r="B339" s="411"/>
      <c r="C339" s="411"/>
      <c r="D339" s="411"/>
      <c r="E339" s="411"/>
    </row>
    <row r="340" spans="1:5" s="389" customFormat="1" ht="15" customHeight="1" x14ac:dyDescent="0.2">
      <c r="B340" s="390" t="s">
        <v>519</v>
      </c>
      <c r="C340" s="391">
        <v>970043</v>
      </c>
      <c r="D340" s="391">
        <v>0</v>
      </c>
      <c r="E340" s="391">
        <v>970043</v>
      </c>
    </row>
    <row r="341" spans="1:5" ht="15" customHeight="1" x14ac:dyDescent="0.2">
      <c r="B341" s="380" t="s">
        <v>520</v>
      </c>
      <c r="C341" s="378">
        <v>819880</v>
      </c>
      <c r="D341" s="378">
        <v>0</v>
      </c>
      <c r="E341" s="378">
        <v>819880</v>
      </c>
    </row>
    <row r="342" spans="1:5" ht="15" customHeight="1" x14ac:dyDescent="0.2">
      <c r="B342" s="380" t="s">
        <v>521</v>
      </c>
      <c r="C342" s="378">
        <v>98463</v>
      </c>
      <c r="D342" s="378">
        <v>0</v>
      </c>
      <c r="E342" s="378">
        <v>98463</v>
      </c>
    </row>
    <row r="343" spans="1:5" ht="15" customHeight="1" x14ac:dyDescent="0.2">
      <c r="B343" s="380" t="s">
        <v>523</v>
      </c>
      <c r="C343" s="378">
        <v>51700</v>
      </c>
      <c r="D343" s="378">
        <v>0</v>
      </c>
      <c r="E343" s="378">
        <v>51700</v>
      </c>
    </row>
    <row r="345" spans="1:5" ht="15" x14ac:dyDescent="0.2">
      <c r="A345" s="410" t="s">
        <v>858</v>
      </c>
      <c r="B345" s="411"/>
      <c r="C345" s="411"/>
      <c r="D345" s="411"/>
      <c r="E345" s="411"/>
    </row>
    <row r="346" spans="1:5" s="389" customFormat="1" ht="15" customHeight="1" x14ac:dyDescent="0.2">
      <c r="B346" s="390" t="s">
        <v>519</v>
      </c>
      <c r="C346" s="391">
        <v>1271561</v>
      </c>
      <c r="D346" s="391">
        <v>0</v>
      </c>
      <c r="E346" s="391">
        <v>1271561</v>
      </c>
    </row>
    <row r="347" spans="1:5" ht="15" customHeight="1" x14ac:dyDescent="0.2">
      <c r="B347" s="380" t="s">
        <v>521</v>
      </c>
      <c r="C347" s="378">
        <v>1102546</v>
      </c>
      <c r="D347" s="378">
        <v>-8527</v>
      </c>
      <c r="E347" s="378">
        <v>1094019</v>
      </c>
    </row>
    <row r="348" spans="1:5" ht="15" customHeight="1" x14ac:dyDescent="0.2">
      <c r="B348" s="380" t="s">
        <v>522</v>
      </c>
      <c r="C348" s="378">
        <v>100000</v>
      </c>
      <c r="D348" s="378">
        <v>0</v>
      </c>
      <c r="E348" s="378">
        <v>100000</v>
      </c>
    </row>
    <row r="349" spans="1:5" ht="15" customHeight="1" x14ac:dyDescent="0.2">
      <c r="B349" s="380" t="s">
        <v>523</v>
      </c>
      <c r="C349" s="378">
        <v>69015</v>
      </c>
      <c r="D349" s="378">
        <v>8527</v>
      </c>
      <c r="E349" s="378">
        <v>77542</v>
      </c>
    </row>
    <row r="351" spans="1:5" ht="15.75" customHeight="1" x14ac:dyDescent="0.2">
      <c r="A351" s="410" t="s">
        <v>584</v>
      </c>
      <c r="B351" s="411"/>
      <c r="C351" s="411"/>
      <c r="D351" s="411"/>
      <c r="E351" s="411"/>
    </row>
    <row r="352" spans="1:5" s="389" customFormat="1" ht="15" customHeight="1" x14ac:dyDescent="0.2">
      <c r="B352" s="390" t="s">
        <v>519</v>
      </c>
      <c r="C352" s="391">
        <v>53000</v>
      </c>
      <c r="D352" s="391">
        <v>0</v>
      </c>
      <c r="E352" s="391">
        <v>53000</v>
      </c>
    </row>
    <row r="353" spans="1:5" ht="15" customHeight="1" x14ac:dyDescent="0.2">
      <c r="B353" s="380" t="s">
        <v>520</v>
      </c>
      <c r="C353" s="378">
        <v>1800</v>
      </c>
      <c r="D353" s="378">
        <v>0</v>
      </c>
      <c r="E353" s="378">
        <v>1800</v>
      </c>
    </row>
    <row r="354" spans="1:5" ht="15" customHeight="1" x14ac:dyDescent="0.2">
      <c r="B354" s="380" t="s">
        <v>521</v>
      </c>
      <c r="C354" s="378">
        <v>23000</v>
      </c>
      <c r="D354" s="378">
        <v>0</v>
      </c>
      <c r="E354" s="378">
        <v>23000</v>
      </c>
    </row>
    <row r="355" spans="1:5" ht="15" customHeight="1" x14ac:dyDescent="0.2">
      <c r="B355" s="380" t="s">
        <v>575</v>
      </c>
      <c r="C355" s="378">
        <v>28200</v>
      </c>
      <c r="D355" s="378">
        <v>0</v>
      </c>
      <c r="E355" s="378">
        <v>28200</v>
      </c>
    </row>
    <row r="356" spans="1:5" ht="23.25" customHeight="1" x14ac:dyDescent="0.2"/>
    <row r="357" spans="1:5" ht="15.75" customHeight="1" x14ac:dyDescent="0.2">
      <c r="A357" s="419" t="s">
        <v>585</v>
      </c>
      <c r="B357" s="420"/>
      <c r="C357" s="420"/>
      <c r="D357" s="420"/>
      <c r="E357" s="420"/>
    </row>
    <row r="358" spans="1:5" ht="15" customHeight="1" x14ac:dyDescent="0.25">
      <c r="A358" s="392"/>
      <c r="B358" s="387" t="s">
        <v>519</v>
      </c>
      <c r="C358" s="388">
        <v>3612263</v>
      </c>
      <c r="D358" s="388">
        <v>0</v>
      </c>
      <c r="E358" s="388">
        <v>3612263</v>
      </c>
    </row>
    <row r="359" spans="1:5" ht="15" customHeight="1" x14ac:dyDescent="0.25">
      <c r="A359" s="392"/>
      <c r="B359" s="387" t="s">
        <v>520</v>
      </c>
      <c r="C359" s="388">
        <v>1478165</v>
      </c>
      <c r="D359" s="388">
        <v>0</v>
      </c>
      <c r="E359" s="388">
        <v>1478165</v>
      </c>
    </row>
    <row r="360" spans="1:5" ht="15" customHeight="1" x14ac:dyDescent="0.25">
      <c r="A360" s="392"/>
      <c r="B360" s="387" t="s">
        <v>521</v>
      </c>
      <c r="C360" s="388">
        <v>1614815</v>
      </c>
      <c r="D360" s="388">
        <v>0</v>
      </c>
      <c r="E360" s="388">
        <v>1614815</v>
      </c>
    </row>
    <row r="361" spans="1:5" ht="15" customHeight="1" x14ac:dyDescent="0.25">
      <c r="A361" s="392"/>
      <c r="B361" s="387" t="s">
        <v>522</v>
      </c>
      <c r="C361" s="388">
        <v>455518</v>
      </c>
      <c r="D361" s="388">
        <v>-29000</v>
      </c>
      <c r="E361" s="388">
        <v>426518</v>
      </c>
    </row>
    <row r="362" spans="1:5" ht="15" customHeight="1" x14ac:dyDescent="0.25">
      <c r="A362" s="392"/>
      <c r="B362" s="387" t="s">
        <v>523</v>
      </c>
      <c r="C362" s="388">
        <v>63765</v>
      </c>
      <c r="D362" s="388">
        <v>29000</v>
      </c>
      <c r="E362" s="388">
        <v>92765</v>
      </c>
    </row>
    <row r="364" spans="1:5" ht="15.75" customHeight="1" x14ac:dyDescent="0.2">
      <c r="A364" s="410" t="s">
        <v>586</v>
      </c>
      <c r="B364" s="411"/>
      <c r="C364" s="411"/>
      <c r="D364" s="411"/>
      <c r="E364" s="411"/>
    </row>
    <row r="365" spans="1:5" s="389" customFormat="1" ht="15" customHeight="1" x14ac:dyDescent="0.2">
      <c r="B365" s="390" t="s">
        <v>519</v>
      </c>
      <c r="C365" s="391">
        <v>615686</v>
      </c>
      <c r="D365" s="391">
        <v>29000</v>
      </c>
      <c r="E365" s="391">
        <v>644686</v>
      </c>
    </row>
    <row r="366" spans="1:5" ht="15" customHeight="1" x14ac:dyDescent="0.2">
      <c r="B366" s="380" t="s">
        <v>520</v>
      </c>
      <c r="C366" s="378">
        <v>322531</v>
      </c>
      <c r="D366" s="378">
        <v>0</v>
      </c>
      <c r="E366" s="378">
        <v>322531</v>
      </c>
    </row>
    <row r="367" spans="1:5" ht="15" customHeight="1" x14ac:dyDescent="0.2">
      <c r="B367" s="380" t="s">
        <v>521</v>
      </c>
      <c r="C367" s="378">
        <v>238155</v>
      </c>
      <c r="D367" s="378">
        <v>0</v>
      </c>
      <c r="E367" s="378">
        <v>238155</v>
      </c>
    </row>
    <row r="368" spans="1:5" ht="15" customHeight="1" x14ac:dyDescent="0.2">
      <c r="B368" s="380" t="s">
        <v>523</v>
      </c>
      <c r="C368" s="378">
        <v>55000</v>
      </c>
      <c r="D368" s="378">
        <v>29000</v>
      </c>
      <c r="E368" s="378">
        <v>84000</v>
      </c>
    </row>
    <row r="370" spans="1:5" ht="15.75" customHeight="1" x14ac:dyDescent="0.2">
      <c r="A370" s="410" t="s">
        <v>587</v>
      </c>
      <c r="B370" s="411"/>
      <c r="C370" s="411"/>
      <c r="D370" s="411"/>
      <c r="E370" s="411"/>
    </row>
    <row r="371" spans="1:5" s="389" customFormat="1" ht="15" customHeight="1" x14ac:dyDescent="0.2">
      <c r="B371" s="390" t="s">
        <v>519</v>
      </c>
      <c r="C371" s="391">
        <v>674400</v>
      </c>
      <c r="D371" s="391">
        <v>-29000</v>
      </c>
      <c r="E371" s="391">
        <v>645400</v>
      </c>
    </row>
    <row r="372" spans="1:5" ht="15" customHeight="1" x14ac:dyDescent="0.2">
      <c r="B372" s="380" t="s">
        <v>520</v>
      </c>
      <c r="C372" s="378">
        <v>9777</v>
      </c>
      <c r="D372" s="378">
        <v>0</v>
      </c>
      <c r="E372" s="378">
        <v>9777</v>
      </c>
    </row>
    <row r="373" spans="1:5" ht="15" customHeight="1" x14ac:dyDescent="0.2">
      <c r="B373" s="380" t="s">
        <v>521</v>
      </c>
      <c r="C373" s="378">
        <v>204105</v>
      </c>
      <c r="D373" s="378">
        <v>0</v>
      </c>
      <c r="E373" s="378">
        <v>204105</v>
      </c>
    </row>
    <row r="374" spans="1:5" ht="15" customHeight="1" x14ac:dyDescent="0.2">
      <c r="B374" s="380" t="s">
        <v>522</v>
      </c>
      <c r="C374" s="378">
        <v>455518</v>
      </c>
      <c r="D374" s="378">
        <v>-29000</v>
      </c>
      <c r="E374" s="378">
        <v>426518</v>
      </c>
    </row>
    <row r="375" spans="1:5" ht="15" customHeight="1" x14ac:dyDescent="0.2">
      <c r="B375" s="380" t="s">
        <v>523</v>
      </c>
      <c r="C375" s="378">
        <v>5000</v>
      </c>
      <c r="D375" s="378">
        <v>0</v>
      </c>
      <c r="E375" s="378">
        <v>5000</v>
      </c>
    </row>
    <row r="377" spans="1:5" ht="15.75" customHeight="1" x14ac:dyDescent="0.2">
      <c r="A377" s="410" t="s">
        <v>588</v>
      </c>
      <c r="B377" s="411"/>
      <c r="C377" s="411"/>
      <c r="D377" s="411"/>
      <c r="E377" s="411"/>
    </row>
    <row r="378" spans="1:5" s="389" customFormat="1" ht="15" customHeight="1" x14ac:dyDescent="0.2">
      <c r="B378" s="390" t="s">
        <v>519</v>
      </c>
      <c r="C378" s="391">
        <v>2322177</v>
      </c>
      <c r="D378" s="391">
        <v>0</v>
      </c>
      <c r="E378" s="391">
        <v>2322177</v>
      </c>
    </row>
    <row r="379" spans="1:5" ht="15" customHeight="1" x14ac:dyDescent="0.2">
      <c r="B379" s="380" t="s">
        <v>520</v>
      </c>
      <c r="C379" s="378">
        <v>1145857</v>
      </c>
      <c r="D379" s="378">
        <v>0</v>
      </c>
      <c r="E379" s="378">
        <v>1145857</v>
      </c>
    </row>
    <row r="380" spans="1:5" ht="15" customHeight="1" x14ac:dyDescent="0.2">
      <c r="B380" s="380" t="s">
        <v>521</v>
      </c>
      <c r="C380" s="378">
        <v>1172555</v>
      </c>
      <c r="D380" s="378">
        <v>0</v>
      </c>
      <c r="E380" s="378">
        <v>1172555</v>
      </c>
    </row>
    <row r="381" spans="1:5" ht="15" customHeight="1" x14ac:dyDescent="0.2">
      <c r="B381" s="380" t="s">
        <v>523</v>
      </c>
      <c r="C381" s="378">
        <v>3765</v>
      </c>
      <c r="D381" s="378">
        <v>0</v>
      </c>
      <c r="E381" s="378">
        <v>3765</v>
      </c>
    </row>
    <row r="383" spans="1:5" ht="15.75" hidden="1" customHeight="1" x14ac:dyDescent="0.2">
      <c r="A383" s="410" t="s">
        <v>806</v>
      </c>
      <c r="B383" s="411"/>
      <c r="C383" s="411"/>
      <c r="D383" s="411"/>
      <c r="E383" s="411"/>
    </row>
    <row r="384" spans="1:5" ht="15" hidden="1" customHeight="1" x14ac:dyDescent="0.2">
      <c r="B384" s="380" t="s">
        <v>519</v>
      </c>
      <c r="C384" s="378">
        <v>1004657</v>
      </c>
      <c r="D384" s="378">
        <v>0</v>
      </c>
      <c r="E384" s="378">
        <v>1004657</v>
      </c>
    </row>
    <row r="385" spans="1:5" ht="15" hidden="1" customHeight="1" x14ac:dyDescent="0.2">
      <c r="B385" s="380" t="s">
        <v>520</v>
      </c>
      <c r="C385" s="378">
        <v>625409</v>
      </c>
      <c r="D385" s="378">
        <v>0</v>
      </c>
      <c r="E385" s="378">
        <v>625409</v>
      </c>
    </row>
    <row r="386" spans="1:5" ht="15" hidden="1" customHeight="1" x14ac:dyDescent="0.2">
      <c r="B386" s="380" t="s">
        <v>521</v>
      </c>
      <c r="C386" s="378">
        <v>379248</v>
      </c>
      <c r="D386" s="378">
        <v>0</v>
      </c>
      <c r="E386" s="378">
        <v>379248</v>
      </c>
    </row>
    <row r="387" spans="1:5" hidden="1" x14ac:dyDescent="0.2"/>
    <row r="388" spans="1:5" ht="15.75" hidden="1" customHeight="1" x14ac:dyDescent="0.2">
      <c r="A388" s="410" t="s">
        <v>807</v>
      </c>
      <c r="B388" s="411"/>
      <c r="C388" s="411"/>
      <c r="D388" s="411"/>
      <c r="E388" s="411"/>
    </row>
    <row r="389" spans="1:5" ht="15" hidden="1" customHeight="1" x14ac:dyDescent="0.2">
      <c r="B389" s="380" t="s">
        <v>519</v>
      </c>
      <c r="C389" s="378">
        <v>471512</v>
      </c>
      <c r="D389" s="378">
        <v>0</v>
      </c>
      <c r="E389" s="378">
        <v>471512</v>
      </c>
    </row>
    <row r="390" spans="1:5" ht="15" hidden="1" customHeight="1" x14ac:dyDescent="0.2">
      <c r="B390" s="380" t="s">
        <v>520</v>
      </c>
      <c r="C390" s="378">
        <v>188177</v>
      </c>
      <c r="D390" s="378">
        <v>0</v>
      </c>
      <c r="E390" s="378">
        <v>188177</v>
      </c>
    </row>
    <row r="391" spans="1:5" ht="15" hidden="1" customHeight="1" x14ac:dyDescent="0.2">
      <c r="B391" s="380" t="s">
        <v>521</v>
      </c>
      <c r="C391" s="378">
        <v>283335</v>
      </c>
      <c r="D391" s="378">
        <v>0</v>
      </c>
      <c r="E391" s="378">
        <v>283335</v>
      </c>
    </row>
    <row r="392" spans="1:5" hidden="1" x14ac:dyDescent="0.2"/>
    <row r="393" spans="1:5" ht="15.75" hidden="1" customHeight="1" x14ac:dyDescent="0.2">
      <c r="A393" s="410" t="s">
        <v>808</v>
      </c>
      <c r="B393" s="411"/>
      <c r="C393" s="411"/>
      <c r="D393" s="411"/>
      <c r="E393" s="411"/>
    </row>
    <row r="394" spans="1:5" ht="15" hidden="1" customHeight="1" x14ac:dyDescent="0.2">
      <c r="B394" s="380" t="s">
        <v>519</v>
      </c>
      <c r="C394" s="378">
        <v>846008</v>
      </c>
      <c r="D394" s="378">
        <v>0</v>
      </c>
      <c r="E394" s="378">
        <v>846008</v>
      </c>
    </row>
    <row r="395" spans="1:5" ht="15" hidden="1" customHeight="1" x14ac:dyDescent="0.2">
      <c r="B395" s="380" t="s">
        <v>520</v>
      </c>
      <c r="C395" s="378">
        <v>332271</v>
      </c>
      <c r="D395" s="378">
        <v>0</v>
      </c>
      <c r="E395" s="378">
        <v>332271</v>
      </c>
    </row>
    <row r="396" spans="1:5" ht="15" hidden="1" customHeight="1" x14ac:dyDescent="0.2">
      <c r="B396" s="380" t="s">
        <v>521</v>
      </c>
      <c r="C396" s="378">
        <v>509972</v>
      </c>
      <c r="D396" s="378">
        <v>0</v>
      </c>
      <c r="E396" s="378">
        <v>509972</v>
      </c>
    </row>
    <row r="397" spans="1:5" ht="15" hidden="1" customHeight="1" x14ac:dyDescent="0.2">
      <c r="B397" s="380" t="s">
        <v>523</v>
      </c>
      <c r="C397" s="378">
        <v>3765</v>
      </c>
      <c r="D397" s="378">
        <v>0</v>
      </c>
      <c r="E397" s="378">
        <v>3765</v>
      </c>
    </row>
    <row r="398" spans="1:5" hidden="1" x14ac:dyDescent="0.2"/>
    <row r="399" spans="1:5" ht="19.5" customHeight="1" x14ac:dyDescent="0.2">
      <c r="A399" s="421" t="s">
        <v>589</v>
      </c>
      <c r="B399" s="422"/>
      <c r="C399" s="422"/>
      <c r="D399" s="422"/>
      <c r="E399" s="422"/>
    </row>
    <row r="400" spans="1:5" ht="15" customHeight="1" x14ac:dyDescent="0.25">
      <c r="A400" s="392"/>
      <c r="B400" s="387" t="s">
        <v>519</v>
      </c>
      <c r="C400" s="388">
        <v>906773</v>
      </c>
      <c r="D400" s="388">
        <v>132</v>
      </c>
      <c r="E400" s="388">
        <v>906905</v>
      </c>
    </row>
    <row r="401" spans="1:5" ht="15" customHeight="1" x14ac:dyDescent="0.25">
      <c r="A401" s="392"/>
      <c r="B401" s="387" t="s">
        <v>520</v>
      </c>
      <c r="C401" s="388">
        <v>556843</v>
      </c>
      <c r="D401" s="388">
        <v>0</v>
      </c>
      <c r="E401" s="388">
        <v>556843</v>
      </c>
    </row>
    <row r="402" spans="1:5" ht="15" customHeight="1" x14ac:dyDescent="0.25">
      <c r="A402" s="392"/>
      <c r="B402" s="387" t="s">
        <v>521</v>
      </c>
      <c r="C402" s="388">
        <v>150895</v>
      </c>
      <c r="D402" s="388">
        <v>0</v>
      </c>
      <c r="E402" s="388">
        <v>150895</v>
      </c>
    </row>
    <row r="403" spans="1:5" ht="15" customHeight="1" x14ac:dyDescent="0.25">
      <c r="A403" s="392"/>
      <c r="B403" s="387" t="s">
        <v>523</v>
      </c>
      <c r="C403" s="388">
        <v>101538</v>
      </c>
      <c r="D403" s="388">
        <v>0</v>
      </c>
      <c r="E403" s="388">
        <v>101538</v>
      </c>
    </row>
    <row r="404" spans="1:5" ht="30" customHeight="1" x14ac:dyDescent="0.25">
      <c r="A404" s="392"/>
      <c r="B404" s="387" t="s">
        <v>524</v>
      </c>
      <c r="C404" s="388">
        <v>97497</v>
      </c>
      <c r="D404" s="388">
        <v>132</v>
      </c>
      <c r="E404" s="388">
        <v>97629</v>
      </c>
    </row>
    <row r="406" spans="1:5" ht="15.75" customHeight="1" x14ac:dyDescent="0.2">
      <c r="A406" s="410" t="s">
        <v>590</v>
      </c>
      <c r="B406" s="411"/>
      <c r="C406" s="411"/>
      <c r="D406" s="411"/>
      <c r="E406" s="411"/>
    </row>
    <row r="407" spans="1:5" s="389" customFormat="1" ht="15" customHeight="1" x14ac:dyDescent="0.2">
      <c r="B407" s="390" t="s">
        <v>519</v>
      </c>
      <c r="C407" s="391">
        <v>806874</v>
      </c>
      <c r="D407" s="391">
        <v>0</v>
      </c>
      <c r="E407" s="391">
        <v>806874</v>
      </c>
    </row>
    <row r="408" spans="1:5" ht="15" customHeight="1" x14ac:dyDescent="0.2">
      <c r="B408" s="380" t="s">
        <v>520</v>
      </c>
      <c r="C408" s="378">
        <v>556843</v>
      </c>
      <c r="D408" s="378">
        <v>0</v>
      </c>
      <c r="E408" s="378">
        <v>556843</v>
      </c>
    </row>
    <row r="409" spans="1:5" ht="15" customHeight="1" x14ac:dyDescent="0.2">
      <c r="B409" s="380" t="s">
        <v>521</v>
      </c>
      <c r="C409" s="378">
        <v>148493</v>
      </c>
      <c r="D409" s="378">
        <v>0</v>
      </c>
      <c r="E409" s="378">
        <v>148493</v>
      </c>
    </row>
    <row r="410" spans="1:5" ht="15" customHeight="1" x14ac:dyDescent="0.2">
      <c r="B410" s="380" t="s">
        <v>523</v>
      </c>
      <c r="C410" s="378">
        <v>101538</v>
      </c>
      <c r="D410" s="378">
        <v>0</v>
      </c>
      <c r="E410" s="378">
        <v>101538</v>
      </c>
    </row>
    <row r="412" spans="1:5" ht="31.5" customHeight="1" x14ac:dyDescent="0.2">
      <c r="A412" s="410" t="s">
        <v>591</v>
      </c>
      <c r="B412" s="411"/>
      <c r="C412" s="411"/>
      <c r="D412" s="411"/>
      <c r="E412" s="411"/>
    </row>
    <row r="413" spans="1:5" s="389" customFormat="1" ht="15" customHeight="1" x14ac:dyDescent="0.2">
      <c r="B413" s="390" t="s">
        <v>519</v>
      </c>
      <c r="C413" s="391">
        <v>99899</v>
      </c>
      <c r="D413" s="391">
        <v>132</v>
      </c>
      <c r="E413" s="391">
        <v>100031</v>
      </c>
    </row>
    <row r="414" spans="1:5" ht="15" customHeight="1" x14ac:dyDescent="0.2">
      <c r="B414" s="380" t="s">
        <v>521</v>
      </c>
      <c r="C414" s="378">
        <v>2402</v>
      </c>
      <c r="D414" s="378">
        <v>0</v>
      </c>
      <c r="E414" s="378">
        <v>2402</v>
      </c>
    </row>
    <row r="415" spans="1:5" ht="30" customHeight="1" x14ac:dyDescent="0.2">
      <c r="B415" s="380" t="s">
        <v>524</v>
      </c>
      <c r="C415" s="378">
        <v>97497</v>
      </c>
      <c r="D415" s="378">
        <v>132</v>
      </c>
      <c r="E415" s="378">
        <v>97629</v>
      </c>
    </row>
    <row r="416" spans="1:5" ht="23.25" customHeight="1" x14ac:dyDescent="0.2"/>
    <row r="417" spans="1:5" ht="31.5" customHeight="1" x14ac:dyDescent="0.2">
      <c r="A417" s="419" t="s">
        <v>592</v>
      </c>
      <c r="B417" s="420"/>
      <c r="C417" s="420"/>
      <c r="D417" s="420"/>
      <c r="E417" s="420"/>
    </row>
    <row r="418" spans="1:5" ht="15" customHeight="1" x14ac:dyDescent="0.25">
      <c r="A418" s="392"/>
      <c r="B418" s="387" t="s">
        <v>519</v>
      </c>
      <c r="C418" s="388">
        <v>601342</v>
      </c>
      <c r="D418" s="388">
        <v>1200</v>
      </c>
      <c r="E418" s="388">
        <v>602542</v>
      </c>
    </row>
    <row r="419" spans="1:5" ht="15" customHeight="1" x14ac:dyDescent="0.25">
      <c r="A419" s="392"/>
      <c r="B419" s="387" t="s">
        <v>520</v>
      </c>
      <c r="C419" s="388">
        <v>415678</v>
      </c>
      <c r="D419" s="388">
        <v>0</v>
      </c>
      <c r="E419" s="388">
        <v>415678</v>
      </c>
    </row>
    <row r="420" spans="1:5" ht="15" customHeight="1" x14ac:dyDescent="0.25">
      <c r="A420" s="392"/>
      <c r="B420" s="387" t="s">
        <v>521</v>
      </c>
      <c r="C420" s="388">
        <v>125664</v>
      </c>
      <c r="D420" s="388">
        <v>1200</v>
      </c>
      <c r="E420" s="388">
        <v>126864</v>
      </c>
    </row>
    <row r="421" spans="1:5" ht="15" customHeight="1" x14ac:dyDescent="0.25">
      <c r="A421" s="392"/>
      <c r="B421" s="387" t="s">
        <v>523</v>
      </c>
      <c r="C421" s="388">
        <v>60000</v>
      </c>
      <c r="D421" s="388">
        <v>0</v>
      </c>
      <c r="E421" s="388">
        <v>60000</v>
      </c>
    </row>
    <row r="423" spans="1:5" ht="15.75" customHeight="1" x14ac:dyDescent="0.2">
      <c r="A423" s="410" t="s">
        <v>593</v>
      </c>
      <c r="B423" s="411"/>
      <c r="C423" s="411"/>
      <c r="D423" s="411"/>
      <c r="E423" s="411"/>
    </row>
    <row r="424" spans="1:5" s="389" customFormat="1" ht="15" customHeight="1" x14ac:dyDescent="0.2">
      <c r="B424" s="390" t="s">
        <v>519</v>
      </c>
      <c r="C424" s="391">
        <v>601342</v>
      </c>
      <c r="D424" s="391">
        <v>1200</v>
      </c>
      <c r="E424" s="391">
        <v>602542</v>
      </c>
    </row>
    <row r="425" spans="1:5" ht="15" customHeight="1" x14ac:dyDescent="0.2">
      <c r="B425" s="380" t="s">
        <v>520</v>
      </c>
      <c r="C425" s="378">
        <v>415678</v>
      </c>
      <c r="D425" s="378">
        <v>0</v>
      </c>
      <c r="E425" s="378">
        <v>415678</v>
      </c>
    </row>
    <row r="426" spans="1:5" ht="15" customHeight="1" x14ac:dyDescent="0.2">
      <c r="B426" s="380" t="s">
        <v>521</v>
      </c>
      <c r="C426" s="378">
        <v>125664</v>
      </c>
      <c r="D426" s="378">
        <v>1200</v>
      </c>
      <c r="E426" s="378">
        <v>126864</v>
      </c>
    </row>
    <row r="427" spans="1:5" ht="15" customHeight="1" x14ac:dyDescent="0.2">
      <c r="B427" s="380" t="s">
        <v>523</v>
      </c>
      <c r="C427" s="378">
        <v>60000</v>
      </c>
      <c r="D427" s="378">
        <v>0</v>
      </c>
      <c r="E427" s="378">
        <v>60000</v>
      </c>
    </row>
    <row r="429" spans="1:5" ht="20.25" customHeight="1" x14ac:dyDescent="0.2">
      <c r="A429" s="419" t="s">
        <v>594</v>
      </c>
      <c r="B429" s="420"/>
      <c r="C429" s="420"/>
      <c r="D429" s="420"/>
      <c r="E429" s="420"/>
    </row>
    <row r="430" spans="1:5" ht="15" customHeight="1" x14ac:dyDescent="0.25">
      <c r="A430" s="392"/>
      <c r="B430" s="387" t="s">
        <v>519</v>
      </c>
      <c r="C430" s="388">
        <v>3156072</v>
      </c>
      <c r="D430" s="388">
        <v>11584</v>
      </c>
      <c r="E430" s="388">
        <v>3167656</v>
      </c>
    </row>
    <row r="431" spans="1:5" ht="15" customHeight="1" x14ac:dyDescent="0.25">
      <c r="A431" s="392"/>
      <c r="B431" s="387" t="s">
        <v>520</v>
      </c>
      <c r="C431" s="388">
        <v>1646395</v>
      </c>
      <c r="D431" s="388">
        <v>11584</v>
      </c>
      <c r="E431" s="388">
        <v>1657979</v>
      </c>
    </row>
    <row r="432" spans="1:5" ht="15" customHeight="1" x14ac:dyDescent="0.25">
      <c r="A432" s="392"/>
      <c r="B432" s="387" t="s">
        <v>521</v>
      </c>
      <c r="C432" s="388">
        <v>1347040</v>
      </c>
      <c r="D432" s="388">
        <v>-23646</v>
      </c>
      <c r="E432" s="388">
        <v>1323394</v>
      </c>
    </row>
    <row r="433" spans="1:5" ht="15" customHeight="1" x14ac:dyDescent="0.25">
      <c r="A433" s="392"/>
      <c r="B433" s="387" t="s">
        <v>522</v>
      </c>
      <c r="C433" s="388">
        <v>12450</v>
      </c>
      <c r="D433" s="388">
        <v>-1250</v>
      </c>
      <c r="E433" s="388">
        <v>11200</v>
      </c>
    </row>
    <row r="434" spans="1:5" ht="15" customHeight="1" x14ac:dyDescent="0.25">
      <c r="A434" s="392"/>
      <c r="B434" s="387" t="s">
        <v>523</v>
      </c>
      <c r="C434" s="388">
        <v>142259</v>
      </c>
      <c r="D434" s="388">
        <v>2500</v>
      </c>
      <c r="E434" s="388">
        <v>144759</v>
      </c>
    </row>
    <row r="435" spans="1:5" ht="15" customHeight="1" x14ac:dyDescent="0.25">
      <c r="A435" s="392"/>
      <c r="B435" s="387" t="s">
        <v>575</v>
      </c>
      <c r="C435" s="388">
        <v>0</v>
      </c>
      <c r="D435" s="388">
        <v>22146</v>
      </c>
      <c r="E435" s="388">
        <v>22146</v>
      </c>
    </row>
    <row r="436" spans="1:5" ht="30" customHeight="1" x14ac:dyDescent="0.25">
      <c r="A436" s="392"/>
      <c r="B436" s="387" t="s">
        <v>524</v>
      </c>
      <c r="C436" s="388">
        <v>7928</v>
      </c>
      <c r="D436" s="388">
        <v>250</v>
      </c>
      <c r="E436" s="388">
        <v>8178</v>
      </c>
    </row>
    <row r="438" spans="1:5" ht="15.75" customHeight="1" x14ac:dyDescent="0.2">
      <c r="A438" s="410" t="s">
        <v>595</v>
      </c>
      <c r="B438" s="411"/>
      <c r="C438" s="411"/>
      <c r="D438" s="411"/>
      <c r="E438" s="411"/>
    </row>
    <row r="439" spans="1:5" s="389" customFormat="1" ht="15" customHeight="1" x14ac:dyDescent="0.2">
      <c r="B439" s="390" t="s">
        <v>519</v>
      </c>
      <c r="C439" s="391">
        <v>1694317</v>
      </c>
      <c r="D439" s="391">
        <v>0</v>
      </c>
      <c r="E439" s="391">
        <v>1694317</v>
      </c>
    </row>
    <row r="440" spans="1:5" ht="15" customHeight="1" x14ac:dyDescent="0.2">
      <c r="B440" s="380" t="s">
        <v>520</v>
      </c>
      <c r="C440" s="378">
        <v>971375</v>
      </c>
      <c r="D440" s="378">
        <v>0</v>
      </c>
      <c r="E440" s="378">
        <v>971375</v>
      </c>
    </row>
    <row r="441" spans="1:5" ht="15" customHeight="1" x14ac:dyDescent="0.2">
      <c r="B441" s="380" t="s">
        <v>521</v>
      </c>
      <c r="C441" s="378">
        <v>595338</v>
      </c>
      <c r="D441" s="378">
        <v>0</v>
      </c>
      <c r="E441" s="378">
        <v>595338</v>
      </c>
    </row>
    <row r="442" spans="1:5" ht="15" customHeight="1" x14ac:dyDescent="0.2">
      <c r="B442" s="380" t="s">
        <v>523</v>
      </c>
      <c r="C442" s="378">
        <v>127604</v>
      </c>
      <c r="D442" s="378">
        <v>0</v>
      </c>
      <c r="E442" s="378">
        <v>127604</v>
      </c>
    </row>
    <row r="444" spans="1:5" ht="15.75" customHeight="1" x14ac:dyDescent="0.2">
      <c r="A444" s="410" t="s">
        <v>596</v>
      </c>
      <c r="B444" s="411"/>
      <c r="C444" s="411"/>
      <c r="D444" s="411"/>
      <c r="E444" s="411"/>
    </row>
    <row r="445" spans="1:5" s="389" customFormat="1" ht="15" customHeight="1" x14ac:dyDescent="0.2">
      <c r="B445" s="390" t="s">
        <v>519</v>
      </c>
      <c r="C445" s="391">
        <v>769013</v>
      </c>
      <c r="D445" s="391">
        <v>11084</v>
      </c>
      <c r="E445" s="391">
        <v>780097</v>
      </c>
    </row>
    <row r="446" spans="1:5" ht="15" customHeight="1" x14ac:dyDescent="0.2">
      <c r="B446" s="380" t="s">
        <v>520</v>
      </c>
      <c r="C446" s="378">
        <v>90327</v>
      </c>
      <c r="D446" s="378">
        <v>11084</v>
      </c>
      <c r="E446" s="378">
        <v>101411</v>
      </c>
    </row>
    <row r="447" spans="1:5" ht="15" customHeight="1" x14ac:dyDescent="0.2">
      <c r="B447" s="380" t="s">
        <v>521</v>
      </c>
      <c r="C447" s="378">
        <v>665686</v>
      </c>
      <c r="D447" s="378">
        <v>-22146</v>
      </c>
      <c r="E447" s="378">
        <v>643540</v>
      </c>
    </row>
    <row r="448" spans="1:5" ht="15" customHeight="1" x14ac:dyDescent="0.2">
      <c r="B448" s="380" t="s">
        <v>523</v>
      </c>
      <c r="C448" s="378">
        <v>13000</v>
      </c>
      <c r="D448" s="378">
        <v>0</v>
      </c>
      <c r="E448" s="378">
        <v>13000</v>
      </c>
    </row>
    <row r="449" spans="1:5" ht="15" customHeight="1" x14ac:dyDescent="0.2">
      <c r="B449" s="380" t="s">
        <v>575</v>
      </c>
      <c r="C449" s="378">
        <v>0</v>
      </c>
      <c r="D449" s="378">
        <v>22146</v>
      </c>
      <c r="E449" s="378">
        <v>22146</v>
      </c>
    </row>
    <row r="451" spans="1:5" ht="15.75" customHeight="1" x14ac:dyDescent="0.2">
      <c r="A451" s="410" t="s">
        <v>597</v>
      </c>
      <c r="B451" s="411"/>
      <c r="C451" s="411"/>
      <c r="D451" s="411"/>
      <c r="E451" s="411"/>
    </row>
    <row r="452" spans="1:5" s="389" customFormat="1" ht="15" customHeight="1" x14ac:dyDescent="0.2">
      <c r="B452" s="390" t="s">
        <v>519</v>
      </c>
      <c r="C452" s="391">
        <v>98212</v>
      </c>
      <c r="D452" s="391">
        <v>500</v>
      </c>
      <c r="E452" s="391">
        <v>98712</v>
      </c>
    </row>
    <row r="453" spans="1:5" ht="15" customHeight="1" x14ac:dyDescent="0.2">
      <c r="B453" s="380" t="s">
        <v>520</v>
      </c>
      <c r="C453" s="378">
        <v>96212</v>
      </c>
      <c r="D453" s="378">
        <v>500</v>
      </c>
      <c r="E453" s="378">
        <v>96712</v>
      </c>
    </row>
    <row r="454" spans="1:5" ht="15" customHeight="1" x14ac:dyDescent="0.2">
      <c r="B454" s="380" t="s">
        <v>521</v>
      </c>
      <c r="C454" s="378">
        <v>2000</v>
      </c>
      <c r="D454" s="378">
        <v>0</v>
      </c>
      <c r="E454" s="378">
        <v>2000</v>
      </c>
    </row>
    <row r="456" spans="1:5" ht="15.75" customHeight="1" x14ac:dyDescent="0.2">
      <c r="A456" s="410" t="s">
        <v>598</v>
      </c>
      <c r="B456" s="411"/>
      <c r="C456" s="411"/>
      <c r="D456" s="411"/>
      <c r="E456" s="411"/>
    </row>
    <row r="457" spans="1:5" s="389" customFormat="1" ht="15" customHeight="1" x14ac:dyDescent="0.2">
      <c r="B457" s="390" t="s">
        <v>519</v>
      </c>
      <c r="C457" s="391">
        <v>83253</v>
      </c>
      <c r="D457" s="391">
        <v>0</v>
      </c>
      <c r="E457" s="391">
        <v>83253</v>
      </c>
    </row>
    <row r="458" spans="1:5" ht="15" customHeight="1" x14ac:dyDescent="0.2">
      <c r="B458" s="380" t="s">
        <v>520</v>
      </c>
      <c r="C458" s="378">
        <v>75398</v>
      </c>
      <c r="D458" s="378">
        <v>0</v>
      </c>
      <c r="E458" s="378">
        <v>75398</v>
      </c>
    </row>
    <row r="459" spans="1:5" ht="15" customHeight="1" x14ac:dyDescent="0.2">
      <c r="B459" s="380" t="s">
        <v>521</v>
      </c>
      <c r="C459" s="378">
        <v>7855</v>
      </c>
      <c r="D459" s="378">
        <v>0</v>
      </c>
      <c r="E459" s="378">
        <v>7855</v>
      </c>
    </row>
    <row r="461" spans="1:5" ht="15.75" customHeight="1" x14ac:dyDescent="0.2">
      <c r="A461" s="410" t="s">
        <v>599</v>
      </c>
      <c r="B461" s="411"/>
      <c r="C461" s="411"/>
      <c r="D461" s="411"/>
      <c r="E461" s="411"/>
    </row>
    <row r="462" spans="1:5" s="389" customFormat="1" ht="15" customHeight="1" x14ac:dyDescent="0.2">
      <c r="B462" s="390" t="s">
        <v>519</v>
      </c>
      <c r="C462" s="391">
        <v>21310</v>
      </c>
      <c r="D462" s="391">
        <v>0</v>
      </c>
      <c r="E462" s="391">
        <v>21310</v>
      </c>
    </row>
    <row r="463" spans="1:5" ht="15" customHeight="1" x14ac:dyDescent="0.2">
      <c r="B463" s="380" t="s">
        <v>520</v>
      </c>
      <c r="C463" s="378">
        <v>15599</v>
      </c>
      <c r="D463" s="378">
        <v>0</v>
      </c>
      <c r="E463" s="378">
        <v>15599</v>
      </c>
    </row>
    <row r="464" spans="1:5" ht="15" customHeight="1" x14ac:dyDescent="0.2">
      <c r="B464" s="380" t="s">
        <v>521</v>
      </c>
      <c r="C464" s="378">
        <v>5711</v>
      </c>
      <c r="D464" s="378">
        <v>0</v>
      </c>
      <c r="E464" s="378">
        <v>5711</v>
      </c>
    </row>
    <row r="466" spans="1:5" ht="15.75" customHeight="1" x14ac:dyDescent="0.2">
      <c r="A466" s="410" t="s">
        <v>600</v>
      </c>
      <c r="B466" s="411"/>
      <c r="C466" s="411"/>
      <c r="D466" s="411"/>
      <c r="E466" s="411"/>
    </row>
    <row r="467" spans="1:5" s="389" customFormat="1" ht="15" customHeight="1" x14ac:dyDescent="0.2">
      <c r="B467" s="390" t="s">
        <v>519</v>
      </c>
      <c r="C467" s="391">
        <v>458706</v>
      </c>
      <c r="D467" s="391">
        <v>0</v>
      </c>
      <c r="E467" s="391">
        <v>458706</v>
      </c>
    </row>
    <row r="468" spans="1:5" ht="15" customHeight="1" x14ac:dyDescent="0.2">
      <c r="B468" s="380" t="s">
        <v>520</v>
      </c>
      <c r="C468" s="378">
        <v>389974</v>
      </c>
      <c r="D468" s="378">
        <v>0</v>
      </c>
      <c r="E468" s="378">
        <v>389974</v>
      </c>
    </row>
    <row r="469" spans="1:5" ht="15" customHeight="1" x14ac:dyDescent="0.2">
      <c r="B469" s="380" t="s">
        <v>521</v>
      </c>
      <c r="C469" s="378">
        <v>59149</v>
      </c>
      <c r="D469" s="378">
        <v>-1500</v>
      </c>
      <c r="E469" s="378">
        <v>57649</v>
      </c>
    </row>
    <row r="470" spans="1:5" ht="15" customHeight="1" x14ac:dyDescent="0.2">
      <c r="B470" s="380" t="s">
        <v>523</v>
      </c>
      <c r="C470" s="378">
        <v>1655</v>
      </c>
      <c r="D470" s="378">
        <v>1500</v>
      </c>
      <c r="E470" s="378">
        <v>3155</v>
      </c>
    </row>
    <row r="471" spans="1:5" ht="30" customHeight="1" x14ac:dyDescent="0.2">
      <c r="B471" s="380" t="s">
        <v>524</v>
      </c>
      <c r="C471" s="378">
        <v>7928</v>
      </c>
      <c r="D471" s="378">
        <v>0</v>
      </c>
      <c r="E471" s="378">
        <v>7928</v>
      </c>
    </row>
    <row r="473" spans="1:5" ht="15.75" customHeight="1" x14ac:dyDescent="0.2">
      <c r="A473" s="410" t="s">
        <v>601</v>
      </c>
      <c r="B473" s="411"/>
      <c r="C473" s="411"/>
      <c r="D473" s="411"/>
      <c r="E473" s="411"/>
    </row>
    <row r="474" spans="1:5" s="389" customFormat="1" ht="15" customHeight="1" x14ac:dyDescent="0.2">
      <c r="B474" s="390" t="s">
        <v>519</v>
      </c>
      <c r="C474" s="391">
        <v>31261</v>
      </c>
      <c r="D474" s="391">
        <v>0</v>
      </c>
      <c r="E474" s="391">
        <v>31261</v>
      </c>
    </row>
    <row r="475" spans="1:5" ht="15" customHeight="1" x14ac:dyDescent="0.2">
      <c r="B475" s="380" t="s">
        <v>520</v>
      </c>
      <c r="C475" s="378">
        <v>7510</v>
      </c>
      <c r="D475" s="378">
        <v>0</v>
      </c>
      <c r="E475" s="378">
        <v>7510</v>
      </c>
    </row>
    <row r="476" spans="1:5" ht="15" customHeight="1" x14ac:dyDescent="0.2">
      <c r="B476" s="380" t="s">
        <v>521</v>
      </c>
      <c r="C476" s="378">
        <v>11301</v>
      </c>
      <c r="D476" s="378">
        <v>0</v>
      </c>
      <c r="E476" s="378">
        <v>11301</v>
      </c>
    </row>
    <row r="477" spans="1:5" ht="15" customHeight="1" x14ac:dyDescent="0.2">
      <c r="B477" s="380" t="s">
        <v>522</v>
      </c>
      <c r="C477" s="378">
        <v>12450</v>
      </c>
      <c r="D477" s="378">
        <v>-1250</v>
      </c>
      <c r="E477" s="378">
        <v>11200</v>
      </c>
    </row>
    <row r="478" spans="1:5" ht="15" customHeight="1" x14ac:dyDescent="0.2">
      <c r="B478" s="380" t="s">
        <v>523</v>
      </c>
      <c r="C478" s="378">
        <v>0</v>
      </c>
      <c r="D478" s="378">
        <v>1000</v>
      </c>
      <c r="E478" s="378">
        <v>1000</v>
      </c>
    </row>
    <row r="479" spans="1:5" ht="30" customHeight="1" x14ac:dyDescent="0.2">
      <c r="B479" s="380" t="s">
        <v>524</v>
      </c>
      <c r="C479" s="378">
        <v>0</v>
      </c>
      <c r="D479" s="378">
        <v>250</v>
      </c>
      <c r="E479" s="378">
        <v>250</v>
      </c>
    </row>
    <row r="481" spans="1:5" ht="31.5" customHeight="1" x14ac:dyDescent="0.2">
      <c r="A481" s="419" t="s">
        <v>859</v>
      </c>
      <c r="B481" s="420"/>
      <c r="C481" s="420"/>
      <c r="D481" s="420"/>
      <c r="E481" s="420"/>
    </row>
    <row r="482" spans="1:5" ht="15" customHeight="1" x14ac:dyDescent="0.25">
      <c r="A482" s="392"/>
      <c r="B482" s="387" t="s">
        <v>519</v>
      </c>
      <c r="C482" s="388">
        <v>1257875</v>
      </c>
      <c r="D482" s="388">
        <v>71123</v>
      </c>
      <c r="E482" s="388">
        <v>1328998</v>
      </c>
    </row>
    <row r="483" spans="1:5" ht="15" customHeight="1" x14ac:dyDescent="0.25">
      <c r="A483" s="392"/>
      <c r="B483" s="387" t="s">
        <v>520</v>
      </c>
      <c r="C483" s="388">
        <v>748633</v>
      </c>
      <c r="D483" s="388">
        <v>0</v>
      </c>
      <c r="E483" s="388">
        <v>748633</v>
      </c>
    </row>
    <row r="484" spans="1:5" ht="15" customHeight="1" x14ac:dyDescent="0.25">
      <c r="A484" s="392"/>
      <c r="B484" s="387" t="s">
        <v>521</v>
      </c>
      <c r="C484" s="388">
        <v>448990</v>
      </c>
      <c r="D484" s="388">
        <v>68018</v>
      </c>
      <c r="E484" s="388">
        <v>517008</v>
      </c>
    </row>
    <row r="485" spans="1:5" ht="15" customHeight="1" x14ac:dyDescent="0.25">
      <c r="A485" s="392"/>
      <c r="B485" s="387" t="s">
        <v>523</v>
      </c>
      <c r="C485" s="388">
        <v>2000</v>
      </c>
      <c r="D485" s="388">
        <v>3105</v>
      </c>
      <c r="E485" s="388">
        <v>5105</v>
      </c>
    </row>
    <row r="486" spans="1:5" ht="15" customHeight="1" x14ac:dyDescent="0.25">
      <c r="A486" s="392"/>
      <c r="B486" s="387" t="s">
        <v>575</v>
      </c>
      <c r="C486" s="388">
        <v>15681</v>
      </c>
      <c r="D486" s="388">
        <v>0</v>
      </c>
      <c r="E486" s="388">
        <v>15681</v>
      </c>
    </row>
    <row r="487" spans="1:5" ht="30" customHeight="1" x14ac:dyDescent="0.25">
      <c r="A487" s="392"/>
      <c r="B487" s="387" t="s">
        <v>524</v>
      </c>
      <c r="C487" s="388">
        <v>42571</v>
      </c>
      <c r="D487" s="388">
        <v>0</v>
      </c>
      <c r="E487" s="388">
        <v>42571</v>
      </c>
    </row>
    <row r="489" spans="1:5" ht="15.75" customHeight="1" x14ac:dyDescent="0.2">
      <c r="A489" s="410" t="s">
        <v>602</v>
      </c>
      <c r="B489" s="411"/>
      <c r="C489" s="411"/>
      <c r="D489" s="411"/>
      <c r="E489" s="411"/>
    </row>
    <row r="490" spans="1:5" s="389" customFormat="1" ht="15" customHeight="1" x14ac:dyDescent="0.2">
      <c r="B490" s="390" t="s">
        <v>519</v>
      </c>
      <c r="C490" s="391">
        <v>1071614</v>
      </c>
      <c r="D490" s="391">
        <v>71123</v>
      </c>
      <c r="E490" s="391">
        <v>1142737</v>
      </c>
    </row>
    <row r="491" spans="1:5" ht="15" customHeight="1" x14ac:dyDescent="0.2">
      <c r="B491" s="380" t="s">
        <v>520</v>
      </c>
      <c r="C491" s="378">
        <v>705544</v>
      </c>
      <c r="D491" s="378">
        <v>0</v>
      </c>
      <c r="E491" s="378">
        <v>705544</v>
      </c>
    </row>
    <row r="492" spans="1:5" ht="15" customHeight="1" x14ac:dyDescent="0.2">
      <c r="B492" s="380" t="s">
        <v>521</v>
      </c>
      <c r="C492" s="378">
        <v>358670</v>
      </c>
      <c r="D492" s="378">
        <v>71123</v>
      </c>
      <c r="E492" s="378">
        <v>429793</v>
      </c>
    </row>
    <row r="493" spans="1:5" ht="15" customHeight="1" x14ac:dyDescent="0.2">
      <c r="B493" s="380" t="s">
        <v>523</v>
      </c>
      <c r="C493" s="378">
        <v>2000</v>
      </c>
      <c r="D493" s="378">
        <v>0</v>
      </c>
      <c r="E493" s="378">
        <v>2000</v>
      </c>
    </row>
    <row r="494" spans="1:5" ht="15" customHeight="1" x14ac:dyDescent="0.2">
      <c r="B494" s="380" t="s">
        <v>575</v>
      </c>
      <c r="C494" s="378">
        <v>5400</v>
      </c>
      <c r="D494" s="378">
        <v>0</v>
      </c>
      <c r="E494" s="378">
        <v>5400</v>
      </c>
    </row>
    <row r="496" spans="1:5" ht="15.75" customHeight="1" x14ac:dyDescent="0.2">
      <c r="A496" s="410" t="s">
        <v>603</v>
      </c>
      <c r="B496" s="411"/>
      <c r="C496" s="411"/>
      <c r="D496" s="411"/>
      <c r="E496" s="411"/>
    </row>
    <row r="497" spans="1:5" s="389" customFormat="1" ht="15" customHeight="1" x14ac:dyDescent="0.2">
      <c r="B497" s="390" t="s">
        <v>519</v>
      </c>
      <c r="C497" s="391">
        <v>186261</v>
      </c>
      <c r="D497" s="391">
        <v>0</v>
      </c>
      <c r="E497" s="391">
        <v>186261</v>
      </c>
    </row>
    <row r="498" spans="1:5" ht="15" customHeight="1" x14ac:dyDescent="0.2">
      <c r="B498" s="380" t="s">
        <v>520</v>
      </c>
      <c r="C498" s="378">
        <v>43089</v>
      </c>
      <c r="D498" s="378">
        <v>0</v>
      </c>
      <c r="E498" s="378">
        <v>43089</v>
      </c>
    </row>
    <row r="499" spans="1:5" ht="15" customHeight="1" x14ac:dyDescent="0.2">
      <c r="B499" s="380" t="s">
        <v>521</v>
      </c>
      <c r="C499" s="378">
        <v>90320</v>
      </c>
      <c r="D499" s="378">
        <v>-3105</v>
      </c>
      <c r="E499" s="378">
        <v>87215</v>
      </c>
    </row>
    <row r="500" spans="1:5" ht="15" customHeight="1" x14ac:dyDescent="0.2">
      <c r="B500" s="380" t="s">
        <v>523</v>
      </c>
      <c r="C500" s="378">
        <v>0</v>
      </c>
      <c r="D500" s="378">
        <v>3105</v>
      </c>
      <c r="E500" s="378">
        <v>3105</v>
      </c>
    </row>
    <row r="501" spans="1:5" ht="15" customHeight="1" x14ac:dyDescent="0.2">
      <c r="B501" s="380" t="s">
        <v>575</v>
      </c>
      <c r="C501" s="378">
        <v>10281</v>
      </c>
      <c r="D501" s="378">
        <v>0</v>
      </c>
      <c r="E501" s="378">
        <v>10281</v>
      </c>
    </row>
    <row r="502" spans="1:5" ht="30" customHeight="1" x14ac:dyDescent="0.2">
      <c r="B502" s="380" t="s">
        <v>524</v>
      </c>
      <c r="C502" s="378">
        <v>42571</v>
      </c>
      <c r="D502" s="378">
        <v>0</v>
      </c>
      <c r="E502" s="378">
        <v>42571</v>
      </c>
    </row>
    <row r="504" spans="1:5" ht="25.5" customHeight="1" x14ac:dyDescent="0.2">
      <c r="A504" s="421" t="s">
        <v>860</v>
      </c>
      <c r="B504" s="422"/>
      <c r="C504" s="422"/>
      <c r="D504" s="422"/>
      <c r="E504" s="422"/>
    </row>
    <row r="505" spans="1:5" ht="15" customHeight="1" x14ac:dyDescent="0.25">
      <c r="A505" s="392"/>
      <c r="B505" s="387" t="s">
        <v>519</v>
      </c>
      <c r="C505" s="388">
        <v>26787812</v>
      </c>
      <c r="D505" s="388">
        <v>338142</v>
      </c>
      <c r="E505" s="388">
        <v>27125954</v>
      </c>
    </row>
    <row r="506" spans="1:5" ht="15" customHeight="1" x14ac:dyDescent="0.25">
      <c r="A506" s="392"/>
      <c r="B506" s="387" t="s">
        <v>520</v>
      </c>
      <c r="C506" s="388">
        <v>16829978</v>
      </c>
      <c r="D506" s="388">
        <v>-29331</v>
      </c>
      <c r="E506" s="388">
        <v>16800647</v>
      </c>
    </row>
    <row r="507" spans="1:5" ht="15" customHeight="1" x14ac:dyDescent="0.25">
      <c r="A507" s="392"/>
      <c r="B507" s="387" t="s">
        <v>521</v>
      </c>
      <c r="C507" s="388">
        <v>4952156</v>
      </c>
      <c r="D507" s="388">
        <v>-239055</v>
      </c>
      <c r="E507" s="388">
        <v>4713101</v>
      </c>
    </row>
    <row r="508" spans="1:5" ht="15" customHeight="1" x14ac:dyDescent="0.25">
      <c r="A508" s="392"/>
      <c r="B508" s="387" t="s">
        <v>522</v>
      </c>
      <c r="C508" s="388">
        <v>2631259</v>
      </c>
      <c r="D508" s="388">
        <v>0</v>
      </c>
      <c r="E508" s="388">
        <v>2631259</v>
      </c>
    </row>
    <row r="509" spans="1:5" ht="15" customHeight="1" x14ac:dyDescent="0.25">
      <c r="A509" s="392"/>
      <c r="B509" s="387" t="s">
        <v>523</v>
      </c>
      <c r="C509" s="388">
        <v>1051371</v>
      </c>
      <c r="D509" s="388">
        <v>418287</v>
      </c>
      <c r="E509" s="388">
        <v>1469658</v>
      </c>
    </row>
    <row r="510" spans="1:5" ht="15" customHeight="1" x14ac:dyDescent="0.25">
      <c r="A510" s="392"/>
      <c r="B510" s="387" t="s">
        <v>575</v>
      </c>
      <c r="C510" s="388">
        <v>463346</v>
      </c>
      <c r="D510" s="388">
        <v>188241</v>
      </c>
      <c r="E510" s="388">
        <v>651587</v>
      </c>
    </row>
    <row r="511" spans="1:5" ht="30" customHeight="1" x14ac:dyDescent="0.25">
      <c r="A511" s="392"/>
      <c r="B511" s="387" t="s">
        <v>524</v>
      </c>
      <c r="C511" s="388">
        <v>859702</v>
      </c>
      <c r="D511" s="388">
        <v>0</v>
      </c>
      <c r="E511" s="388">
        <v>859702</v>
      </c>
    </row>
    <row r="513" spans="1:5" ht="15.75" customHeight="1" x14ac:dyDescent="0.2">
      <c r="A513" s="410" t="s">
        <v>604</v>
      </c>
      <c r="B513" s="411"/>
      <c r="C513" s="411"/>
      <c r="D513" s="411"/>
      <c r="E513" s="411"/>
    </row>
    <row r="514" spans="1:5" s="389" customFormat="1" ht="15" customHeight="1" x14ac:dyDescent="0.2">
      <c r="B514" s="390" t="s">
        <v>519</v>
      </c>
      <c r="C514" s="391">
        <v>858909</v>
      </c>
      <c r="D514" s="391">
        <v>0</v>
      </c>
      <c r="E514" s="391">
        <v>858909</v>
      </c>
    </row>
    <row r="515" spans="1:5" ht="15" customHeight="1" x14ac:dyDescent="0.2">
      <c r="B515" s="380" t="s">
        <v>521</v>
      </c>
      <c r="C515" s="378">
        <v>100</v>
      </c>
      <c r="D515" s="378">
        <v>0</v>
      </c>
      <c r="E515" s="378">
        <v>100</v>
      </c>
    </row>
    <row r="516" spans="1:5" ht="30" customHeight="1" x14ac:dyDescent="0.2">
      <c r="B516" s="380" t="s">
        <v>524</v>
      </c>
      <c r="C516" s="378">
        <v>858809</v>
      </c>
      <c r="D516" s="378">
        <v>0</v>
      </c>
      <c r="E516" s="378">
        <v>858809</v>
      </c>
    </row>
    <row r="518" spans="1:5" ht="15.75" customHeight="1" x14ac:dyDescent="0.2">
      <c r="A518" s="410" t="s">
        <v>605</v>
      </c>
      <c r="B518" s="411"/>
      <c r="C518" s="411"/>
      <c r="D518" s="411"/>
      <c r="E518" s="411"/>
    </row>
    <row r="519" spans="1:5" s="389" customFormat="1" ht="15" customHeight="1" x14ac:dyDescent="0.2">
      <c r="B519" s="390" t="s">
        <v>519</v>
      </c>
      <c r="C519" s="391">
        <v>8654460</v>
      </c>
      <c r="D519" s="391">
        <v>192387</v>
      </c>
      <c r="E519" s="391">
        <v>8846847</v>
      </c>
    </row>
    <row r="520" spans="1:5" ht="15" customHeight="1" x14ac:dyDescent="0.2">
      <c r="B520" s="380" t="s">
        <v>520</v>
      </c>
      <c r="C520" s="378">
        <v>4683457</v>
      </c>
      <c r="D520" s="378">
        <v>-801</v>
      </c>
      <c r="E520" s="378">
        <v>4682656</v>
      </c>
    </row>
    <row r="521" spans="1:5" ht="15" customHeight="1" x14ac:dyDescent="0.2">
      <c r="B521" s="380" t="s">
        <v>521</v>
      </c>
      <c r="C521" s="378">
        <v>925453</v>
      </c>
      <c r="D521" s="378">
        <v>59999</v>
      </c>
      <c r="E521" s="378">
        <v>985452</v>
      </c>
    </row>
    <row r="522" spans="1:5" ht="15" customHeight="1" x14ac:dyDescent="0.2">
      <c r="B522" s="380" t="s">
        <v>522</v>
      </c>
      <c r="C522" s="378">
        <v>2375850</v>
      </c>
      <c r="D522" s="378">
        <v>0</v>
      </c>
      <c r="E522" s="378">
        <v>2375850</v>
      </c>
    </row>
    <row r="523" spans="1:5" ht="15" customHeight="1" x14ac:dyDescent="0.2">
      <c r="B523" s="380" t="s">
        <v>523</v>
      </c>
      <c r="C523" s="378">
        <v>669700</v>
      </c>
      <c r="D523" s="378">
        <v>133189</v>
      </c>
      <c r="E523" s="378">
        <v>802889</v>
      </c>
    </row>
    <row r="525" spans="1:5" ht="15.75" customHeight="1" x14ac:dyDescent="0.2">
      <c r="A525" s="410" t="s">
        <v>606</v>
      </c>
      <c r="B525" s="411"/>
      <c r="C525" s="411"/>
      <c r="D525" s="411"/>
      <c r="E525" s="411"/>
    </row>
    <row r="526" spans="1:5" s="389" customFormat="1" ht="15" customHeight="1" x14ac:dyDescent="0.2">
      <c r="B526" s="390" t="s">
        <v>519</v>
      </c>
      <c r="C526" s="391">
        <v>10992789</v>
      </c>
      <c r="D526" s="391">
        <v>-40629</v>
      </c>
      <c r="E526" s="391">
        <v>10952160</v>
      </c>
    </row>
    <row r="527" spans="1:5" ht="15" customHeight="1" x14ac:dyDescent="0.2">
      <c r="B527" s="380" t="s">
        <v>520</v>
      </c>
      <c r="C527" s="378">
        <v>7865875</v>
      </c>
      <c r="D527" s="378">
        <v>-28089</v>
      </c>
      <c r="E527" s="378">
        <v>7837786</v>
      </c>
    </row>
    <row r="528" spans="1:5" ht="15" customHeight="1" x14ac:dyDescent="0.2">
      <c r="B528" s="380" t="s">
        <v>521</v>
      </c>
      <c r="C528" s="378">
        <v>2545688</v>
      </c>
      <c r="D528" s="378">
        <v>-270058</v>
      </c>
      <c r="E528" s="378">
        <v>2275630</v>
      </c>
    </row>
    <row r="529" spans="1:5" ht="15" customHeight="1" x14ac:dyDescent="0.2">
      <c r="B529" s="380" t="s">
        <v>522</v>
      </c>
      <c r="C529" s="378">
        <v>240181</v>
      </c>
      <c r="D529" s="378">
        <v>0</v>
      </c>
      <c r="E529" s="378">
        <v>240181</v>
      </c>
    </row>
    <row r="530" spans="1:5" ht="15" customHeight="1" x14ac:dyDescent="0.2">
      <c r="B530" s="380" t="s">
        <v>523</v>
      </c>
      <c r="C530" s="378">
        <v>310145</v>
      </c>
      <c r="D530" s="378">
        <v>248518</v>
      </c>
      <c r="E530" s="378">
        <v>558663</v>
      </c>
    </row>
    <row r="531" spans="1:5" ht="15" customHeight="1" x14ac:dyDescent="0.2">
      <c r="B531" s="380" t="s">
        <v>575</v>
      </c>
      <c r="C531" s="378">
        <v>30900</v>
      </c>
      <c r="D531" s="378">
        <v>9000</v>
      </c>
      <c r="E531" s="378">
        <v>39900</v>
      </c>
    </row>
    <row r="533" spans="1:5" ht="15" x14ac:dyDescent="0.2">
      <c r="A533" s="410" t="s">
        <v>809</v>
      </c>
      <c r="B533" s="411"/>
      <c r="C533" s="411"/>
      <c r="D533" s="411"/>
      <c r="E533" s="411"/>
    </row>
    <row r="534" spans="1:5" s="389" customFormat="1" ht="15" customHeight="1" x14ac:dyDescent="0.2">
      <c r="B534" s="390" t="s">
        <v>519</v>
      </c>
      <c r="C534" s="391">
        <v>1583152</v>
      </c>
      <c r="D534" s="391">
        <v>0</v>
      </c>
      <c r="E534" s="391">
        <v>1583152</v>
      </c>
    </row>
    <row r="535" spans="1:5" ht="15" customHeight="1" x14ac:dyDescent="0.2">
      <c r="B535" s="380" t="s">
        <v>520</v>
      </c>
      <c r="C535" s="378">
        <v>1209440</v>
      </c>
      <c r="D535" s="378">
        <v>0</v>
      </c>
      <c r="E535" s="378">
        <v>1209440</v>
      </c>
    </row>
    <row r="536" spans="1:5" ht="15" customHeight="1" x14ac:dyDescent="0.2">
      <c r="B536" s="380" t="s">
        <v>521</v>
      </c>
      <c r="C536" s="378">
        <v>312907</v>
      </c>
      <c r="D536" s="378">
        <v>-23320</v>
      </c>
      <c r="E536" s="378">
        <v>289587</v>
      </c>
    </row>
    <row r="537" spans="1:5" ht="15" customHeight="1" x14ac:dyDescent="0.2">
      <c r="B537" s="380" t="s">
        <v>523</v>
      </c>
      <c r="C537" s="378">
        <v>60805</v>
      </c>
      <c r="D537" s="378">
        <v>23320</v>
      </c>
      <c r="E537" s="378">
        <v>84125</v>
      </c>
    </row>
    <row r="539" spans="1:5" ht="15.75" customHeight="1" x14ac:dyDescent="0.2">
      <c r="A539" s="410" t="s">
        <v>607</v>
      </c>
      <c r="B539" s="411"/>
      <c r="C539" s="411"/>
      <c r="D539" s="411"/>
      <c r="E539" s="411"/>
    </row>
    <row r="540" spans="1:5" s="389" customFormat="1" ht="15" customHeight="1" x14ac:dyDescent="0.2">
      <c r="B540" s="390" t="s">
        <v>519</v>
      </c>
      <c r="C540" s="391">
        <v>174058</v>
      </c>
      <c r="D540" s="391">
        <v>0</v>
      </c>
      <c r="E540" s="391">
        <v>174058</v>
      </c>
    </row>
    <row r="541" spans="1:5" ht="15" customHeight="1" x14ac:dyDescent="0.2">
      <c r="B541" s="380" t="s">
        <v>520</v>
      </c>
      <c r="C541" s="378">
        <v>450</v>
      </c>
      <c r="D541" s="378">
        <v>-177</v>
      </c>
      <c r="E541" s="378">
        <v>273</v>
      </c>
    </row>
    <row r="542" spans="1:5" ht="15" customHeight="1" x14ac:dyDescent="0.2">
      <c r="B542" s="380" t="s">
        <v>521</v>
      </c>
      <c r="C542" s="378">
        <v>172640</v>
      </c>
      <c r="D542" s="378">
        <v>324</v>
      </c>
      <c r="E542" s="378">
        <v>172964</v>
      </c>
    </row>
    <row r="543" spans="1:5" ht="15" customHeight="1" x14ac:dyDescent="0.2">
      <c r="B543" s="380" t="s">
        <v>523</v>
      </c>
      <c r="C543" s="378">
        <v>800</v>
      </c>
      <c r="D543" s="378">
        <v>-147</v>
      </c>
      <c r="E543" s="378">
        <v>653</v>
      </c>
    </row>
    <row r="544" spans="1:5" ht="30" customHeight="1" x14ac:dyDescent="0.2">
      <c r="B544" s="380" t="s">
        <v>524</v>
      </c>
      <c r="C544" s="378">
        <v>168</v>
      </c>
      <c r="D544" s="378">
        <v>0</v>
      </c>
      <c r="E544" s="378">
        <v>168</v>
      </c>
    </row>
    <row r="546" spans="1:5" ht="15.75" customHeight="1" x14ac:dyDescent="0.2">
      <c r="A546" s="410" t="s">
        <v>608</v>
      </c>
      <c r="B546" s="411"/>
      <c r="C546" s="411"/>
      <c r="D546" s="411"/>
      <c r="E546" s="411"/>
    </row>
    <row r="547" spans="1:5" s="389" customFormat="1" ht="15" customHeight="1" x14ac:dyDescent="0.2">
      <c r="B547" s="390" t="s">
        <v>519</v>
      </c>
      <c r="C547" s="391">
        <v>893785</v>
      </c>
      <c r="D547" s="391">
        <v>0</v>
      </c>
      <c r="E547" s="391">
        <v>893785</v>
      </c>
    </row>
    <row r="548" spans="1:5" ht="15" customHeight="1" x14ac:dyDescent="0.2">
      <c r="B548" s="380" t="s">
        <v>520</v>
      </c>
      <c r="C548" s="378">
        <v>641330</v>
      </c>
      <c r="D548" s="378">
        <v>0</v>
      </c>
      <c r="E548" s="378">
        <v>641330</v>
      </c>
    </row>
    <row r="549" spans="1:5" ht="15" customHeight="1" x14ac:dyDescent="0.2">
      <c r="B549" s="380" t="s">
        <v>521</v>
      </c>
      <c r="C549" s="378">
        <v>189189</v>
      </c>
      <c r="D549" s="378">
        <v>0</v>
      </c>
      <c r="E549" s="378">
        <v>189189</v>
      </c>
    </row>
    <row r="550" spans="1:5" ht="15" customHeight="1" x14ac:dyDescent="0.2">
      <c r="B550" s="380" t="s">
        <v>523</v>
      </c>
      <c r="C550" s="378">
        <v>3810</v>
      </c>
      <c r="D550" s="378">
        <v>0</v>
      </c>
      <c r="E550" s="378">
        <v>3810</v>
      </c>
    </row>
    <row r="551" spans="1:5" ht="15" customHeight="1" x14ac:dyDescent="0.2">
      <c r="B551" s="380" t="s">
        <v>575</v>
      </c>
      <c r="C551" s="378">
        <v>59456</v>
      </c>
      <c r="D551" s="378">
        <v>0</v>
      </c>
      <c r="E551" s="378">
        <v>59456</v>
      </c>
    </row>
    <row r="553" spans="1:5" ht="15.75" customHeight="1" x14ac:dyDescent="0.2">
      <c r="A553" s="410" t="s">
        <v>609</v>
      </c>
      <c r="B553" s="411"/>
      <c r="C553" s="411"/>
      <c r="D553" s="411"/>
      <c r="E553" s="411"/>
    </row>
    <row r="554" spans="1:5" s="389" customFormat="1" ht="15" customHeight="1" x14ac:dyDescent="0.2">
      <c r="B554" s="390" t="s">
        <v>519</v>
      </c>
      <c r="C554" s="391">
        <v>742748</v>
      </c>
      <c r="D554" s="391">
        <v>0</v>
      </c>
      <c r="E554" s="391">
        <v>742748</v>
      </c>
    </row>
    <row r="555" spans="1:5" ht="15" customHeight="1" x14ac:dyDescent="0.2">
      <c r="B555" s="380" t="s">
        <v>520</v>
      </c>
      <c r="C555" s="378">
        <v>320091</v>
      </c>
      <c r="D555" s="378">
        <v>65</v>
      </c>
      <c r="E555" s="378">
        <v>320156</v>
      </c>
    </row>
    <row r="556" spans="1:5" ht="15" customHeight="1" x14ac:dyDescent="0.2">
      <c r="B556" s="380" t="s">
        <v>521</v>
      </c>
      <c r="C556" s="378">
        <v>323917</v>
      </c>
      <c r="D556" s="378">
        <v>-65</v>
      </c>
      <c r="E556" s="378">
        <v>323852</v>
      </c>
    </row>
    <row r="557" spans="1:5" ht="15" customHeight="1" x14ac:dyDescent="0.2">
      <c r="B557" s="380" t="s">
        <v>575</v>
      </c>
      <c r="C557" s="378">
        <v>98740</v>
      </c>
      <c r="D557" s="378">
        <v>0</v>
      </c>
      <c r="E557" s="378">
        <v>98740</v>
      </c>
    </row>
    <row r="559" spans="1:5" ht="15.75" customHeight="1" x14ac:dyDescent="0.2">
      <c r="A559" s="410" t="s">
        <v>865</v>
      </c>
      <c r="B559" s="411"/>
      <c r="C559" s="411"/>
      <c r="D559" s="411"/>
      <c r="E559" s="411"/>
    </row>
    <row r="560" spans="1:5" s="389" customFormat="1" ht="14.25" customHeight="1" x14ac:dyDescent="0.2">
      <c r="B560" s="390" t="s">
        <v>519</v>
      </c>
      <c r="C560" s="391">
        <v>922078</v>
      </c>
      <c r="D560" s="391">
        <v>2636</v>
      </c>
      <c r="E560" s="391">
        <v>924714</v>
      </c>
    </row>
    <row r="561" spans="1:5" ht="15" customHeight="1" x14ac:dyDescent="0.2">
      <c r="B561" s="380" t="s">
        <v>520</v>
      </c>
      <c r="C561" s="378">
        <v>657265</v>
      </c>
      <c r="D561" s="378">
        <v>0</v>
      </c>
      <c r="E561" s="378">
        <v>657265</v>
      </c>
    </row>
    <row r="562" spans="1:5" ht="15" customHeight="1" x14ac:dyDescent="0.2">
      <c r="B562" s="380" t="s">
        <v>521</v>
      </c>
      <c r="C562" s="378">
        <v>247314</v>
      </c>
      <c r="D562" s="378">
        <v>-5135</v>
      </c>
      <c r="E562" s="378">
        <v>242179</v>
      </c>
    </row>
    <row r="563" spans="1:5" ht="15" customHeight="1" x14ac:dyDescent="0.2">
      <c r="B563" s="380" t="s">
        <v>522</v>
      </c>
      <c r="C563" s="378">
        <v>14588</v>
      </c>
      <c r="D563" s="378">
        <v>0</v>
      </c>
      <c r="E563" s="378">
        <v>14588</v>
      </c>
    </row>
    <row r="564" spans="1:5" ht="15" customHeight="1" x14ac:dyDescent="0.2">
      <c r="B564" s="380" t="s">
        <v>523</v>
      </c>
      <c r="C564" s="378">
        <v>2911</v>
      </c>
      <c r="D564" s="378">
        <v>7771</v>
      </c>
      <c r="E564" s="378">
        <v>10682</v>
      </c>
    </row>
    <row r="566" spans="1:5" ht="15.75" customHeight="1" x14ac:dyDescent="0.2">
      <c r="A566" s="410" t="s">
        <v>610</v>
      </c>
      <c r="B566" s="411"/>
      <c r="C566" s="411"/>
      <c r="D566" s="411"/>
      <c r="E566" s="411"/>
    </row>
    <row r="567" spans="1:5" s="389" customFormat="1" ht="15" customHeight="1" x14ac:dyDescent="0.2">
      <c r="B567" s="390" t="s">
        <v>519</v>
      </c>
      <c r="C567" s="391">
        <v>252348</v>
      </c>
      <c r="D567" s="391">
        <v>0</v>
      </c>
      <c r="E567" s="391">
        <v>252348</v>
      </c>
    </row>
    <row r="568" spans="1:5" ht="15" customHeight="1" x14ac:dyDescent="0.2">
      <c r="B568" s="380" t="s">
        <v>520</v>
      </c>
      <c r="C568" s="378">
        <v>203750</v>
      </c>
      <c r="D568" s="378">
        <v>0</v>
      </c>
      <c r="E568" s="378">
        <v>203750</v>
      </c>
    </row>
    <row r="569" spans="1:5" ht="15" customHeight="1" x14ac:dyDescent="0.2">
      <c r="B569" s="380" t="s">
        <v>521</v>
      </c>
      <c r="C569" s="378">
        <v>47873</v>
      </c>
      <c r="D569" s="378">
        <v>0</v>
      </c>
      <c r="E569" s="378">
        <v>47873</v>
      </c>
    </row>
    <row r="570" spans="1:5" ht="30" customHeight="1" x14ac:dyDescent="0.2">
      <c r="B570" s="380" t="s">
        <v>524</v>
      </c>
      <c r="C570" s="378">
        <v>725</v>
      </c>
      <c r="D570" s="378">
        <v>0</v>
      </c>
      <c r="E570" s="378">
        <v>725</v>
      </c>
    </row>
    <row r="572" spans="1:5" ht="15.75" customHeight="1" x14ac:dyDescent="0.2">
      <c r="A572" s="410" t="s">
        <v>611</v>
      </c>
      <c r="B572" s="411"/>
      <c r="C572" s="411"/>
      <c r="D572" s="411"/>
      <c r="E572" s="411"/>
    </row>
    <row r="573" spans="1:5" s="389" customFormat="1" ht="15" customHeight="1" x14ac:dyDescent="0.2">
      <c r="B573" s="390" t="s">
        <v>519</v>
      </c>
      <c r="C573" s="391">
        <v>728166</v>
      </c>
      <c r="D573" s="391">
        <v>-2364</v>
      </c>
      <c r="E573" s="391">
        <v>725802</v>
      </c>
    </row>
    <row r="574" spans="1:5" ht="15" customHeight="1" x14ac:dyDescent="0.2">
      <c r="B574" s="380" t="s">
        <v>520</v>
      </c>
      <c r="C574" s="378">
        <v>628456</v>
      </c>
      <c r="D574" s="378">
        <v>-2200</v>
      </c>
      <c r="E574" s="378">
        <v>626256</v>
      </c>
    </row>
    <row r="575" spans="1:5" ht="15" customHeight="1" x14ac:dyDescent="0.2">
      <c r="B575" s="380" t="s">
        <v>521</v>
      </c>
      <c r="C575" s="378">
        <v>94710</v>
      </c>
      <c r="D575" s="378">
        <v>2200</v>
      </c>
      <c r="E575" s="378">
        <v>96910</v>
      </c>
    </row>
    <row r="576" spans="1:5" ht="15" customHeight="1" x14ac:dyDescent="0.2">
      <c r="B576" s="380" t="s">
        <v>523</v>
      </c>
      <c r="C576" s="378">
        <v>0</v>
      </c>
      <c r="D576" s="378">
        <v>2636</v>
      </c>
      <c r="E576" s="378">
        <v>2636</v>
      </c>
    </row>
    <row r="577" spans="1:5" ht="15" customHeight="1" x14ac:dyDescent="0.2">
      <c r="B577" s="380" t="s">
        <v>575</v>
      </c>
      <c r="C577" s="378">
        <v>5000</v>
      </c>
      <c r="D577" s="378">
        <v>-5000</v>
      </c>
      <c r="E577" s="378">
        <v>0</v>
      </c>
    </row>
    <row r="579" spans="1:5" ht="15.75" customHeight="1" x14ac:dyDescent="0.2">
      <c r="A579" s="410" t="s">
        <v>612</v>
      </c>
      <c r="B579" s="411"/>
      <c r="C579" s="411"/>
      <c r="D579" s="411"/>
      <c r="E579" s="411"/>
    </row>
    <row r="580" spans="1:5" s="389" customFormat="1" ht="15" customHeight="1" x14ac:dyDescent="0.2">
      <c r="B580" s="390" t="s">
        <v>519</v>
      </c>
      <c r="C580" s="391">
        <v>639339</v>
      </c>
      <c r="D580" s="391">
        <v>1871</v>
      </c>
      <c r="E580" s="391">
        <v>641210</v>
      </c>
    </row>
    <row r="581" spans="1:5" ht="15" customHeight="1" x14ac:dyDescent="0.2">
      <c r="B581" s="380" t="s">
        <v>520</v>
      </c>
      <c r="C581" s="378">
        <v>549119</v>
      </c>
      <c r="D581" s="378">
        <v>1871</v>
      </c>
      <c r="E581" s="378">
        <v>550990</v>
      </c>
    </row>
    <row r="582" spans="1:5" ht="15" customHeight="1" x14ac:dyDescent="0.2">
      <c r="B582" s="380" t="s">
        <v>521</v>
      </c>
      <c r="C582" s="378">
        <v>86380</v>
      </c>
      <c r="D582" s="378">
        <v>-3000</v>
      </c>
      <c r="E582" s="378">
        <v>83380</v>
      </c>
    </row>
    <row r="583" spans="1:5" ht="15" customHeight="1" x14ac:dyDescent="0.2">
      <c r="B583" s="380" t="s">
        <v>522</v>
      </c>
      <c r="C583" s="378">
        <v>640</v>
      </c>
      <c r="D583" s="378">
        <v>0</v>
      </c>
      <c r="E583" s="378">
        <v>640</v>
      </c>
    </row>
    <row r="584" spans="1:5" ht="15" customHeight="1" x14ac:dyDescent="0.2">
      <c r="B584" s="380" t="s">
        <v>523</v>
      </c>
      <c r="C584" s="378">
        <v>3200</v>
      </c>
      <c r="D584" s="378">
        <v>3000</v>
      </c>
      <c r="E584" s="378">
        <v>6200</v>
      </c>
    </row>
    <row r="586" spans="1:5" ht="15.75" customHeight="1" x14ac:dyDescent="0.2">
      <c r="A586" s="410" t="s">
        <v>613</v>
      </c>
      <c r="B586" s="411"/>
      <c r="C586" s="411"/>
      <c r="D586" s="411"/>
      <c r="E586" s="411"/>
    </row>
    <row r="587" spans="1:5" s="389" customFormat="1" ht="15" customHeight="1" x14ac:dyDescent="0.2">
      <c r="B587" s="390" t="s">
        <v>519</v>
      </c>
      <c r="C587" s="391">
        <v>76730</v>
      </c>
      <c r="D587" s="391">
        <v>0</v>
      </c>
      <c r="E587" s="391">
        <v>76730</v>
      </c>
    </row>
    <row r="588" spans="1:5" ht="15" customHeight="1" x14ac:dyDescent="0.2">
      <c r="B588" s="380" t="s">
        <v>520</v>
      </c>
      <c r="C588" s="378">
        <v>70745</v>
      </c>
      <c r="D588" s="378">
        <v>0</v>
      </c>
      <c r="E588" s="378">
        <v>70745</v>
      </c>
    </row>
    <row r="589" spans="1:5" ht="15" customHeight="1" x14ac:dyDescent="0.2">
      <c r="B589" s="380" t="s">
        <v>521</v>
      </c>
      <c r="C589" s="378">
        <v>5985</v>
      </c>
      <c r="D589" s="378">
        <v>0</v>
      </c>
      <c r="E589" s="378">
        <v>5985</v>
      </c>
    </row>
    <row r="591" spans="1:5" ht="15.75" customHeight="1" x14ac:dyDescent="0.2">
      <c r="A591" s="410" t="s">
        <v>614</v>
      </c>
      <c r="B591" s="411"/>
      <c r="C591" s="411"/>
      <c r="D591" s="411"/>
      <c r="E591" s="411"/>
    </row>
    <row r="592" spans="1:5" s="389" customFormat="1" ht="15" customHeight="1" x14ac:dyDescent="0.2">
      <c r="B592" s="390" t="s">
        <v>519</v>
      </c>
      <c r="C592" s="391">
        <v>269250</v>
      </c>
      <c r="D592" s="391">
        <v>0</v>
      </c>
      <c r="E592" s="391">
        <v>269250</v>
      </c>
    </row>
    <row r="593" spans="1:5" ht="15" customHeight="1" x14ac:dyDescent="0.2">
      <c r="B593" s="380" t="s">
        <v>575</v>
      </c>
      <c r="C593" s="378">
        <v>269250</v>
      </c>
      <c r="D593" s="378">
        <v>0</v>
      </c>
      <c r="E593" s="378">
        <v>269250</v>
      </c>
    </row>
    <row r="595" spans="1:5" ht="15.75" customHeight="1" x14ac:dyDescent="0.2">
      <c r="A595" s="410" t="s">
        <v>861</v>
      </c>
      <c r="B595" s="411"/>
      <c r="C595" s="411"/>
      <c r="D595" s="411"/>
      <c r="E595" s="411"/>
    </row>
    <row r="596" spans="1:5" s="389" customFormat="1" ht="15" customHeight="1" x14ac:dyDescent="0.2">
      <c r="B596" s="390" t="s">
        <v>519</v>
      </c>
      <c r="C596" s="391">
        <v>0</v>
      </c>
      <c r="D596" s="391">
        <v>184241</v>
      </c>
      <c r="E596" s="391">
        <v>184241</v>
      </c>
    </row>
    <row r="597" spans="1:5" ht="15" customHeight="1" x14ac:dyDescent="0.2">
      <c r="B597" s="380" t="s">
        <v>575</v>
      </c>
      <c r="C597" s="378">
        <v>0</v>
      </c>
      <c r="D597" s="378">
        <v>184241</v>
      </c>
      <c r="E597" s="378">
        <v>184241</v>
      </c>
    </row>
    <row r="599" spans="1:5" ht="21" customHeight="1" x14ac:dyDescent="0.2">
      <c r="A599" s="419" t="s">
        <v>862</v>
      </c>
      <c r="B599" s="420"/>
      <c r="C599" s="420"/>
      <c r="D599" s="420"/>
      <c r="E599" s="420"/>
    </row>
    <row r="600" spans="1:5" ht="15" customHeight="1" x14ac:dyDescent="0.25">
      <c r="A600" s="392"/>
      <c r="B600" s="387" t="s">
        <v>519</v>
      </c>
      <c r="C600" s="388">
        <v>194725</v>
      </c>
      <c r="D600" s="388">
        <v>0</v>
      </c>
      <c r="E600" s="388">
        <v>194725</v>
      </c>
    </row>
    <row r="601" spans="1:5" ht="15" customHeight="1" x14ac:dyDescent="0.25">
      <c r="A601" s="392"/>
      <c r="B601" s="387" t="s">
        <v>520</v>
      </c>
      <c r="C601" s="388">
        <v>168854</v>
      </c>
      <c r="D601" s="388">
        <v>0</v>
      </c>
      <c r="E601" s="388">
        <v>168854</v>
      </c>
    </row>
    <row r="602" spans="1:5" ht="15" customHeight="1" x14ac:dyDescent="0.25">
      <c r="A602" s="392"/>
      <c r="B602" s="387" t="s">
        <v>521</v>
      </c>
      <c r="C602" s="388">
        <v>25871</v>
      </c>
      <c r="D602" s="388">
        <v>0</v>
      </c>
      <c r="E602" s="388">
        <v>25871</v>
      </c>
    </row>
    <row r="604" spans="1:5" ht="15.75" customHeight="1" x14ac:dyDescent="0.2">
      <c r="A604" s="410" t="s">
        <v>615</v>
      </c>
      <c r="B604" s="411"/>
      <c r="C604" s="411"/>
      <c r="D604" s="411"/>
      <c r="E604" s="411"/>
    </row>
    <row r="605" spans="1:5" s="389" customFormat="1" ht="15" customHeight="1" x14ac:dyDescent="0.2">
      <c r="B605" s="390" t="s">
        <v>519</v>
      </c>
      <c r="C605" s="391">
        <v>194725</v>
      </c>
      <c r="D605" s="391">
        <v>0</v>
      </c>
      <c r="E605" s="391">
        <v>194725</v>
      </c>
    </row>
    <row r="606" spans="1:5" ht="15" customHeight="1" x14ac:dyDescent="0.2">
      <c r="B606" s="380" t="s">
        <v>520</v>
      </c>
      <c r="C606" s="378">
        <v>168854</v>
      </c>
      <c r="D606" s="378">
        <v>0</v>
      </c>
      <c r="E606" s="378">
        <v>168854</v>
      </c>
    </row>
    <row r="607" spans="1:5" ht="15" customHeight="1" x14ac:dyDescent="0.2">
      <c r="B607" s="380" t="s">
        <v>521</v>
      </c>
      <c r="C607" s="378">
        <v>25871</v>
      </c>
      <c r="D607" s="378">
        <v>0</v>
      </c>
      <c r="E607" s="378">
        <v>25871</v>
      </c>
    </row>
    <row r="609" spans="1:5" ht="31.5" customHeight="1" x14ac:dyDescent="0.2">
      <c r="A609" s="419" t="s">
        <v>863</v>
      </c>
      <c r="B609" s="420"/>
      <c r="C609" s="420"/>
      <c r="D609" s="420"/>
      <c r="E609" s="420"/>
    </row>
    <row r="610" spans="1:5" ht="15" customHeight="1" x14ac:dyDescent="0.25">
      <c r="A610" s="392"/>
      <c r="B610" s="387" t="s">
        <v>519</v>
      </c>
      <c r="C610" s="388">
        <v>5170757</v>
      </c>
      <c r="D610" s="388">
        <v>41800</v>
      </c>
      <c r="E610" s="388">
        <v>5212557</v>
      </c>
    </row>
    <row r="611" spans="1:5" ht="15" customHeight="1" x14ac:dyDescent="0.25">
      <c r="A611" s="392"/>
      <c r="B611" s="387" t="s">
        <v>520</v>
      </c>
      <c r="C611" s="388">
        <v>1921581</v>
      </c>
      <c r="D611" s="388">
        <v>0</v>
      </c>
      <c r="E611" s="388">
        <v>1921581</v>
      </c>
    </row>
    <row r="612" spans="1:5" ht="15" customHeight="1" x14ac:dyDescent="0.25">
      <c r="A612" s="392"/>
      <c r="B612" s="387" t="s">
        <v>521</v>
      </c>
      <c r="C612" s="388">
        <v>409335</v>
      </c>
      <c r="D612" s="388">
        <v>14800</v>
      </c>
      <c r="E612" s="388">
        <v>424135</v>
      </c>
    </row>
    <row r="613" spans="1:5" ht="15" customHeight="1" x14ac:dyDescent="0.25">
      <c r="A613" s="392"/>
      <c r="B613" s="387" t="s">
        <v>522</v>
      </c>
      <c r="C613" s="388">
        <v>928</v>
      </c>
      <c r="D613" s="388">
        <v>0</v>
      </c>
      <c r="E613" s="388">
        <v>928</v>
      </c>
    </row>
    <row r="614" spans="1:5" ht="15" customHeight="1" x14ac:dyDescent="0.25">
      <c r="A614" s="392"/>
      <c r="B614" s="387" t="s">
        <v>523</v>
      </c>
      <c r="C614" s="388">
        <v>9100</v>
      </c>
      <c r="D614" s="388">
        <v>0</v>
      </c>
      <c r="E614" s="388">
        <v>9100</v>
      </c>
    </row>
    <row r="615" spans="1:5" ht="15" customHeight="1" x14ac:dyDescent="0.25">
      <c r="A615" s="392"/>
      <c r="B615" s="387" t="s">
        <v>575</v>
      </c>
      <c r="C615" s="388">
        <v>2176778</v>
      </c>
      <c r="D615" s="388">
        <v>27000</v>
      </c>
      <c r="E615" s="388">
        <v>2203778</v>
      </c>
    </row>
    <row r="616" spans="1:5" ht="30" customHeight="1" x14ac:dyDescent="0.25">
      <c r="A616" s="392"/>
      <c r="B616" s="387" t="s">
        <v>524</v>
      </c>
      <c r="C616" s="388">
        <v>653035</v>
      </c>
      <c r="D616" s="388">
        <v>0</v>
      </c>
      <c r="E616" s="388">
        <v>653035</v>
      </c>
    </row>
    <row r="618" spans="1:5" ht="15.75" customHeight="1" x14ac:dyDescent="0.2">
      <c r="A618" s="410" t="s">
        <v>616</v>
      </c>
      <c r="B618" s="411"/>
      <c r="C618" s="411"/>
      <c r="D618" s="411"/>
      <c r="E618" s="411"/>
    </row>
    <row r="619" spans="1:5" s="389" customFormat="1" ht="15" customHeight="1" x14ac:dyDescent="0.2">
      <c r="B619" s="390" t="s">
        <v>519</v>
      </c>
      <c r="C619" s="391">
        <v>650157</v>
      </c>
      <c r="D619" s="391">
        <v>0</v>
      </c>
      <c r="E619" s="391">
        <v>650157</v>
      </c>
    </row>
    <row r="620" spans="1:5" ht="30" customHeight="1" x14ac:dyDescent="0.2">
      <c r="B620" s="380" t="s">
        <v>524</v>
      </c>
      <c r="C620" s="378">
        <v>650157</v>
      </c>
      <c r="D620" s="378">
        <v>0</v>
      </c>
      <c r="E620" s="378">
        <v>650157</v>
      </c>
    </row>
    <row r="622" spans="1:5" ht="15.75" customHeight="1" x14ac:dyDescent="0.2">
      <c r="A622" s="410" t="s">
        <v>617</v>
      </c>
      <c r="B622" s="411"/>
      <c r="C622" s="411"/>
      <c r="D622" s="411"/>
      <c r="E622" s="411"/>
    </row>
    <row r="623" spans="1:5" s="389" customFormat="1" ht="15" customHeight="1" x14ac:dyDescent="0.2">
      <c r="B623" s="390" t="s">
        <v>519</v>
      </c>
      <c r="C623" s="391">
        <v>67600</v>
      </c>
      <c r="D623" s="391">
        <v>0</v>
      </c>
      <c r="E623" s="391">
        <v>67600</v>
      </c>
    </row>
    <row r="624" spans="1:5" ht="15" customHeight="1" x14ac:dyDescent="0.2">
      <c r="B624" s="380" t="s">
        <v>575</v>
      </c>
      <c r="C624" s="378">
        <v>67600</v>
      </c>
      <c r="D624" s="378">
        <v>0</v>
      </c>
      <c r="E624" s="378">
        <v>67600</v>
      </c>
    </row>
    <row r="626" spans="1:5" ht="15.75" customHeight="1" x14ac:dyDescent="0.2">
      <c r="A626" s="410" t="s">
        <v>618</v>
      </c>
      <c r="B626" s="411"/>
      <c r="C626" s="411"/>
      <c r="D626" s="411"/>
      <c r="E626" s="411"/>
    </row>
    <row r="627" spans="1:5" s="389" customFormat="1" ht="15" customHeight="1" x14ac:dyDescent="0.2">
      <c r="B627" s="390" t="s">
        <v>519</v>
      </c>
      <c r="C627" s="391">
        <v>12400</v>
      </c>
      <c r="D627" s="391">
        <v>0</v>
      </c>
      <c r="E627" s="391">
        <v>12400</v>
      </c>
    </row>
    <row r="628" spans="1:5" ht="15" customHeight="1" x14ac:dyDescent="0.2">
      <c r="B628" s="380" t="s">
        <v>575</v>
      </c>
      <c r="C628" s="378">
        <v>12400</v>
      </c>
      <c r="D628" s="378">
        <v>0</v>
      </c>
      <c r="E628" s="378">
        <v>12400</v>
      </c>
    </row>
    <row r="630" spans="1:5" ht="15.75" customHeight="1" x14ac:dyDescent="0.2">
      <c r="A630" s="410" t="s">
        <v>619</v>
      </c>
      <c r="B630" s="411"/>
      <c r="C630" s="411"/>
      <c r="D630" s="411"/>
      <c r="E630" s="411"/>
    </row>
    <row r="631" spans="1:5" s="389" customFormat="1" ht="15" customHeight="1" x14ac:dyDescent="0.2">
      <c r="B631" s="390" t="s">
        <v>519</v>
      </c>
      <c r="C631" s="391">
        <v>37500</v>
      </c>
      <c r="D631" s="391">
        <v>0</v>
      </c>
      <c r="E631" s="391">
        <v>37500</v>
      </c>
    </row>
    <row r="632" spans="1:5" ht="15" customHeight="1" x14ac:dyDescent="0.2">
      <c r="B632" s="380" t="s">
        <v>575</v>
      </c>
      <c r="C632" s="378">
        <v>37500</v>
      </c>
      <c r="D632" s="378">
        <v>0</v>
      </c>
      <c r="E632" s="378">
        <v>37500</v>
      </c>
    </row>
    <row r="634" spans="1:5" ht="15.75" customHeight="1" x14ac:dyDescent="0.2">
      <c r="A634" s="410" t="s">
        <v>620</v>
      </c>
      <c r="B634" s="411"/>
      <c r="C634" s="411"/>
      <c r="D634" s="411"/>
      <c r="E634" s="411"/>
    </row>
    <row r="635" spans="1:5" s="389" customFormat="1" ht="15" customHeight="1" x14ac:dyDescent="0.2">
      <c r="B635" s="390" t="s">
        <v>519</v>
      </c>
      <c r="C635" s="391">
        <v>4750</v>
      </c>
      <c r="D635" s="391">
        <v>0</v>
      </c>
      <c r="E635" s="391">
        <v>4750</v>
      </c>
    </row>
    <row r="636" spans="1:5" ht="15" customHeight="1" x14ac:dyDescent="0.2">
      <c r="B636" s="380" t="s">
        <v>521</v>
      </c>
      <c r="C636" s="378">
        <v>4750</v>
      </c>
      <c r="D636" s="378">
        <v>0</v>
      </c>
      <c r="E636" s="378">
        <v>4750</v>
      </c>
    </row>
    <row r="638" spans="1:5" ht="15.75" customHeight="1" x14ac:dyDescent="0.2">
      <c r="A638" s="410" t="s">
        <v>621</v>
      </c>
      <c r="B638" s="411"/>
      <c r="C638" s="411"/>
      <c r="D638" s="411"/>
      <c r="E638" s="411"/>
    </row>
    <row r="639" spans="1:5" s="389" customFormat="1" ht="15" customHeight="1" x14ac:dyDescent="0.2">
      <c r="B639" s="390" t="s">
        <v>519</v>
      </c>
      <c r="C639" s="391">
        <v>460677</v>
      </c>
      <c r="D639" s="391">
        <v>0</v>
      </c>
      <c r="E639" s="391">
        <v>460677</v>
      </c>
    </row>
    <row r="640" spans="1:5" ht="15" customHeight="1" x14ac:dyDescent="0.2">
      <c r="B640" s="380" t="s">
        <v>520</v>
      </c>
      <c r="C640" s="378">
        <v>318913</v>
      </c>
      <c r="D640" s="378">
        <v>0</v>
      </c>
      <c r="E640" s="378">
        <v>318913</v>
      </c>
    </row>
    <row r="641" spans="1:5" ht="15" customHeight="1" x14ac:dyDescent="0.2">
      <c r="B641" s="380" t="s">
        <v>521</v>
      </c>
      <c r="C641" s="378">
        <v>7521</v>
      </c>
      <c r="D641" s="378">
        <v>0</v>
      </c>
      <c r="E641" s="378">
        <v>7521</v>
      </c>
    </row>
    <row r="642" spans="1:5" ht="15" customHeight="1" x14ac:dyDescent="0.2">
      <c r="B642" s="380" t="s">
        <v>575</v>
      </c>
      <c r="C642" s="378">
        <v>134243</v>
      </c>
      <c r="D642" s="378">
        <v>0</v>
      </c>
      <c r="E642" s="378">
        <v>134243</v>
      </c>
    </row>
    <row r="644" spans="1:5" ht="15.75" customHeight="1" x14ac:dyDescent="0.2">
      <c r="A644" s="410" t="s">
        <v>622</v>
      </c>
      <c r="B644" s="411"/>
      <c r="C644" s="411"/>
      <c r="D644" s="411"/>
      <c r="E644" s="411"/>
    </row>
    <row r="645" spans="1:5" s="389" customFormat="1" ht="15" customHeight="1" x14ac:dyDescent="0.2">
      <c r="B645" s="390" t="s">
        <v>519</v>
      </c>
      <c r="C645" s="391">
        <v>93264</v>
      </c>
      <c r="D645" s="391">
        <v>0</v>
      </c>
      <c r="E645" s="391">
        <v>93264</v>
      </c>
    </row>
    <row r="646" spans="1:5" ht="15" customHeight="1" x14ac:dyDescent="0.2">
      <c r="B646" s="380" t="s">
        <v>520</v>
      </c>
      <c r="C646" s="378">
        <v>74291</v>
      </c>
      <c r="D646" s="378">
        <v>0</v>
      </c>
      <c r="E646" s="378">
        <v>74291</v>
      </c>
    </row>
    <row r="647" spans="1:5" ht="15" customHeight="1" x14ac:dyDescent="0.2">
      <c r="B647" s="380" t="s">
        <v>521</v>
      </c>
      <c r="C647" s="378">
        <v>18973</v>
      </c>
      <c r="D647" s="378">
        <v>0</v>
      </c>
      <c r="E647" s="378">
        <v>18973</v>
      </c>
    </row>
    <row r="649" spans="1:5" ht="15.75" customHeight="1" x14ac:dyDescent="0.2">
      <c r="A649" s="410" t="s">
        <v>623</v>
      </c>
      <c r="B649" s="411"/>
      <c r="C649" s="411"/>
      <c r="D649" s="411"/>
      <c r="E649" s="411"/>
    </row>
    <row r="650" spans="1:5" s="389" customFormat="1" ht="15" customHeight="1" x14ac:dyDescent="0.2">
      <c r="B650" s="390" t="s">
        <v>519</v>
      </c>
      <c r="C650" s="391">
        <v>88426</v>
      </c>
      <c r="D650" s="391">
        <v>0</v>
      </c>
      <c r="E650" s="391">
        <v>88426</v>
      </c>
    </row>
    <row r="651" spans="1:5" ht="15" customHeight="1" x14ac:dyDescent="0.2">
      <c r="B651" s="380" t="s">
        <v>520</v>
      </c>
      <c r="C651" s="378">
        <v>70312</v>
      </c>
      <c r="D651" s="378">
        <v>0</v>
      </c>
      <c r="E651" s="378">
        <v>70312</v>
      </c>
    </row>
    <row r="652" spans="1:5" ht="15" customHeight="1" x14ac:dyDescent="0.2">
      <c r="B652" s="380" t="s">
        <v>521</v>
      </c>
      <c r="C652" s="378">
        <v>18114</v>
      </c>
      <c r="D652" s="378">
        <v>0</v>
      </c>
      <c r="E652" s="378">
        <v>18114</v>
      </c>
    </row>
    <row r="654" spans="1:5" ht="15.75" customHeight="1" x14ac:dyDescent="0.2">
      <c r="A654" s="410" t="s">
        <v>624</v>
      </c>
      <c r="B654" s="411"/>
      <c r="C654" s="411"/>
      <c r="D654" s="411"/>
      <c r="E654" s="411"/>
    </row>
    <row r="655" spans="1:5" s="389" customFormat="1" ht="15" customHeight="1" x14ac:dyDescent="0.2">
      <c r="B655" s="390" t="s">
        <v>519</v>
      </c>
      <c r="C655" s="391">
        <v>67806</v>
      </c>
      <c r="D655" s="391">
        <v>0</v>
      </c>
      <c r="E655" s="391">
        <v>67806</v>
      </c>
    </row>
    <row r="656" spans="1:5" ht="15" customHeight="1" x14ac:dyDescent="0.2">
      <c r="B656" s="380" t="s">
        <v>520</v>
      </c>
      <c r="C656" s="378">
        <v>45928</v>
      </c>
      <c r="D656" s="378">
        <v>0</v>
      </c>
      <c r="E656" s="378">
        <v>45928</v>
      </c>
    </row>
    <row r="657" spans="1:5" ht="15" customHeight="1" x14ac:dyDescent="0.2">
      <c r="B657" s="380" t="s">
        <v>521</v>
      </c>
      <c r="C657" s="378">
        <v>21878</v>
      </c>
      <c r="D657" s="378">
        <v>0</v>
      </c>
      <c r="E657" s="378">
        <v>21878</v>
      </c>
    </row>
    <row r="659" spans="1:5" ht="15.75" customHeight="1" x14ac:dyDescent="0.2">
      <c r="A659" s="410" t="s">
        <v>625</v>
      </c>
      <c r="B659" s="411"/>
      <c r="C659" s="411"/>
      <c r="D659" s="411"/>
      <c r="E659" s="411"/>
    </row>
    <row r="660" spans="1:5" s="389" customFormat="1" ht="15" customHeight="1" x14ac:dyDescent="0.2">
      <c r="B660" s="390" t="s">
        <v>519</v>
      </c>
      <c r="C660" s="391">
        <v>117176</v>
      </c>
      <c r="D660" s="391">
        <v>0</v>
      </c>
      <c r="E660" s="391">
        <v>117176</v>
      </c>
    </row>
    <row r="661" spans="1:5" ht="15" customHeight="1" x14ac:dyDescent="0.2">
      <c r="B661" s="380" t="s">
        <v>520</v>
      </c>
      <c r="C661" s="378">
        <v>87831</v>
      </c>
      <c r="D661" s="378">
        <v>0</v>
      </c>
      <c r="E661" s="378">
        <v>87831</v>
      </c>
    </row>
    <row r="662" spans="1:5" ht="15" customHeight="1" x14ac:dyDescent="0.2">
      <c r="B662" s="380" t="s">
        <v>521</v>
      </c>
      <c r="C662" s="378">
        <v>28045</v>
      </c>
      <c r="D662" s="378">
        <v>0</v>
      </c>
      <c r="E662" s="378">
        <v>28045</v>
      </c>
    </row>
    <row r="663" spans="1:5" ht="15" customHeight="1" x14ac:dyDescent="0.2">
      <c r="B663" s="380" t="s">
        <v>523</v>
      </c>
      <c r="C663" s="378">
        <v>1300</v>
      </c>
      <c r="D663" s="378">
        <v>0</v>
      </c>
      <c r="E663" s="378">
        <v>1300</v>
      </c>
    </row>
    <row r="665" spans="1:5" ht="31.5" customHeight="1" x14ac:dyDescent="0.2">
      <c r="A665" s="410" t="s">
        <v>810</v>
      </c>
      <c r="B665" s="411"/>
      <c r="C665" s="411"/>
      <c r="D665" s="411"/>
      <c r="E665" s="411"/>
    </row>
    <row r="666" spans="1:5" s="389" customFormat="1" ht="15" customHeight="1" x14ac:dyDescent="0.2">
      <c r="B666" s="390" t="s">
        <v>519</v>
      </c>
      <c r="C666" s="391">
        <v>146523</v>
      </c>
      <c r="D666" s="391">
        <v>0</v>
      </c>
      <c r="E666" s="391">
        <v>146523</v>
      </c>
    </row>
    <row r="667" spans="1:5" ht="15" customHeight="1" x14ac:dyDescent="0.2">
      <c r="B667" s="380" t="s">
        <v>520</v>
      </c>
      <c r="C667" s="378">
        <v>23935</v>
      </c>
      <c r="D667" s="378">
        <v>0</v>
      </c>
      <c r="E667" s="378">
        <v>23935</v>
      </c>
    </row>
    <row r="668" spans="1:5" ht="15" customHeight="1" x14ac:dyDescent="0.2">
      <c r="B668" s="380" t="s">
        <v>521</v>
      </c>
      <c r="C668" s="378">
        <v>5019</v>
      </c>
      <c r="D668" s="378">
        <v>0</v>
      </c>
      <c r="E668" s="378">
        <v>5019</v>
      </c>
    </row>
    <row r="669" spans="1:5" ht="15" customHeight="1" x14ac:dyDescent="0.2">
      <c r="B669" s="380" t="s">
        <v>575</v>
      </c>
      <c r="C669" s="378">
        <v>114791</v>
      </c>
      <c r="D669" s="378">
        <v>0</v>
      </c>
      <c r="E669" s="378">
        <v>114791</v>
      </c>
    </row>
    <row r="670" spans="1:5" ht="30" customHeight="1" x14ac:dyDescent="0.2">
      <c r="B670" s="380" t="s">
        <v>524</v>
      </c>
      <c r="C670" s="378">
        <v>2778</v>
      </c>
      <c r="D670" s="378">
        <v>0</v>
      </c>
      <c r="E670" s="378">
        <v>2778</v>
      </c>
    </row>
    <row r="672" spans="1:5" ht="15.75" customHeight="1" x14ac:dyDescent="0.2">
      <c r="A672" s="410" t="s">
        <v>626</v>
      </c>
      <c r="B672" s="411"/>
      <c r="C672" s="411"/>
      <c r="D672" s="411"/>
      <c r="E672" s="411"/>
    </row>
    <row r="673" spans="1:5" s="389" customFormat="1" ht="15" customHeight="1" x14ac:dyDescent="0.2">
      <c r="B673" s="390" t="s">
        <v>519</v>
      </c>
      <c r="C673" s="391">
        <v>234291</v>
      </c>
      <c r="D673" s="391">
        <v>0</v>
      </c>
      <c r="E673" s="391">
        <v>234291</v>
      </c>
    </row>
    <row r="674" spans="1:5" ht="15" customHeight="1" x14ac:dyDescent="0.2">
      <c r="B674" s="380" t="s">
        <v>520</v>
      </c>
      <c r="C674" s="378">
        <v>95245</v>
      </c>
      <c r="D674" s="378">
        <v>0</v>
      </c>
      <c r="E674" s="378">
        <v>95245</v>
      </c>
    </row>
    <row r="675" spans="1:5" ht="15" customHeight="1" x14ac:dyDescent="0.2">
      <c r="B675" s="380" t="s">
        <v>521</v>
      </c>
      <c r="C675" s="378">
        <v>9822</v>
      </c>
      <c r="D675" s="378">
        <v>0</v>
      </c>
      <c r="E675" s="378">
        <v>9822</v>
      </c>
    </row>
    <row r="676" spans="1:5" ht="15" customHeight="1" x14ac:dyDescent="0.2">
      <c r="B676" s="380" t="s">
        <v>575</v>
      </c>
      <c r="C676" s="378">
        <v>129224</v>
      </c>
      <c r="D676" s="378">
        <v>0</v>
      </c>
      <c r="E676" s="378">
        <v>129224</v>
      </c>
    </row>
    <row r="678" spans="1:5" ht="15.75" customHeight="1" x14ac:dyDescent="0.2">
      <c r="A678" s="410" t="s">
        <v>627</v>
      </c>
      <c r="B678" s="411"/>
      <c r="C678" s="411"/>
      <c r="D678" s="411"/>
      <c r="E678" s="411"/>
    </row>
    <row r="679" spans="1:5" s="389" customFormat="1" ht="15" customHeight="1" x14ac:dyDescent="0.2">
      <c r="B679" s="390" t="s">
        <v>519</v>
      </c>
      <c r="C679" s="391">
        <v>289216</v>
      </c>
      <c r="D679" s="391">
        <v>0</v>
      </c>
      <c r="E679" s="391">
        <v>289216</v>
      </c>
    </row>
    <row r="680" spans="1:5" ht="15" customHeight="1" x14ac:dyDescent="0.2">
      <c r="B680" s="380" t="s">
        <v>575</v>
      </c>
      <c r="C680" s="378">
        <v>289216</v>
      </c>
      <c r="D680" s="378">
        <v>0</v>
      </c>
      <c r="E680" s="378">
        <v>289216</v>
      </c>
    </row>
    <row r="682" spans="1:5" ht="15.75" customHeight="1" x14ac:dyDescent="0.2">
      <c r="A682" s="410" t="s">
        <v>628</v>
      </c>
      <c r="B682" s="411"/>
      <c r="C682" s="411"/>
      <c r="D682" s="411"/>
      <c r="E682" s="411"/>
    </row>
    <row r="683" spans="1:5" s="389" customFormat="1" ht="15" customHeight="1" x14ac:dyDescent="0.2">
      <c r="B683" s="390" t="s">
        <v>519</v>
      </c>
      <c r="C683" s="391">
        <v>982574</v>
      </c>
      <c r="D683" s="391">
        <v>-16000</v>
      </c>
      <c r="E683" s="391">
        <v>966574</v>
      </c>
    </row>
    <row r="684" spans="1:5" ht="15" customHeight="1" x14ac:dyDescent="0.2">
      <c r="B684" s="380" t="s">
        <v>520</v>
      </c>
      <c r="C684" s="378">
        <v>8425</v>
      </c>
      <c r="D684" s="378">
        <v>0</v>
      </c>
      <c r="E684" s="378">
        <v>8425</v>
      </c>
    </row>
    <row r="685" spans="1:5" ht="15" customHeight="1" x14ac:dyDescent="0.2">
      <c r="B685" s="380" t="s">
        <v>575</v>
      </c>
      <c r="C685" s="378">
        <v>974149</v>
      </c>
      <c r="D685" s="378">
        <v>-16000</v>
      </c>
      <c r="E685" s="378">
        <v>958149</v>
      </c>
    </row>
    <row r="687" spans="1:5" ht="15.75" customHeight="1" x14ac:dyDescent="0.2">
      <c r="A687" s="410" t="s">
        <v>629</v>
      </c>
      <c r="B687" s="411"/>
      <c r="C687" s="411"/>
      <c r="D687" s="411"/>
      <c r="E687" s="411"/>
    </row>
    <row r="688" spans="1:5" s="389" customFormat="1" ht="15" customHeight="1" x14ac:dyDescent="0.2">
      <c r="B688" s="390" t="s">
        <v>519</v>
      </c>
      <c r="C688" s="391">
        <v>335040</v>
      </c>
      <c r="D688" s="391">
        <v>0</v>
      </c>
      <c r="E688" s="391">
        <v>335040</v>
      </c>
    </row>
    <row r="689" spans="1:5" ht="15" customHeight="1" x14ac:dyDescent="0.2">
      <c r="B689" s="380" t="s">
        <v>575</v>
      </c>
      <c r="C689" s="378">
        <v>335040</v>
      </c>
      <c r="D689" s="378">
        <v>0</v>
      </c>
      <c r="E689" s="378">
        <v>335040</v>
      </c>
    </row>
    <row r="691" spans="1:5" ht="15.75" customHeight="1" x14ac:dyDescent="0.2">
      <c r="A691" s="410" t="s">
        <v>630</v>
      </c>
      <c r="B691" s="411"/>
      <c r="C691" s="411"/>
      <c r="D691" s="411"/>
      <c r="E691" s="411"/>
    </row>
    <row r="692" spans="1:5" s="389" customFormat="1" ht="15" customHeight="1" x14ac:dyDescent="0.2">
      <c r="B692" s="390" t="s">
        <v>519</v>
      </c>
      <c r="C692" s="391">
        <v>9175</v>
      </c>
      <c r="D692" s="391">
        <v>0</v>
      </c>
      <c r="E692" s="391">
        <v>9175</v>
      </c>
    </row>
    <row r="693" spans="1:5" ht="15" customHeight="1" x14ac:dyDescent="0.2">
      <c r="B693" s="380" t="s">
        <v>521</v>
      </c>
      <c r="C693" s="378">
        <v>1890</v>
      </c>
      <c r="D693" s="378">
        <v>0</v>
      </c>
      <c r="E693" s="378">
        <v>1890</v>
      </c>
    </row>
    <row r="694" spans="1:5" ht="15" customHeight="1" x14ac:dyDescent="0.2">
      <c r="B694" s="380" t="s">
        <v>575</v>
      </c>
      <c r="C694" s="378">
        <v>7285</v>
      </c>
      <c r="D694" s="378">
        <v>0</v>
      </c>
      <c r="E694" s="378">
        <v>7285</v>
      </c>
    </row>
    <row r="696" spans="1:5" ht="31.5" customHeight="1" x14ac:dyDescent="0.2">
      <c r="A696" s="410" t="s">
        <v>631</v>
      </c>
      <c r="B696" s="411"/>
      <c r="C696" s="411"/>
      <c r="D696" s="411"/>
      <c r="E696" s="411"/>
    </row>
    <row r="697" spans="1:5" s="389" customFormat="1" ht="15" customHeight="1" x14ac:dyDescent="0.2">
      <c r="B697" s="390" t="s">
        <v>519</v>
      </c>
      <c r="C697" s="391">
        <v>67899</v>
      </c>
      <c r="D697" s="391">
        <v>0</v>
      </c>
      <c r="E697" s="391">
        <v>67899</v>
      </c>
    </row>
    <row r="698" spans="1:5" ht="15" customHeight="1" x14ac:dyDescent="0.2">
      <c r="B698" s="380" t="s">
        <v>575</v>
      </c>
      <c r="C698" s="378">
        <v>67899</v>
      </c>
      <c r="D698" s="378">
        <v>0</v>
      </c>
      <c r="E698" s="378">
        <v>67899</v>
      </c>
    </row>
    <row r="700" spans="1:5" ht="15.75" customHeight="1" x14ac:dyDescent="0.2">
      <c r="A700" s="410" t="s">
        <v>632</v>
      </c>
      <c r="B700" s="411"/>
      <c r="C700" s="411"/>
      <c r="D700" s="411"/>
      <c r="E700" s="411"/>
    </row>
    <row r="701" spans="1:5" s="389" customFormat="1" ht="15" customHeight="1" x14ac:dyDescent="0.2">
      <c r="B701" s="390" t="s">
        <v>519</v>
      </c>
      <c r="C701" s="391">
        <v>92135</v>
      </c>
      <c r="D701" s="391">
        <v>0</v>
      </c>
      <c r="E701" s="391">
        <v>92135</v>
      </c>
    </row>
    <row r="702" spans="1:5" ht="15" customHeight="1" x14ac:dyDescent="0.2">
      <c r="B702" s="380" t="s">
        <v>520</v>
      </c>
      <c r="C702" s="378">
        <v>47064</v>
      </c>
      <c r="D702" s="378">
        <v>0</v>
      </c>
      <c r="E702" s="378">
        <v>47064</v>
      </c>
    </row>
    <row r="703" spans="1:5" ht="15" customHeight="1" x14ac:dyDescent="0.2">
      <c r="B703" s="380" t="s">
        <v>521</v>
      </c>
      <c r="C703" s="378">
        <v>45071</v>
      </c>
      <c r="D703" s="378">
        <v>0</v>
      </c>
      <c r="E703" s="378">
        <v>45071</v>
      </c>
    </row>
    <row r="705" spans="1:5" ht="15.75" customHeight="1" x14ac:dyDescent="0.2">
      <c r="A705" s="410" t="s">
        <v>633</v>
      </c>
      <c r="B705" s="411"/>
      <c r="C705" s="411"/>
      <c r="D705" s="411"/>
      <c r="E705" s="411"/>
    </row>
    <row r="706" spans="1:5" s="389" customFormat="1" ht="15" customHeight="1" x14ac:dyDescent="0.2">
      <c r="B706" s="390" t="s">
        <v>519</v>
      </c>
      <c r="C706" s="391">
        <v>15673</v>
      </c>
      <c r="D706" s="391">
        <v>0</v>
      </c>
      <c r="E706" s="391">
        <v>15673</v>
      </c>
    </row>
    <row r="707" spans="1:5" ht="15" customHeight="1" x14ac:dyDescent="0.2">
      <c r="B707" s="380" t="s">
        <v>520</v>
      </c>
      <c r="C707" s="378">
        <v>8280</v>
      </c>
      <c r="D707" s="378">
        <v>0</v>
      </c>
      <c r="E707" s="378">
        <v>8280</v>
      </c>
    </row>
    <row r="708" spans="1:5" ht="15" customHeight="1" x14ac:dyDescent="0.2">
      <c r="B708" s="380" t="s">
        <v>521</v>
      </c>
      <c r="C708" s="378">
        <v>7393</v>
      </c>
      <c r="D708" s="378">
        <v>0</v>
      </c>
      <c r="E708" s="378">
        <v>7393</v>
      </c>
    </row>
    <row r="710" spans="1:5" ht="15.75" customHeight="1" x14ac:dyDescent="0.2">
      <c r="A710" s="410" t="s">
        <v>634</v>
      </c>
      <c r="B710" s="411"/>
      <c r="C710" s="411"/>
      <c r="D710" s="411"/>
      <c r="E710" s="411"/>
    </row>
    <row r="711" spans="1:5" s="389" customFormat="1" ht="15" customHeight="1" x14ac:dyDescent="0.2">
      <c r="B711" s="390" t="s">
        <v>519</v>
      </c>
      <c r="C711" s="391">
        <v>263674</v>
      </c>
      <c r="D711" s="391">
        <v>0</v>
      </c>
      <c r="E711" s="391">
        <v>263674</v>
      </c>
    </row>
    <row r="712" spans="1:5" ht="15" customHeight="1" x14ac:dyDescent="0.2">
      <c r="B712" s="380" t="s">
        <v>520</v>
      </c>
      <c r="C712" s="378">
        <v>179787</v>
      </c>
      <c r="D712" s="378">
        <v>0</v>
      </c>
      <c r="E712" s="378">
        <v>179787</v>
      </c>
    </row>
    <row r="713" spans="1:5" ht="15" customHeight="1" x14ac:dyDescent="0.2">
      <c r="B713" s="380" t="s">
        <v>521</v>
      </c>
      <c r="C713" s="378">
        <v>83656</v>
      </c>
      <c r="D713" s="378">
        <v>0</v>
      </c>
      <c r="E713" s="378">
        <v>83656</v>
      </c>
    </row>
    <row r="714" spans="1:5" ht="15" customHeight="1" x14ac:dyDescent="0.2">
      <c r="B714" s="380" t="s">
        <v>575</v>
      </c>
      <c r="C714" s="378">
        <v>231</v>
      </c>
      <c r="D714" s="378">
        <v>0</v>
      </c>
      <c r="E714" s="378">
        <v>231</v>
      </c>
    </row>
    <row r="716" spans="1:5" ht="15.75" customHeight="1" x14ac:dyDescent="0.2">
      <c r="A716" s="410" t="s">
        <v>635</v>
      </c>
      <c r="B716" s="411"/>
      <c r="C716" s="411"/>
      <c r="D716" s="411"/>
      <c r="E716" s="411"/>
    </row>
    <row r="717" spans="1:5" s="389" customFormat="1" ht="15" customHeight="1" x14ac:dyDescent="0.2">
      <c r="B717" s="390" t="s">
        <v>519</v>
      </c>
      <c r="C717" s="391">
        <v>1127601</v>
      </c>
      <c r="D717" s="391">
        <v>0</v>
      </c>
      <c r="E717" s="391">
        <v>1127601</v>
      </c>
    </row>
    <row r="718" spans="1:5" ht="15" customHeight="1" x14ac:dyDescent="0.2">
      <c r="B718" s="380" t="s">
        <v>520</v>
      </c>
      <c r="C718" s="378">
        <v>961570</v>
      </c>
      <c r="D718" s="378">
        <v>0</v>
      </c>
      <c r="E718" s="378">
        <v>961570</v>
      </c>
    </row>
    <row r="719" spans="1:5" ht="15" customHeight="1" x14ac:dyDescent="0.2">
      <c r="B719" s="380" t="s">
        <v>521</v>
      </c>
      <c r="C719" s="378">
        <v>157203</v>
      </c>
      <c r="D719" s="378">
        <v>0</v>
      </c>
      <c r="E719" s="378">
        <v>157203</v>
      </c>
    </row>
    <row r="720" spans="1:5" ht="15" customHeight="1" x14ac:dyDescent="0.2">
      <c r="B720" s="380" t="s">
        <v>522</v>
      </c>
      <c r="C720" s="378">
        <v>928</v>
      </c>
      <c r="D720" s="378">
        <v>0</v>
      </c>
      <c r="E720" s="378">
        <v>928</v>
      </c>
    </row>
    <row r="721" spans="1:5" ht="15" customHeight="1" x14ac:dyDescent="0.2">
      <c r="B721" s="380" t="s">
        <v>523</v>
      </c>
      <c r="C721" s="378">
        <v>7800</v>
      </c>
      <c r="D721" s="378">
        <v>0</v>
      </c>
      <c r="E721" s="378">
        <v>7800</v>
      </c>
    </row>
    <row r="722" spans="1:5" ht="30" customHeight="1" x14ac:dyDescent="0.2">
      <c r="B722" s="380" t="s">
        <v>524</v>
      </c>
      <c r="C722" s="378">
        <v>100</v>
      </c>
      <c r="D722" s="378">
        <v>0</v>
      </c>
      <c r="E722" s="378">
        <v>100</v>
      </c>
    </row>
    <row r="724" spans="1:5" ht="15.75" customHeight="1" x14ac:dyDescent="0.2">
      <c r="A724" s="410" t="s">
        <v>636</v>
      </c>
      <c r="B724" s="411"/>
      <c r="C724" s="411"/>
      <c r="D724" s="411"/>
      <c r="E724" s="411"/>
    </row>
    <row r="725" spans="1:5" s="389" customFormat="1" ht="15" customHeight="1" x14ac:dyDescent="0.2">
      <c r="B725" s="390" t="s">
        <v>519</v>
      </c>
      <c r="C725" s="391">
        <v>7200</v>
      </c>
      <c r="D725" s="391">
        <v>57800</v>
      </c>
      <c r="E725" s="391">
        <v>65000</v>
      </c>
    </row>
    <row r="726" spans="1:5" ht="15" customHeight="1" x14ac:dyDescent="0.2">
      <c r="B726" s="380" t="s">
        <v>521</v>
      </c>
      <c r="C726" s="378">
        <v>0</v>
      </c>
      <c r="D726" s="378">
        <v>14800</v>
      </c>
      <c r="E726" s="378">
        <v>14800</v>
      </c>
    </row>
    <row r="727" spans="1:5" ht="15" customHeight="1" x14ac:dyDescent="0.2">
      <c r="B727" s="380" t="s">
        <v>575</v>
      </c>
      <c r="C727" s="378">
        <v>7200</v>
      </c>
      <c r="D727" s="378">
        <v>43000</v>
      </c>
      <c r="E727" s="378">
        <v>50200</v>
      </c>
    </row>
    <row r="729" spans="1:5" ht="15.75" customHeight="1" x14ac:dyDescent="0.2">
      <c r="A729" s="419" t="s">
        <v>864</v>
      </c>
      <c r="B729" s="420"/>
      <c r="C729" s="420"/>
      <c r="D729" s="420"/>
      <c r="E729" s="420"/>
    </row>
    <row r="730" spans="1:5" s="389" customFormat="1" ht="15" customHeight="1" x14ac:dyDescent="0.25">
      <c r="A730" s="392"/>
      <c r="B730" s="387" t="s">
        <v>519</v>
      </c>
      <c r="C730" s="388">
        <v>9165492</v>
      </c>
      <c r="D730" s="388">
        <v>7667</v>
      </c>
      <c r="E730" s="388">
        <v>9173159</v>
      </c>
    </row>
    <row r="731" spans="1:5" ht="15" customHeight="1" x14ac:dyDescent="0.25">
      <c r="A731" s="392"/>
      <c r="B731" s="387" t="s">
        <v>637</v>
      </c>
      <c r="C731" s="388">
        <v>6845149</v>
      </c>
      <c r="D731" s="388">
        <v>388970</v>
      </c>
      <c r="E731" s="388">
        <v>7234119</v>
      </c>
    </row>
    <row r="732" spans="1:5" ht="30" customHeight="1" x14ac:dyDescent="0.25">
      <c r="A732" s="392"/>
      <c r="B732" s="387" t="s">
        <v>638</v>
      </c>
      <c r="C732" s="388">
        <v>698055</v>
      </c>
      <c r="D732" s="388">
        <v>109280</v>
      </c>
      <c r="E732" s="388">
        <v>807335</v>
      </c>
    </row>
    <row r="733" spans="1:5" ht="30" customHeight="1" x14ac:dyDescent="0.25">
      <c r="A733" s="392"/>
      <c r="B733" s="387" t="s">
        <v>639</v>
      </c>
      <c r="C733" s="388">
        <v>1622288</v>
      </c>
      <c r="D733" s="388">
        <v>-490583</v>
      </c>
      <c r="E733" s="388">
        <v>1131705</v>
      </c>
    </row>
    <row r="735" spans="1:5" ht="15.75" customHeight="1" x14ac:dyDescent="0.2">
      <c r="A735" s="410" t="s">
        <v>640</v>
      </c>
      <c r="B735" s="411"/>
      <c r="C735" s="411"/>
      <c r="D735" s="411"/>
      <c r="E735" s="411"/>
    </row>
    <row r="736" spans="1:5" ht="15" customHeight="1" x14ac:dyDescent="0.2">
      <c r="B736" s="380" t="s">
        <v>637</v>
      </c>
      <c r="C736" s="378">
        <v>6845149</v>
      </c>
      <c r="D736" s="378">
        <v>388970</v>
      </c>
      <c r="E736" s="378">
        <v>7234119</v>
      </c>
    </row>
    <row r="738" spans="1:5" ht="15.75" customHeight="1" x14ac:dyDescent="0.2">
      <c r="A738" s="410" t="s">
        <v>641</v>
      </c>
      <c r="B738" s="411"/>
      <c r="C738" s="411"/>
      <c r="D738" s="411"/>
      <c r="E738" s="411"/>
    </row>
    <row r="739" spans="1:5" ht="30" customHeight="1" x14ac:dyDescent="0.2">
      <c r="B739" s="380" t="s">
        <v>638</v>
      </c>
      <c r="C739" s="378">
        <v>698055</v>
      </c>
      <c r="D739" s="378">
        <v>109280</v>
      </c>
      <c r="E739" s="378">
        <v>807335</v>
      </c>
    </row>
    <row r="741" spans="1:5" ht="15.75" customHeight="1" x14ac:dyDescent="0.2">
      <c r="A741" s="410" t="s">
        <v>642</v>
      </c>
      <c r="B741" s="411"/>
      <c r="C741" s="411"/>
      <c r="D741" s="411"/>
      <c r="E741" s="411"/>
    </row>
    <row r="742" spans="1:5" ht="15" customHeight="1" x14ac:dyDescent="0.2">
      <c r="B742" s="390" t="s">
        <v>519</v>
      </c>
      <c r="C742" s="391">
        <v>104876692</v>
      </c>
      <c r="D742" s="391">
        <v>553318</v>
      </c>
      <c r="E742" s="391">
        <v>105430010</v>
      </c>
    </row>
    <row r="743" spans="1:5" ht="15" customHeight="1" x14ac:dyDescent="0.2">
      <c r="B743" s="390" t="s">
        <v>520</v>
      </c>
      <c r="C743" s="391">
        <v>32204315</v>
      </c>
      <c r="D743" s="391">
        <v>-14222</v>
      </c>
      <c r="E743" s="391">
        <v>32190093</v>
      </c>
    </row>
    <row r="744" spans="1:5" ht="15" customHeight="1" x14ac:dyDescent="0.2">
      <c r="B744" s="390" t="s">
        <v>521</v>
      </c>
      <c r="C744" s="391">
        <v>17805659</v>
      </c>
      <c r="D744" s="391">
        <v>-122757</v>
      </c>
      <c r="E744" s="391">
        <v>17682902</v>
      </c>
    </row>
    <row r="745" spans="1:5" ht="15" customHeight="1" x14ac:dyDescent="0.2">
      <c r="B745" s="390" t="s">
        <v>522</v>
      </c>
      <c r="C745" s="391">
        <v>6773062</v>
      </c>
      <c r="D745" s="391">
        <v>-24750</v>
      </c>
      <c r="E745" s="391">
        <v>6748312</v>
      </c>
    </row>
    <row r="746" spans="1:5" ht="15" customHeight="1" x14ac:dyDescent="0.2">
      <c r="B746" s="390" t="s">
        <v>805</v>
      </c>
      <c r="C746" s="391">
        <v>50600</v>
      </c>
      <c r="D746" s="391">
        <v>0</v>
      </c>
      <c r="E746" s="391">
        <v>50600</v>
      </c>
    </row>
    <row r="747" spans="1:5" ht="15" customHeight="1" x14ac:dyDescent="0.2">
      <c r="B747" s="390" t="s">
        <v>523</v>
      </c>
      <c r="C747" s="391">
        <v>33156002</v>
      </c>
      <c r="D747" s="391">
        <v>469611</v>
      </c>
      <c r="E747" s="391">
        <v>33625613</v>
      </c>
    </row>
    <row r="748" spans="1:5" ht="15" customHeight="1" x14ac:dyDescent="0.2">
      <c r="B748" s="390" t="s">
        <v>575</v>
      </c>
      <c r="C748" s="391">
        <v>2684005</v>
      </c>
      <c r="D748" s="391">
        <v>237387</v>
      </c>
      <c r="E748" s="391">
        <v>2921392</v>
      </c>
    </row>
    <row r="749" spans="1:5" ht="30" customHeight="1" x14ac:dyDescent="0.2">
      <c r="B749" s="390" t="s">
        <v>524</v>
      </c>
      <c r="C749" s="391">
        <v>3037557</v>
      </c>
      <c r="D749" s="391">
        <v>382</v>
      </c>
      <c r="E749" s="391">
        <v>3037939</v>
      </c>
    </row>
    <row r="750" spans="1:5" ht="15" customHeight="1" x14ac:dyDescent="0.2">
      <c r="B750" s="390" t="s">
        <v>637</v>
      </c>
      <c r="C750" s="391">
        <v>6845149</v>
      </c>
      <c r="D750" s="391">
        <v>388970</v>
      </c>
      <c r="E750" s="391">
        <v>7234119</v>
      </c>
    </row>
    <row r="751" spans="1:5" ht="30" customHeight="1" x14ac:dyDescent="0.2">
      <c r="B751" s="390" t="s">
        <v>638</v>
      </c>
      <c r="C751" s="391">
        <v>698055</v>
      </c>
      <c r="D751" s="391">
        <v>109280</v>
      </c>
      <c r="E751" s="391">
        <v>807335</v>
      </c>
    </row>
    <row r="752" spans="1:5" ht="30" customHeight="1" x14ac:dyDescent="0.2">
      <c r="B752" s="390" t="s">
        <v>639</v>
      </c>
      <c r="C752" s="391">
        <v>1622288</v>
      </c>
      <c r="D752" s="391">
        <v>-490583</v>
      </c>
      <c r="E752" s="391">
        <v>1131705</v>
      </c>
    </row>
    <row r="753" spans="1:5" ht="12.75" customHeight="1" x14ac:dyDescent="0.2">
      <c r="E753" s="383"/>
    </row>
    <row r="755" spans="1:5" ht="18.75" x14ac:dyDescent="0.3">
      <c r="A755" s="528" t="s">
        <v>102</v>
      </c>
      <c r="B755" s="15"/>
      <c r="C755" s="7"/>
      <c r="D755" s="7"/>
      <c r="E755" s="529" t="s">
        <v>103</v>
      </c>
    </row>
  </sheetData>
  <mergeCells count="141">
    <mergeCell ref="A741:E741"/>
    <mergeCell ref="A738:E738"/>
    <mergeCell ref="A735:E735"/>
    <mergeCell ref="A729:E729"/>
    <mergeCell ref="A724:E724"/>
    <mergeCell ref="A716:E716"/>
    <mergeCell ref="A710:E710"/>
    <mergeCell ref="A705:E705"/>
    <mergeCell ref="A700:E700"/>
    <mergeCell ref="A696:E696"/>
    <mergeCell ref="A691:E691"/>
    <mergeCell ref="A687:E687"/>
    <mergeCell ref="A682:E682"/>
    <mergeCell ref="A678:E678"/>
    <mergeCell ref="A672:E672"/>
    <mergeCell ref="A665:E665"/>
    <mergeCell ref="A659:E659"/>
    <mergeCell ref="A654:E654"/>
    <mergeCell ref="A649:E649"/>
    <mergeCell ref="A644:E644"/>
    <mergeCell ref="A638:E638"/>
    <mergeCell ref="A634:E634"/>
    <mergeCell ref="A630:E630"/>
    <mergeCell ref="A626:E626"/>
    <mergeCell ref="A622:E622"/>
    <mergeCell ref="A618:E618"/>
    <mergeCell ref="A609:E609"/>
    <mergeCell ref="A604:E604"/>
    <mergeCell ref="A599:E599"/>
    <mergeCell ref="A595:E595"/>
    <mergeCell ref="A591:E591"/>
    <mergeCell ref="A586:E586"/>
    <mergeCell ref="A579:E579"/>
    <mergeCell ref="A572:E572"/>
    <mergeCell ref="A566:E566"/>
    <mergeCell ref="A559:E559"/>
    <mergeCell ref="A553:E553"/>
    <mergeCell ref="A546:E546"/>
    <mergeCell ref="A539:E539"/>
    <mergeCell ref="A533:E533"/>
    <mergeCell ref="A525:E525"/>
    <mergeCell ref="A518:E518"/>
    <mergeCell ref="A513:E513"/>
    <mergeCell ref="A504:E504"/>
    <mergeCell ref="A496:E496"/>
    <mergeCell ref="A489:E489"/>
    <mergeCell ref="A481:E481"/>
    <mergeCell ref="A473:E473"/>
    <mergeCell ref="A466:E466"/>
    <mergeCell ref="A461:E461"/>
    <mergeCell ref="A456:E456"/>
    <mergeCell ref="A451:E451"/>
    <mergeCell ref="A444:E444"/>
    <mergeCell ref="A438:E438"/>
    <mergeCell ref="A429:E429"/>
    <mergeCell ref="A423:E423"/>
    <mergeCell ref="A417:E417"/>
    <mergeCell ref="A412:E412"/>
    <mergeCell ref="A406:E406"/>
    <mergeCell ref="A399:E399"/>
    <mergeCell ref="A393:E393"/>
    <mergeCell ref="A388:E388"/>
    <mergeCell ref="A383:E383"/>
    <mergeCell ref="A377:E377"/>
    <mergeCell ref="A370:E370"/>
    <mergeCell ref="A364:E364"/>
    <mergeCell ref="A357:E357"/>
    <mergeCell ref="A351:E351"/>
    <mergeCell ref="A345:E345"/>
    <mergeCell ref="A339:E339"/>
    <mergeCell ref="A335:E335"/>
    <mergeCell ref="A330:E330"/>
    <mergeCell ref="A325:E325"/>
    <mergeCell ref="A320:E320"/>
    <mergeCell ref="A316:E316"/>
    <mergeCell ref="A312:E312"/>
    <mergeCell ref="A306:E306"/>
    <mergeCell ref="A298:E298"/>
    <mergeCell ref="A292:E292"/>
    <mergeCell ref="A286:E286"/>
    <mergeCell ref="A281:E281"/>
    <mergeCell ref="A275:E275"/>
    <mergeCell ref="A269:E269"/>
    <mergeCell ref="A263:E263"/>
    <mergeCell ref="A257:E257"/>
    <mergeCell ref="A251:E251"/>
    <mergeCell ref="A245:E245"/>
    <mergeCell ref="A241:E241"/>
    <mergeCell ref="A237:E237"/>
    <mergeCell ref="A233:E233"/>
    <mergeCell ref="A229:E229"/>
    <mergeCell ref="A225:E225"/>
    <mergeCell ref="A221:E221"/>
    <mergeCell ref="A217:E217"/>
    <mergeCell ref="A213:E213"/>
    <mergeCell ref="A208:E208"/>
    <mergeCell ref="A204:E204"/>
    <mergeCell ref="A200:E200"/>
    <mergeCell ref="A196:E196"/>
    <mergeCell ref="A192:E192"/>
    <mergeCell ref="A187:E187"/>
    <mergeCell ref="A183:E183"/>
    <mergeCell ref="A176:E176"/>
    <mergeCell ref="A172:E172"/>
    <mergeCell ref="A166:E166"/>
    <mergeCell ref="A161:E161"/>
    <mergeCell ref="A156:E156"/>
    <mergeCell ref="A152:E152"/>
    <mergeCell ref="A148:E148"/>
    <mergeCell ref="A143:E143"/>
    <mergeCell ref="A139:E139"/>
    <mergeCell ref="A134:E134"/>
    <mergeCell ref="A130:E130"/>
    <mergeCell ref="A126:E126"/>
    <mergeCell ref="A119:E119"/>
    <mergeCell ref="A114:E114"/>
    <mergeCell ref="A108:E108"/>
    <mergeCell ref="A104:E104"/>
    <mergeCell ref="A99:E99"/>
    <mergeCell ref="A93:E93"/>
    <mergeCell ref="A88:E88"/>
    <mergeCell ref="A84:E84"/>
    <mergeCell ref="A79:E79"/>
    <mergeCell ref="A75:E75"/>
    <mergeCell ref="A68:E68"/>
    <mergeCell ref="A63:E63"/>
    <mergeCell ref="A59:E59"/>
    <mergeCell ref="A55:E55"/>
    <mergeCell ref="A51:E51"/>
    <mergeCell ref="A47:E47"/>
    <mergeCell ref="A41:E41"/>
    <mergeCell ref="A36:E36"/>
    <mergeCell ref="A32:E32"/>
    <mergeCell ref="A27:E27"/>
    <mergeCell ref="A22:E22"/>
    <mergeCell ref="A16:E16"/>
    <mergeCell ref="A8:E8"/>
    <mergeCell ref="C2:E2"/>
    <mergeCell ref="C3:E3"/>
    <mergeCell ref="A5:E5"/>
    <mergeCell ref="A6:B6"/>
  </mergeCells>
  <pageMargins left="0.78740157480314965" right="0.78740157480314965" top="0.78740157480314965" bottom="0.39370078740157483" header="0.19685039370078741" footer="0.19685039370078741"/>
  <pageSetup paperSize="9" scale="87" fitToHeight="0" pageOrder="overThenDown" orientation="portrait" r:id="rId1"/>
  <headerFooter>
    <oddFooter>&amp;R&amp;P</oddFooter>
  </headerFooter>
  <rowBreaks count="3" manualBreakCount="3">
    <brk id="98" max="16383" man="1"/>
    <brk id="199" max="16383" man="1"/>
    <brk id="3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"/>
  <sheetViews>
    <sheetView zoomScale="90" zoomScaleNormal="90" workbookViewId="0">
      <pane xSplit="7" ySplit="6" topLeftCell="H75" activePane="bottomRight" state="frozen"/>
      <selection pane="topRight" activeCell="H1" sqref="H1"/>
      <selection pane="bottomLeft" activeCell="A7" sqref="A7"/>
      <selection pane="bottomRight" activeCell="P132" sqref="P132"/>
    </sheetView>
  </sheetViews>
  <sheetFormatPr defaultRowHeight="12.75" x14ac:dyDescent="0.2"/>
  <cols>
    <col min="1" max="1" width="3.28515625" style="200" customWidth="1"/>
    <col min="2" max="2" width="10.140625" style="205" customWidth="1"/>
    <col min="3" max="3" width="42.140625" style="206" customWidth="1"/>
    <col min="4" max="4" width="4.140625" style="206" customWidth="1"/>
    <col min="5" max="5" width="12.7109375" style="206" customWidth="1"/>
    <col min="6" max="6" width="10.42578125" style="200" customWidth="1"/>
    <col min="7" max="7" width="11" style="200" customWidth="1"/>
    <col min="8" max="11" width="11.140625" style="200" customWidth="1"/>
    <col min="12" max="13" width="10.85546875" style="200" customWidth="1"/>
    <col min="14" max="14" width="11" style="200" customWidth="1"/>
    <col min="15" max="15" width="12.28515625" style="200" customWidth="1"/>
    <col min="16" max="19" width="11.140625" style="200" customWidth="1"/>
    <col min="20" max="23" width="11.7109375" style="200" customWidth="1"/>
    <col min="24" max="24" width="13.140625" style="200" customWidth="1"/>
    <col min="25" max="16384" width="9.140625" style="200"/>
  </cols>
  <sheetData>
    <row r="1" spans="1:24" x14ac:dyDescent="0.2">
      <c r="B1" s="201"/>
      <c r="C1" s="202"/>
      <c r="D1" s="202"/>
      <c r="E1" s="202"/>
      <c r="F1" s="203"/>
      <c r="G1" s="203"/>
      <c r="H1" s="204"/>
      <c r="K1" s="124" t="s">
        <v>644</v>
      </c>
    </row>
    <row r="2" spans="1:24" ht="15" x14ac:dyDescent="0.25">
      <c r="B2" s="201"/>
      <c r="C2" s="202"/>
      <c r="D2" s="202"/>
      <c r="E2" s="202"/>
      <c r="F2" s="203"/>
      <c r="G2" s="203"/>
      <c r="H2" s="204"/>
      <c r="K2" s="125" t="s">
        <v>871</v>
      </c>
    </row>
    <row r="3" spans="1:24" ht="15" x14ac:dyDescent="0.25">
      <c r="K3" s="125" t="s">
        <v>872</v>
      </c>
    </row>
    <row r="4" spans="1:24" ht="18" customHeight="1" x14ac:dyDescent="0.25">
      <c r="A4" s="500" t="s">
        <v>770</v>
      </c>
      <c r="B4" s="500"/>
      <c r="C4" s="500"/>
      <c r="D4" s="500"/>
      <c r="E4" s="500"/>
      <c r="F4" s="500"/>
      <c r="G4" s="500"/>
      <c r="H4" s="500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</row>
    <row r="5" spans="1:24" s="206" customFormat="1" ht="12.75" customHeight="1" x14ac:dyDescent="0.25">
      <c r="A5" s="501" t="s">
        <v>645</v>
      </c>
      <c r="B5" s="503" t="s">
        <v>646</v>
      </c>
      <c r="C5" s="505" t="s">
        <v>647</v>
      </c>
      <c r="D5" s="208"/>
      <c r="E5" s="208" t="s">
        <v>648</v>
      </c>
      <c r="F5" s="208" t="s">
        <v>649</v>
      </c>
      <c r="G5" s="208" t="s">
        <v>650</v>
      </c>
      <c r="H5" s="209"/>
      <c r="I5" s="209"/>
      <c r="J5" s="209"/>
      <c r="K5" s="209"/>
      <c r="L5" s="209"/>
      <c r="M5" s="209"/>
      <c r="N5" s="209"/>
      <c r="O5" s="209"/>
      <c r="P5" s="209"/>
      <c r="Q5" s="210"/>
      <c r="R5" s="210"/>
      <c r="S5" s="210"/>
      <c r="T5" s="210"/>
      <c r="U5" s="210"/>
      <c r="V5" s="210"/>
      <c r="W5" s="210"/>
      <c r="X5" s="211" t="s">
        <v>651</v>
      </c>
    </row>
    <row r="6" spans="1:24" s="206" customFormat="1" x14ac:dyDescent="0.25">
      <c r="A6" s="502"/>
      <c r="B6" s="504"/>
      <c r="C6" s="506"/>
      <c r="D6" s="212"/>
      <c r="E6" s="212" t="s">
        <v>652</v>
      </c>
      <c r="F6" s="212" t="s">
        <v>653</v>
      </c>
      <c r="G6" s="212" t="s">
        <v>10</v>
      </c>
      <c r="H6" s="212">
        <v>2020</v>
      </c>
      <c r="I6" s="212">
        <f t="shared" ref="I6:V6" si="0">SUM(H6+1)</f>
        <v>2021</v>
      </c>
      <c r="J6" s="212">
        <f t="shared" si="0"/>
        <v>2022</v>
      </c>
      <c r="K6" s="212">
        <f t="shared" si="0"/>
        <v>2023</v>
      </c>
      <c r="L6" s="212">
        <f t="shared" si="0"/>
        <v>2024</v>
      </c>
      <c r="M6" s="212">
        <f t="shared" si="0"/>
        <v>2025</v>
      </c>
      <c r="N6" s="212">
        <f t="shared" si="0"/>
        <v>2026</v>
      </c>
      <c r="O6" s="212">
        <f t="shared" si="0"/>
        <v>2027</v>
      </c>
      <c r="P6" s="212">
        <f t="shared" si="0"/>
        <v>2028</v>
      </c>
      <c r="Q6" s="212">
        <f t="shared" si="0"/>
        <v>2029</v>
      </c>
      <c r="R6" s="212">
        <f t="shared" si="0"/>
        <v>2030</v>
      </c>
      <c r="S6" s="212">
        <f t="shared" si="0"/>
        <v>2031</v>
      </c>
      <c r="T6" s="212">
        <f t="shared" si="0"/>
        <v>2032</v>
      </c>
      <c r="U6" s="212">
        <f t="shared" si="0"/>
        <v>2033</v>
      </c>
      <c r="V6" s="212">
        <f t="shared" si="0"/>
        <v>2034</v>
      </c>
      <c r="W6" s="213" t="s">
        <v>826</v>
      </c>
      <c r="X6" s="214" t="s">
        <v>654</v>
      </c>
    </row>
    <row r="7" spans="1:24" s="205" customFormat="1" x14ac:dyDescent="0.2">
      <c r="A7" s="434">
        <v>1</v>
      </c>
      <c r="B7" s="190" t="s">
        <v>655</v>
      </c>
      <c r="C7" s="489" t="s">
        <v>656</v>
      </c>
      <c r="D7" s="489">
        <v>648</v>
      </c>
      <c r="E7" s="495">
        <v>45201391.5</v>
      </c>
      <c r="F7" s="493" t="s">
        <v>657</v>
      </c>
      <c r="G7" s="215" t="s">
        <v>658</v>
      </c>
      <c r="H7" s="216">
        <v>5489516</v>
      </c>
      <c r="I7" s="216">
        <v>5307920</v>
      </c>
      <c r="J7" s="216">
        <v>4563372</v>
      </c>
      <c r="K7" s="216">
        <v>4178496</v>
      </c>
      <c r="L7" s="216">
        <v>3888532</v>
      </c>
      <c r="M7" s="216">
        <v>3795232</v>
      </c>
      <c r="N7" s="216">
        <v>3470364</v>
      </c>
      <c r="O7" s="216">
        <v>1653540</v>
      </c>
      <c r="P7" s="216">
        <v>1134524</v>
      </c>
      <c r="Q7" s="216">
        <v>936532</v>
      </c>
      <c r="R7" s="216">
        <v>747604</v>
      </c>
      <c r="S7" s="216">
        <v>747604</v>
      </c>
      <c r="T7" s="216">
        <v>747604</v>
      </c>
      <c r="U7" s="216">
        <v>725552</v>
      </c>
      <c r="V7" s="217">
        <v>269152</v>
      </c>
      <c r="W7" s="217">
        <v>0</v>
      </c>
      <c r="X7" s="126">
        <f t="shared" ref="X7:X38" si="1">SUM(H7:W7)</f>
        <v>37655544</v>
      </c>
    </row>
    <row r="8" spans="1:24" s="205" customFormat="1" x14ac:dyDescent="0.2">
      <c r="A8" s="435"/>
      <c r="B8" s="127" t="s">
        <v>659</v>
      </c>
      <c r="C8" s="490"/>
      <c r="D8" s="490"/>
      <c r="E8" s="496"/>
      <c r="F8" s="494"/>
      <c r="G8" s="128">
        <v>2.5000000000000001E-3</v>
      </c>
      <c r="H8" s="218">
        <v>97795</v>
      </c>
      <c r="I8" s="218">
        <v>95385</v>
      </c>
      <c r="J8" s="218">
        <v>79680</v>
      </c>
      <c r="K8" s="218">
        <v>65920</v>
      </c>
      <c r="L8" s="218">
        <v>53485</v>
      </c>
      <c r="M8" s="218">
        <v>41515</v>
      </c>
      <c r="N8" s="218">
        <v>30165</v>
      </c>
      <c r="O8" s="218">
        <v>20710</v>
      </c>
      <c r="P8" s="218">
        <v>15750</v>
      </c>
      <c r="Q8" s="218">
        <v>12295</v>
      </c>
      <c r="R8" s="218">
        <v>9530</v>
      </c>
      <c r="S8" s="218">
        <v>7225</v>
      </c>
      <c r="T8" s="218">
        <v>4965</v>
      </c>
      <c r="U8" s="218">
        <v>2690</v>
      </c>
      <c r="V8" s="219">
        <f>770</f>
        <v>770</v>
      </c>
      <c r="W8" s="219">
        <f>50-5</f>
        <v>45</v>
      </c>
      <c r="X8" s="129">
        <f t="shared" si="1"/>
        <v>537925</v>
      </c>
    </row>
    <row r="9" spans="1:24" s="205" customFormat="1" x14ac:dyDescent="0.2">
      <c r="A9" s="471">
        <v>2</v>
      </c>
      <c r="B9" s="130" t="s">
        <v>655</v>
      </c>
      <c r="C9" s="477" t="s">
        <v>660</v>
      </c>
      <c r="D9" s="477">
        <v>628</v>
      </c>
      <c r="E9" s="476">
        <v>119421</v>
      </c>
      <c r="F9" s="499" t="s">
        <v>661</v>
      </c>
      <c r="G9" s="220" t="s">
        <v>658</v>
      </c>
      <c r="H9" s="131">
        <v>6728</v>
      </c>
      <c r="I9" s="131">
        <v>6728</v>
      </c>
      <c r="J9" s="131">
        <v>6728</v>
      </c>
      <c r="K9" s="131">
        <v>6728</v>
      </c>
      <c r="L9" s="131">
        <v>6728</v>
      </c>
      <c r="M9" s="131">
        <v>6728</v>
      </c>
      <c r="N9" s="131">
        <v>6728</v>
      </c>
      <c r="O9" s="131">
        <v>6728</v>
      </c>
      <c r="P9" s="131">
        <v>6728</v>
      </c>
      <c r="Q9" s="131">
        <v>6728</v>
      </c>
      <c r="R9" s="131">
        <v>6728</v>
      </c>
      <c r="S9" s="131">
        <v>6728</v>
      </c>
      <c r="T9" s="131">
        <v>6728</v>
      </c>
      <c r="U9" s="221">
        <v>6728</v>
      </c>
      <c r="V9" s="221">
        <v>6728</v>
      </c>
      <c r="W9" s="221">
        <v>1682</v>
      </c>
      <c r="X9" s="126">
        <f t="shared" si="1"/>
        <v>102602</v>
      </c>
    </row>
    <row r="10" spans="1:24" s="205" customFormat="1" x14ac:dyDescent="0.2">
      <c r="A10" s="472"/>
      <c r="B10" s="132" t="s">
        <v>662</v>
      </c>
      <c r="C10" s="480"/>
      <c r="D10" s="480"/>
      <c r="E10" s="479"/>
      <c r="F10" s="480"/>
      <c r="G10" s="128">
        <v>2.5000000000000001E-3</v>
      </c>
      <c r="H10" s="356">
        <v>260</v>
      </c>
      <c r="I10" s="356">
        <v>280</v>
      </c>
      <c r="J10" s="133">
        <v>270</v>
      </c>
      <c r="K10" s="133">
        <v>250</v>
      </c>
      <c r="L10" s="133">
        <v>230</v>
      </c>
      <c r="M10" s="133">
        <v>210</v>
      </c>
      <c r="N10" s="133">
        <v>190</v>
      </c>
      <c r="O10" s="133">
        <v>170</v>
      </c>
      <c r="P10" s="133">
        <v>150</v>
      </c>
      <c r="Q10" s="133">
        <v>125</v>
      </c>
      <c r="R10" s="133">
        <v>105</v>
      </c>
      <c r="S10" s="133">
        <v>85</v>
      </c>
      <c r="T10" s="133">
        <v>65</v>
      </c>
      <c r="U10" s="222">
        <v>45</v>
      </c>
      <c r="V10" s="222">
        <v>25</v>
      </c>
      <c r="W10" s="222">
        <v>5</v>
      </c>
      <c r="X10" s="129">
        <f t="shared" si="1"/>
        <v>2465</v>
      </c>
    </row>
    <row r="11" spans="1:24" s="205" customFormat="1" x14ac:dyDescent="0.2">
      <c r="A11" s="459">
        <v>3</v>
      </c>
      <c r="B11" s="188" t="s">
        <v>655</v>
      </c>
      <c r="C11" s="447" t="s">
        <v>663</v>
      </c>
      <c r="D11" s="447">
        <v>629</v>
      </c>
      <c r="E11" s="469">
        <v>463710</v>
      </c>
      <c r="F11" s="447" t="s">
        <v>664</v>
      </c>
      <c r="G11" s="223" t="s">
        <v>658</v>
      </c>
      <c r="H11" s="134">
        <v>25412</v>
      </c>
      <c r="I11" s="134">
        <v>25412</v>
      </c>
      <c r="J11" s="134">
        <v>25412</v>
      </c>
      <c r="K11" s="134">
        <v>25412</v>
      </c>
      <c r="L11" s="134">
        <v>25412</v>
      </c>
      <c r="M11" s="134">
        <v>25412</v>
      </c>
      <c r="N11" s="134">
        <v>25412</v>
      </c>
      <c r="O11" s="134">
        <v>25412</v>
      </c>
      <c r="P11" s="134">
        <v>25412</v>
      </c>
      <c r="Q11" s="134">
        <v>25412</v>
      </c>
      <c r="R11" s="134">
        <v>25412</v>
      </c>
      <c r="S11" s="134">
        <v>25412</v>
      </c>
      <c r="T11" s="134">
        <v>25412</v>
      </c>
      <c r="U11" s="170">
        <v>25412</v>
      </c>
      <c r="V11" s="170">
        <v>25412</v>
      </c>
      <c r="W11" s="170">
        <v>6353</v>
      </c>
      <c r="X11" s="126">
        <f t="shared" si="1"/>
        <v>387533</v>
      </c>
    </row>
    <row r="12" spans="1:24" s="205" customFormat="1" x14ac:dyDescent="0.2">
      <c r="A12" s="460"/>
      <c r="B12" s="189" t="s">
        <v>665</v>
      </c>
      <c r="C12" s="437"/>
      <c r="D12" s="437"/>
      <c r="E12" s="470"/>
      <c r="F12" s="437"/>
      <c r="G12" s="128">
        <v>2.5000000000000001E-3</v>
      </c>
      <c r="H12" s="357">
        <v>975</v>
      </c>
      <c r="I12" s="357">
        <v>1045</v>
      </c>
      <c r="J12" s="135">
        <v>1015</v>
      </c>
      <c r="K12" s="135">
        <v>935</v>
      </c>
      <c r="L12" s="135">
        <v>865</v>
      </c>
      <c r="M12" s="135">
        <v>785</v>
      </c>
      <c r="N12" s="135">
        <v>705</v>
      </c>
      <c r="O12" s="135">
        <v>630</v>
      </c>
      <c r="P12" s="135">
        <v>555</v>
      </c>
      <c r="Q12" s="135">
        <v>475</v>
      </c>
      <c r="R12" s="135">
        <v>395</v>
      </c>
      <c r="S12" s="135">
        <v>320</v>
      </c>
      <c r="T12" s="135">
        <v>240</v>
      </c>
      <c r="U12" s="224">
        <v>165</v>
      </c>
      <c r="V12" s="224">
        <v>85</v>
      </c>
      <c r="W12" s="224">
        <v>15</v>
      </c>
      <c r="X12" s="129">
        <f t="shared" si="1"/>
        <v>9205</v>
      </c>
    </row>
    <row r="13" spans="1:24" s="225" customFormat="1" x14ac:dyDescent="0.2">
      <c r="A13" s="471">
        <v>4</v>
      </c>
      <c r="B13" s="130" t="s">
        <v>655</v>
      </c>
      <c r="C13" s="477" t="s">
        <v>666</v>
      </c>
      <c r="D13" s="477">
        <v>630</v>
      </c>
      <c r="E13" s="476">
        <v>162998</v>
      </c>
      <c r="F13" s="477" t="s">
        <v>667</v>
      </c>
      <c r="G13" s="220" t="s">
        <v>658</v>
      </c>
      <c r="H13" s="136">
        <v>6950.39</v>
      </c>
      <c r="I13" s="137">
        <v>6976</v>
      </c>
      <c r="J13" s="137">
        <v>6976</v>
      </c>
      <c r="K13" s="137">
        <v>6976</v>
      </c>
      <c r="L13" s="137">
        <v>6976</v>
      </c>
      <c r="M13" s="137">
        <v>6976</v>
      </c>
      <c r="N13" s="137">
        <v>6976</v>
      </c>
      <c r="O13" s="137">
        <v>6976</v>
      </c>
      <c r="P13" s="137">
        <v>6976</v>
      </c>
      <c r="Q13" s="137">
        <v>6976</v>
      </c>
      <c r="R13" s="137">
        <v>6976</v>
      </c>
      <c r="S13" s="137">
        <v>6976</v>
      </c>
      <c r="T13" s="137">
        <v>6976</v>
      </c>
      <c r="U13" s="137">
        <v>6976</v>
      </c>
      <c r="V13" s="137">
        <v>6976</v>
      </c>
      <c r="W13" s="137">
        <v>3488</v>
      </c>
      <c r="X13" s="126">
        <f t="shared" si="1"/>
        <v>108102.39</v>
      </c>
    </row>
    <row r="14" spans="1:24" s="205" customFormat="1" x14ac:dyDescent="0.2">
      <c r="A14" s="472"/>
      <c r="B14" s="132" t="s">
        <v>668</v>
      </c>
      <c r="C14" s="480"/>
      <c r="D14" s="480"/>
      <c r="E14" s="479"/>
      <c r="F14" s="480"/>
      <c r="G14" s="128">
        <v>2.5000000000000001E-3</v>
      </c>
      <c r="H14" s="133">
        <v>275</v>
      </c>
      <c r="I14" s="138">
        <v>280</v>
      </c>
      <c r="J14" s="138">
        <v>285</v>
      </c>
      <c r="K14" s="138">
        <v>265</v>
      </c>
      <c r="L14" s="138">
        <v>245</v>
      </c>
      <c r="M14" s="138">
        <v>220</v>
      </c>
      <c r="N14" s="138">
        <v>200</v>
      </c>
      <c r="O14" s="138">
        <v>180</v>
      </c>
      <c r="P14" s="138">
        <v>160</v>
      </c>
      <c r="Q14" s="138">
        <v>135</v>
      </c>
      <c r="R14" s="138">
        <v>115</v>
      </c>
      <c r="S14" s="138">
        <v>95</v>
      </c>
      <c r="T14" s="138">
        <v>75</v>
      </c>
      <c r="U14" s="139">
        <v>50</v>
      </c>
      <c r="V14" s="139">
        <v>30</v>
      </c>
      <c r="W14" s="139">
        <v>10</v>
      </c>
      <c r="X14" s="129">
        <f t="shared" si="1"/>
        <v>2620</v>
      </c>
    </row>
    <row r="15" spans="1:24" s="205" customFormat="1" x14ac:dyDescent="0.2">
      <c r="A15" s="459">
        <v>5</v>
      </c>
      <c r="B15" s="188" t="s">
        <v>669</v>
      </c>
      <c r="C15" s="447" t="s">
        <v>670</v>
      </c>
      <c r="D15" s="447">
        <v>631</v>
      </c>
      <c r="E15" s="469">
        <f>89504-0.24</f>
        <v>89503.76</v>
      </c>
      <c r="F15" s="447" t="s">
        <v>671</v>
      </c>
      <c r="G15" s="223" t="s">
        <v>658</v>
      </c>
      <c r="H15" s="140">
        <v>5116</v>
      </c>
      <c r="I15" s="140">
        <v>5116</v>
      </c>
      <c r="J15" s="140">
        <v>5116</v>
      </c>
      <c r="K15" s="140">
        <v>5116</v>
      </c>
      <c r="L15" s="140">
        <v>5116</v>
      </c>
      <c r="M15" s="140">
        <v>5116</v>
      </c>
      <c r="N15" s="140">
        <v>5116</v>
      </c>
      <c r="O15" s="140">
        <v>5116</v>
      </c>
      <c r="P15" s="140">
        <v>5116</v>
      </c>
      <c r="Q15" s="140">
        <v>5116</v>
      </c>
      <c r="R15" s="140">
        <v>5116</v>
      </c>
      <c r="S15" s="140">
        <v>5116</v>
      </c>
      <c r="T15" s="140">
        <v>5116</v>
      </c>
      <c r="U15" s="141">
        <f>5116</f>
        <v>5116</v>
      </c>
      <c r="V15" s="141">
        <v>5116</v>
      </c>
      <c r="W15" s="141">
        <v>2557.7600000000002</v>
      </c>
      <c r="X15" s="126">
        <f t="shared" si="1"/>
        <v>79297.759999999995</v>
      </c>
    </row>
    <row r="16" spans="1:24" s="205" customFormat="1" x14ac:dyDescent="0.2">
      <c r="A16" s="460"/>
      <c r="B16" s="189" t="s">
        <v>672</v>
      </c>
      <c r="C16" s="437"/>
      <c r="D16" s="437"/>
      <c r="E16" s="470"/>
      <c r="F16" s="437"/>
      <c r="G16" s="128">
        <v>2.5000000000000001E-3</v>
      </c>
      <c r="H16" s="135">
        <v>220</v>
      </c>
      <c r="I16" s="142">
        <v>225</v>
      </c>
      <c r="J16" s="142">
        <v>210</v>
      </c>
      <c r="K16" s="142">
        <v>195</v>
      </c>
      <c r="L16" s="142">
        <v>180</v>
      </c>
      <c r="M16" s="142">
        <v>165</v>
      </c>
      <c r="N16" s="142">
        <v>150</v>
      </c>
      <c r="O16" s="142">
        <v>130</v>
      </c>
      <c r="P16" s="142">
        <v>115</v>
      </c>
      <c r="Q16" s="142">
        <v>100</v>
      </c>
      <c r="R16" s="142">
        <v>85</v>
      </c>
      <c r="S16" s="142">
        <v>70</v>
      </c>
      <c r="T16" s="142">
        <v>55</v>
      </c>
      <c r="U16" s="143">
        <v>40</v>
      </c>
      <c r="V16" s="143">
        <v>25</v>
      </c>
      <c r="W16" s="143">
        <v>5</v>
      </c>
      <c r="X16" s="129">
        <f t="shared" si="1"/>
        <v>1970</v>
      </c>
    </row>
    <row r="17" spans="1:24" s="205" customFormat="1" ht="16.5" customHeight="1" x14ac:dyDescent="0.2">
      <c r="A17" s="471">
        <v>6</v>
      </c>
      <c r="B17" s="188" t="s">
        <v>655</v>
      </c>
      <c r="C17" s="477" t="s">
        <v>673</v>
      </c>
      <c r="D17" s="477">
        <v>632</v>
      </c>
      <c r="E17" s="476">
        <v>1331708.19</v>
      </c>
      <c r="F17" s="477" t="s">
        <v>674</v>
      </c>
      <c r="G17" s="223" t="s">
        <v>658</v>
      </c>
      <c r="H17" s="131">
        <v>4000</v>
      </c>
      <c r="I17" s="131">
        <v>4000</v>
      </c>
      <c r="J17" s="131">
        <v>20000</v>
      </c>
      <c r="K17" s="131">
        <v>20000</v>
      </c>
      <c r="L17" s="131">
        <v>20000</v>
      </c>
      <c r="M17" s="131">
        <v>20000</v>
      </c>
      <c r="N17" s="131">
        <v>50000</v>
      </c>
      <c r="O17" s="131">
        <v>79000</v>
      </c>
      <c r="P17" s="131">
        <v>79000</v>
      </c>
      <c r="Q17" s="131">
        <v>79000</v>
      </c>
      <c r="R17" s="131">
        <v>79000</v>
      </c>
      <c r="S17" s="131">
        <v>79000</v>
      </c>
      <c r="T17" s="226">
        <v>79000</v>
      </c>
      <c r="U17" s="227">
        <f>79000</f>
        <v>79000</v>
      </c>
      <c r="V17" s="227">
        <v>79000</v>
      </c>
      <c r="W17" s="227">
        <v>59250</v>
      </c>
      <c r="X17" s="126">
        <f t="shared" si="1"/>
        <v>829250</v>
      </c>
    </row>
    <row r="18" spans="1:24" s="205" customFormat="1" ht="16.5" customHeight="1" x14ac:dyDescent="0.2">
      <c r="A18" s="472"/>
      <c r="B18" s="189" t="s">
        <v>675</v>
      </c>
      <c r="C18" s="480"/>
      <c r="D18" s="480"/>
      <c r="E18" s="479"/>
      <c r="F18" s="480"/>
      <c r="G18" s="128">
        <v>2.5000000000000001E-3</v>
      </c>
      <c r="H18" s="133">
        <v>2215</v>
      </c>
      <c r="I18" s="133">
        <v>2510</v>
      </c>
      <c r="J18" s="133">
        <v>2490</v>
      </c>
      <c r="K18" s="133">
        <v>2430</v>
      </c>
      <c r="L18" s="133">
        <v>2375</v>
      </c>
      <c r="M18" s="133">
        <v>2310</v>
      </c>
      <c r="N18" s="133">
        <v>2230</v>
      </c>
      <c r="O18" s="133">
        <v>2065</v>
      </c>
      <c r="P18" s="133">
        <v>1835</v>
      </c>
      <c r="Q18" s="133">
        <v>1585</v>
      </c>
      <c r="R18" s="133">
        <v>1345</v>
      </c>
      <c r="S18" s="133">
        <v>1105</v>
      </c>
      <c r="T18" s="133">
        <v>870</v>
      </c>
      <c r="U18" s="222">
        <v>625</v>
      </c>
      <c r="V18" s="222">
        <v>385</v>
      </c>
      <c r="W18" s="222">
        <v>145</v>
      </c>
      <c r="X18" s="129">
        <f t="shared" si="1"/>
        <v>26520</v>
      </c>
    </row>
    <row r="19" spans="1:24" s="205" customFormat="1" x14ac:dyDescent="0.2">
      <c r="A19" s="459">
        <v>7</v>
      </c>
      <c r="B19" s="130" t="s">
        <v>655</v>
      </c>
      <c r="C19" s="498" t="s">
        <v>417</v>
      </c>
      <c r="D19" s="447">
        <v>633</v>
      </c>
      <c r="E19" s="473">
        <f>8339124-3412924+1558975</f>
        <v>6485175</v>
      </c>
      <c r="F19" s="447" t="s">
        <v>676</v>
      </c>
      <c r="G19" s="223" t="s">
        <v>658</v>
      </c>
      <c r="H19" s="373">
        <f>351497.79+750.21</f>
        <v>352248</v>
      </c>
      <c r="I19" s="144">
        <v>1000</v>
      </c>
      <c r="J19" s="144">
        <v>5000</v>
      </c>
      <c r="K19" s="144">
        <v>5000</v>
      </c>
      <c r="L19" s="144">
        <v>8000</v>
      </c>
      <c r="M19" s="144">
        <v>20000</v>
      </c>
      <c r="N19" s="144">
        <v>60000</v>
      </c>
      <c r="O19" s="144">
        <v>238000</v>
      </c>
      <c r="P19" s="144">
        <v>238000</v>
      </c>
      <c r="Q19" s="144">
        <v>304544</v>
      </c>
      <c r="R19" s="144">
        <v>304544</v>
      </c>
      <c r="S19" s="144">
        <v>304544</v>
      </c>
      <c r="T19" s="144">
        <v>304544</v>
      </c>
      <c r="U19" s="144">
        <v>304544</v>
      </c>
      <c r="V19" s="144">
        <v>304544</v>
      </c>
      <c r="W19" s="144">
        <v>3730663</v>
      </c>
      <c r="X19" s="126">
        <f t="shared" si="1"/>
        <v>6485175</v>
      </c>
    </row>
    <row r="20" spans="1:24" s="205" customFormat="1" ht="15" customHeight="1" x14ac:dyDescent="0.2">
      <c r="A20" s="460"/>
      <c r="B20" s="189" t="s">
        <v>677</v>
      </c>
      <c r="C20" s="468"/>
      <c r="D20" s="437"/>
      <c r="E20" s="474"/>
      <c r="F20" s="437"/>
      <c r="G20" s="128">
        <v>2.5000000000000001E-3</v>
      </c>
      <c r="H20" s="145">
        <v>17835</v>
      </c>
      <c r="I20" s="145">
        <v>18655</v>
      </c>
      <c r="J20" s="145">
        <v>18650</v>
      </c>
      <c r="K20" s="145">
        <v>18635</v>
      </c>
      <c r="L20" s="145">
        <v>18670</v>
      </c>
      <c r="M20" s="145">
        <v>18590</v>
      </c>
      <c r="N20" s="145">
        <v>18505</v>
      </c>
      <c r="O20" s="145">
        <v>18215</v>
      </c>
      <c r="P20" s="145">
        <v>17570</v>
      </c>
      <c r="Q20" s="145">
        <v>16755</v>
      </c>
      <c r="R20" s="145">
        <v>15840</v>
      </c>
      <c r="S20" s="145">
        <v>14910</v>
      </c>
      <c r="T20" s="145">
        <v>14025</v>
      </c>
      <c r="U20" s="145">
        <v>13060</v>
      </c>
      <c r="V20" s="145">
        <v>12135</v>
      </c>
      <c r="W20" s="145">
        <v>73535</v>
      </c>
      <c r="X20" s="129">
        <f t="shared" si="1"/>
        <v>325585</v>
      </c>
    </row>
    <row r="21" spans="1:24" s="205" customFormat="1" ht="12.75" customHeight="1" x14ac:dyDescent="0.2">
      <c r="A21" s="471">
        <v>8</v>
      </c>
      <c r="B21" s="130" t="s">
        <v>655</v>
      </c>
      <c r="C21" s="498" t="s">
        <v>678</v>
      </c>
      <c r="D21" s="447">
        <v>634</v>
      </c>
      <c r="E21" s="469">
        <f>206622-0.62</f>
        <v>206621.38</v>
      </c>
      <c r="F21" s="447" t="s">
        <v>679</v>
      </c>
      <c r="G21" s="223" t="s">
        <v>658</v>
      </c>
      <c r="H21" s="144">
        <v>1000</v>
      </c>
      <c r="I21" s="144">
        <v>1000</v>
      </c>
      <c r="J21" s="144">
        <v>13640</v>
      </c>
      <c r="K21" s="144">
        <v>13640</v>
      </c>
      <c r="L21" s="144">
        <v>13640</v>
      </c>
      <c r="M21" s="144">
        <v>13640</v>
      </c>
      <c r="N21" s="144">
        <v>13640</v>
      </c>
      <c r="O21" s="144">
        <v>13640</v>
      </c>
      <c r="P21" s="144">
        <v>13640</v>
      </c>
      <c r="Q21" s="144">
        <v>13640</v>
      </c>
      <c r="R21" s="144">
        <v>13640</v>
      </c>
      <c r="S21" s="144">
        <v>13640</v>
      </c>
      <c r="T21" s="144">
        <v>13640</v>
      </c>
      <c r="U21" s="146">
        <v>13640</v>
      </c>
      <c r="V21" s="146">
        <v>13640</v>
      </c>
      <c r="W21" s="150">
        <f>27302-0.62</f>
        <v>27301.38</v>
      </c>
      <c r="X21" s="126">
        <f t="shared" si="1"/>
        <v>206621.38</v>
      </c>
    </row>
    <row r="22" spans="1:24" s="205" customFormat="1" x14ac:dyDescent="0.2">
      <c r="A22" s="472"/>
      <c r="B22" s="189" t="s">
        <v>680</v>
      </c>
      <c r="C22" s="468"/>
      <c r="D22" s="437"/>
      <c r="E22" s="470"/>
      <c r="F22" s="437"/>
      <c r="G22" s="128">
        <v>2.5000000000000001E-3</v>
      </c>
      <c r="H22" s="145">
        <v>580</v>
      </c>
      <c r="I22" s="145">
        <v>625</v>
      </c>
      <c r="J22" s="145">
        <v>615</v>
      </c>
      <c r="K22" s="145">
        <v>575</v>
      </c>
      <c r="L22" s="145">
        <v>535</v>
      </c>
      <c r="M22" s="145">
        <v>495</v>
      </c>
      <c r="N22" s="145">
        <v>455</v>
      </c>
      <c r="O22" s="145">
        <v>410</v>
      </c>
      <c r="P22" s="145">
        <v>370</v>
      </c>
      <c r="Q22" s="145">
        <v>330</v>
      </c>
      <c r="R22" s="145">
        <v>285</v>
      </c>
      <c r="S22" s="145">
        <v>245</v>
      </c>
      <c r="T22" s="145">
        <v>205</v>
      </c>
      <c r="U22" s="147">
        <v>160</v>
      </c>
      <c r="V22" s="147">
        <v>120</v>
      </c>
      <c r="W22" s="147">
        <v>115</v>
      </c>
      <c r="X22" s="129">
        <f t="shared" si="1"/>
        <v>6120</v>
      </c>
    </row>
    <row r="23" spans="1:24" s="205" customFormat="1" ht="12.75" customHeight="1" x14ac:dyDescent="0.2">
      <c r="A23" s="459">
        <v>9</v>
      </c>
      <c r="B23" s="130" t="s">
        <v>655</v>
      </c>
      <c r="C23" s="467" t="s">
        <v>681</v>
      </c>
      <c r="D23" s="447">
        <v>635</v>
      </c>
      <c r="E23" s="497">
        <v>307624.96000000002</v>
      </c>
      <c r="F23" s="447" t="s">
        <v>682</v>
      </c>
      <c r="G23" s="223" t="s">
        <v>658</v>
      </c>
      <c r="H23" s="148">
        <v>750</v>
      </c>
      <c r="I23" s="148">
        <v>1000</v>
      </c>
      <c r="J23" s="148">
        <v>5000</v>
      </c>
      <c r="K23" s="148">
        <v>5000</v>
      </c>
      <c r="L23" s="148">
        <v>10000</v>
      </c>
      <c r="M23" s="148">
        <v>23824</v>
      </c>
      <c r="N23" s="148">
        <v>23824</v>
      </c>
      <c r="O23" s="148">
        <v>23824</v>
      </c>
      <c r="P23" s="148">
        <v>23824</v>
      </c>
      <c r="Q23" s="148">
        <v>23824</v>
      </c>
      <c r="R23" s="148">
        <v>23824</v>
      </c>
      <c r="S23" s="148">
        <v>23824</v>
      </c>
      <c r="T23" s="134">
        <v>23824</v>
      </c>
      <c r="U23" s="134">
        <f>23824</f>
        <v>23824</v>
      </c>
      <c r="V23" s="134">
        <v>23824</v>
      </c>
      <c r="W23" s="134">
        <v>47634.96</v>
      </c>
      <c r="X23" s="126">
        <f t="shared" si="1"/>
        <v>307624.96000000002</v>
      </c>
    </row>
    <row r="24" spans="1:24" s="205" customFormat="1" x14ac:dyDescent="0.2">
      <c r="A24" s="460"/>
      <c r="B24" s="189" t="s">
        <v>683</v>
      </c>
      <c r="C24" s="468"/>
      <c r="D24" s="437"/>
      <c r="E24" s="486"/>
      <c r="F24" s="437"/>
      <c r="G24" s="128">
        <v>2.5000000000000001E-3</v>
      </c>
      <c r="H24" s="135">
        <v>860</v>
      </c>
      <c r="I24" s="135">
        <v>935</v>
      </c>
      <c r="J24" s="135">
        <v>930</v>
      </c>
      <c r="K24" s="135">
        <v>915</v>
      </c>
      <c r="L24" s="135">
        <v>900</v>
      </c>
      <c r="M24" s="135">
        <v>860</v>
      </c>
      <c r="N24" s="135">
        <v>790</v>
      </c>
      <c r="O24" s="135">
        <v>715</v>
      </c>
      <c r="P24" s="135">
        <v>645</v>
      </c>
      <c r="Q24" s="135">
        <v>570</v>
      </c>
      <c r="R24" s="135">
        <v>500</v>
      </c>
      <c r="S24" s="135">
        <v>425</v>
      </c>
      <c r="T24" s="135">
        <v>355</v>
      </c>
      <c r="U24" s="135">
        <v>280</v>
      </c>
      <c r="V24" s="135">
        <v>210</v>
      </c>
      <c r="W24" s="135">
        <v>200</v>
      </c>
      <c r="X24" s="129">
        <f t="shared" si="1"/>
        <v>10090</v>
      </c>
    </row>
    <row r="25" spans="1:24" s="205" customFormat="1" ht="12.75" customHeight="1" x14ac:dyDescent="0.2">
      <c r="A25" s="471">
        <v>10</v>
      </c>
      <c r="B25" s="130" t="s">
        <v>655</v>
      </c>
      <c r="C25" s="467" t="s">
        <v>684</v>
      </c>
      <c r="D25" s="447">
        <v>636</v>
      </c>
      <c r="E25" s="497">
        <v>69989</v>
      </c>
      <c r="F25" s="447" t="s">
        <v>682</v>
      </c>
      <c r="G25" s="223" t="s">
        <v>658</v>
      </c>
      <c r="H25" s="148">
        <v>1000</v>
      </c>
      <c r="I25" s="148">
        <v>1000</v>
      </c>
      <c r="J25" s="148">
        <v>1000</v>
      </c>
      <c r="K25" s="148">
        <v>2000</v>
      </c>
      <c r="L25" s="148">
        <v>2000</v>
      </c>
      <c r="M25" s="148">
        <v>5000</v>
      </c>
      <c r="N25" s="148">
        <v>5272</v>
      </c>
      <c r="O25" s="148">
        <v>5272</v>
      </c>
      <c r="P25" s="148">
        <v>5272</v>
      </c>
      <c r="Q25" s="148">
        <v>5272</v>
      </c>
      <c r="R25" s="148">
        <v>5272</v>
      </c>
      <c r="S25" s="148">
        <v>5272</v>
      </c>
      <c r="T25" s="148">
        <v>5272</v>
      </c>
      <c r="U25" s="148">
        <v>5272</v>
      </c>
      <c r="V25" s="148">
        <v>5272</v>
      </c>
      <c r="W25" s="148">
        <v>10541</v>
      </c>
      <c r="X25" s="126">
        <f t="shared" si="1"/>
        <v>69989</v>
      </c>
    </row>
    <row r="26" spans="1:24" s="205" customFormat="1" x14ac:dyDescent="0.2">
      <c r="A26" s="472"/>
      <c r="B26" s="189" t="s">
        <v>685</v>
      </c>
      <c r="C26" s="468"/>
      <c r="D26" s="437"/>
      <c r="E26" s="486"/>
      <c r="F26" s="437"/>
      <c r="G26" s="128">
        <v>2.5000000000000001E-3</v>
      </c>
      <c r="H26" s="135">
        <v>200</v>
      </c>
      <c r="I26" s="135">
        <v>210</v>
      </c>
      <c r="J26" s="135">
        <v>210</v>
      </c>
      <c r="K26" s="135">
        <v>205</v>
      </c>
      <c r="L26" s="135">
        <v>200</v>
      </c>
      <c r="M26" s="135">
        <v>190</v>
      </c>
      <c r="N26" s="135">
        <v>175</v>
      </c>
      <c r="O26" s="135">
        <v>160</v>
      </c>
      <c r="P26" s="135">
        <v>145</v>
      </c>
      <c r="Q26" s="135">
        <v>130</v>
      </c>
      <c r="R26" s="135">
        <v>110</v>
      </c>
      <c r="S26" s="135">
        <v>95</v>
      </c>
      <c r="T26" s="135">
        <v>80</v>
      </c>
      <c r="U26" s="135">
        <v>65</v>
      </c>
      <c r="V26" s="135">
        <v>50</v>
      </c>
      <c r="W26" s="135">
        <f>45-5</f>
        <v>40</v>
      </c>
      <c r="X26" s="129">
        <f t="shared" si="1"/>
        <v>2265</v>
      </c>
    </row>
    <row r="27" spans="1:24" s="205" customFormat="1" ht="12.75" customHeight="1" x14ac:dyDescent="0.2">
      <c r="A27" s="434">
        <v>11</v>
      </c>
      <c r="B27" s="188" t="s">
        <v>655</v>
      </c>
      <c r="C27" s="467" t="s">
        <v>686</v>
      </c>
      <c r="D27" s="467">
        <v>637</v>
      </c>
      <c r="E27" s="469">
        <v>212555.77</v>
      </c>
      <c r="F27" s="447" t="s">
        <v>687</v>
      </c>
      <c r="G27" s="215" t="s">
        <v>658</v>
      </c>
      <c r="H27" s="144">
        <v>750</v>
      </c>
      <c r="I27" s="144">
        <v>1000</v>
      </c>
      <c r="J27" s="144">
        <v>1000</v>
      </c>
      <c r="K27" s="144">
        <v>2000</v>
      </c>
      <c r="L27" s="144">
        <v>2000</v>
      </c>
      <c r="M27" s="144">
        <v>2000</v>
      </c>
      <c r="N27" s="144">
        <v>5000</v>
      </c>
      <c r="O27" s="144">
        <v>19920</v>
      </c>
      <c r="P27" s="144">
        <v>19920</v>
      </c>
      <c r="Q27" s="144">
        <v>19920</v>
      </c>
      <c r="R27" s="144">
        <v>19920</v>
      </c>
      <c r="S27" s="144">
        <v>19920</v>
      </c>
      <c r="T27" s="149">
        <v>19920</v>
      </c>
      <c r="U27" s="150">
        <v>19920</v>
      </c>
      <c r="V27" s="150">
        <v>19920</v>
      </c>
      <c r="W27" s="150">
        <v>39445.769999999997</v>
      </c>
      <c r="X27" s="126">
        <f t="shared" si="1"/>
        <v>212555.77</v>
      </c>
    </row>
    <row r="28" spans="1:24" s="205" customFormat="1" x14ac:dyDescent="0.2">
      <c r="A28" s="435"/>
      <c r="B28" s="189" t="s">
        <v>688</v>
      </c>
      <c r="C28" s="468"/>
      <c r="D28" s="468"/>
      <c r="E28" s="470"/>
      <c r="F28" s="437"/>
      <c r="G28" s="128">
        <v>2.5000000000000001E-3</v>
      </c>
      <c r="H28" s="145">
        <v>570</v>
      </c>
      <c r="I28" s="145">
        <v>645</v>
      </c>
      <c r="J28" s="145">
        <v>645</v>
      </c>
      <c r="K28" s="145">
        <v>640</v>
      </c>
      <c r="L28" s="145">
        <v>635</v>
      </c>
      <c r="M28" s="145">
        <v>630</v>
      </c>
      <c r="N28" s="145">
        <v>620</v>
      </c>
      <c r="O28" s="145">
        <v>595</v>
      </c>
      <c r="P28" s="145">
        <v>540</v>
      </c>
      <c r="Q28" s="145">
        <v>475</v>
      </c>
      <c r="R28" s="145">
        <v>415</v>
      </c>
      <c r="S28" s="145">
        <v>355</v>
      </c>
      <c r="T28" s="145">
        <v>295</v>
      </c>
      <c r="U28" s="147">
        <v>235</v>
      </c>
      <c r="V28" s="147">
        <v>175</v>
      </c>
      <c r="W28" s="147">
        <v>165</v>
      </c>
      <c r="X28" s="129">
        <f t="shared" si="1"/>
        <v>7635</v>
      </c>
    </row>
    <row r="29" spans="1:24" s="228" customFormat="1" ht="18" customHeight="1" x14ac:dyDescent="0.2">
      <c r="A29" s="471">
        <v>12</v>
      </c>
      <c r="B29" s="188" t="s">
        <v>655</v>
      </c>
      <c r="C29" s="467" t="s">
        <v>689</v>
      </c>
      <c r="D29" s="467">
        <v>638</v>
      </c>
      <c r="E29" s="469">
        <v>1496459</v>
      </c>
      <c r="F29" s="447" t="s">
        <v>690</v>
      </c>
      <c r="G29" s="215" t="s">
        <v>658</v>
      </c>
      <c r="H29" s="144">
        <v>750</v>
      </c>
      <c r="I29" s="144">
        <v>1000</v>
      </c>
      <c r="J29" s="144">
        <v>3000</v>
      </c>
      <c r="K29" s="144">
        <v>5000</v>
      </c>
      <c r="L29" s="144">
        <v>5000</v>
      </c>
      <c r="M29" s="144">
        <v>10000</v>
      </c>
      <c r="N29" s="144">
        <v>20000</v>
      </c>
      <c r="O29" s="144">
        <v>50000</v>
      </c>
      <c r="P29" s="144">
        <v>50000</v>
      </c>
      <c r="Q29" s="144">
        <v>50000</v>
      </c>
      <c r="R29" s="144">
        <v>69458</v>
      </c>
      <c r="S29" s="144">
        <v>75944</v>
      </c>
      <c r="T29" s="149">
        <v>75944</v>
      </c>
      <c r="U29" s="150">
        <f>75944</f>
        <v>75944</v>
      </c>
      <c r="V29" s="150">
        <v>75944</v>
      </c>
      <c r="W29" s="150">
        <v>928475</v>
      </c>
      <c r="X29" s="126">
        <f t="shared" si="1"/>
        <v>1496459</v>
      </c>
    </row>
    <row r="30" spans="1:24" s="228" customFormat="1" ht="18" customHeight="1" x14ac:dyDescent="0.2">
      <c r="A30" s="472"/>
      <c r="B30" s="189" t="s">
        <v>691</v>
      </c>
      <c r="C30" s="468"/>
      <c r="D30" s="468"/>
      <c r="E30" s="470"/>
      <c r="F30" s="437"/>
      <c r="G30" s="128">
        <v>2.5000000000000001E-3</v>
      </c>
      <c r="H30" s="145">
        <v>3995</v>
      </c>
      <c r="I30" s="145">
        <v>4550</v>
      </c>
      <c r="J30" s="145">
        <v>4545</v>
      </c>
      <c r="K30" s="145">
        <v>4535</v>
      </c>
      <c r="L30" s="145">
        <v>4535</v>
      </c>
      <c r="M30" s="145">
        <v>4505</v>
      </c>
      <c r="N30" s="145">
        <v>4470</v>
      </c>
      <c r="O30" s="145">
        <v>4390</v>
      </c>
      <c r="P30" s="145">
        <v>4255</v>
      </c>
      <c r="Q30" s="145">
        <v>4090</v>
      </c>
      <c r="R30" s="145">
        <v>3930</v>
      </c>
      <c r="S30" s="145">
        <v>3715</v>
      </c>
      <c r="T30" s="145">
        <v>3495</v>
      </c>
      <c r="U30" s="147">
        <v>3255</v>
      </c>
      <c r="V30" s="147">
        <v>3020</v>
      </c>
      <c r="W30" s="147">
        <v>18270</v>
      </c>
      <c r="X30" s="129">
        <f t="shared" si="1"/>
        <v>79555</v>
      </c>
    </row>
    <row r="31" spans="1:24" s="228" customFormat="1" x14ac:dyDescent="0.2">
      <c r="A31" s="459">
        <v>13</v>
      </c>
      <c r="B31" s="188" t="s">
        <v>655</v>
      </c>
      <c r="C31" s="467" t="s">
        <v>692</v>
      </c>
      <c r="D31" s="467">
        <v>639</v>
      </c>
      <c r="E31" s="469">
        <v>520249</v>
      </c>
      <c r="F31" s="447" t="s">
        <v>693</v>
      </c>
      <c r="G31" s="215" t="s">
        <v>658</v>
      </c>
      <c r="H31" s="144">
        <v>300</v>
      </c>
      <c r="I31" s="144">
        <v>1000</v>
      </c>
      <c r="J31" s="144">
        <v>2000</v>
      </c>
      <c r="K31" s="144">
        <v>2000</v>
      </c>
      <c r="L31" s="144">
        <v>5000</v>
      </c>
      <c r="M31" s="144">
        <v>5000</v>
      </c>
      <c r="N31" s="144">
        <v>10000</v>
      </c>
      <c r="O31" s="144">
        <v>45000</v>
      </c>
      <c r="P31" s="144">
        <v>45000</v>
      </c>
      <c r="Q31" s="144">
        <v>45000</v>
      </c>
      <c r="R31" s="144">
        <v>45000</v>
      </c>
      <c r="S31" s="144">
        <v>45000</v>
      </c>
      <c r="T31" s="149">
        <v>45000</v>
      </c>
      <c r="U31" s="150">
        <v>45000</v>
      </c>
      <c r="V31" s="150">
        <v>45000</v>
      </c>
      <c r="W31" s="150">
        <v>134949</v>
      </c>
      <c r="X31" s="126">
        <f t="shared" si="1"/>
        <v>520249</v>
      </c>
    </row>
    <row r="32" spans="1:24" s="228" customFormat="1" x14ac:dyDescent="0.2">
      <c r="A32" s="460"/>
      <c r="B32" s="189" t="s">
        <v>694</v>
      </c>
      <c r="C32" s="468"/>
      <c r="D32" s="468"/>
      <c r="E32" s="470"/>
      <c r="F32" s="437"/>
      <c r="G32" s="128">
        <v>2.5000000000000001E-3</v>
      </c>
      <c r="H32" s="145">
        <v>1390</v>
      </c>
      <c r="I32" s="145">
        <v>1585</v>
      </c>
      <c r="J32" s="145">
        <v>1580</v>
      </c>
      <c r="K32" s="145">
        <v>1575</v>
      </c>
      <c r="L32" s="145">
        <v>1570</v>
      </c>
      <c r="M32" s="145">
        <v>1550</v>
      </c>
      <c r="N32" s="145">
        <v>1535</v>
      </c>
      <c r="O32" s="145">
        <v>1480</v>
      </c>
      <c r="P32" s="145">
        <v>1355</v>
      </c>
      <c r="Q32" s="145">
        <v>1215</v>
      </c>
      <c r="R32" s="145">
        <v>1075</v>
      </c>
      <c r="S32" s="145">
        <v>940</v>
      </c>
      <c r="T32" s="145">
        <v>805</v>
      </c>
      <c r="U32" s="147">
        <v>665</v>
      </c>
      <c r="V32" s="147">
        <v>530</v>
      </c>
      <c r="W32" s="147">
        <f>750-5</f>
        <v>745</v>
      </c>
      <c r="X32" s="129">
        <f t="shared" si="1"/>
        <v>19595</v>
      </c>
    </row>
    <row r="33" spans="1:24" s="205" customFormat="1" x14ac:dyDescent="0.2">
      <c r="A33" s="471">
        <v>14</v>
      </c>
      <c r="B33" s="188" t="s">
        <v>655</v>
      </c>
      <c r="C33" s="467" t="s">
        <v>695</v>
      </c>
      <c r="D33" s="467">
        <v>640</v>
      </c>
      <c r="E33" s="469">
        <f>409900-0.21</f>
        <v>409899.79</v>
      </c>
      <c r="F33" s="447" t="s">
        <v>696</v>
      </c>
      <c r="G33" s="215" t="s">
        <v>658</v>
      </c>
      <c r="H33" s="144">
        <v>300</v>
      </c>
      <c r="I33" s="144">
        <v>1000</v>
      </c>
      <c r="J33" s="144">
        <v>2000</v>
      </c>
      <c r="K33" s="144">
        <v>2000</v>
      </c>
      <c r="L33" s="144">
        <v>5000</v>
      </c>
      <c r="M33" s="144">
        <v>5000</v>
      </c>
      <c r="N33" s="144">
        <v>10000</v>
      </c>
      <c r="O33" s="144">
        <v>34964</v>
      </c>
      <c r="P33" s="144">
        <v>34964</v>
      </c>
      <c r="Q33" s="144">
        <v>34964</v>
      </c>
      <c r="R33" s="144">
        <v>34964</v>
      </c>
      <c r="S33" s="144">
        <v>34964</v>
      </c>
      <c r="T33" s="149">
        <v>34964</v>
      </c>
      <c r="U33" s="150">
        <v>34964</v>
      </c>
      <c r="V33" s="150">
        <v>34964</v>
      </c>
      <c r="W33" s="150">
        <f>104888-0.21</f>
        <v>104887.79</v>
      </c>
      <c r="X33" s="126">
        <f t="shared" si="1"/>
        <v>409899.79</v>
      </c>
    </row>
    <row r="34" spans="1:24" s="205" customFormat="1" x14ac:dyDescent="0.2">
      <c r="A34" s="472"/>
      <c r="B34" s="189" t="s">
        <v>697</v>
      </c>
      <c r="C34" s="468"/>
      <c r="D34" s="468"/>
      <c r="E34" s="470"/>
      <c r="F34" s="437"/>
      <c r="G34" s="128">
        <v>2.5000000000000001E-3</v>
      </c>
      <c r="H34" s="145">
        <v>1045</v>
      </c>
      <c r="I34" s="145">
        <v>1250</v>
      </c>
      <c r="J34" s="145">
        <v>1245</v>
      </c>
      <c r="K34" s="145">
        <v>1240</v>
      </c>
      <c r="L34" s="145">
        <v>1235</v>
      </c>
      <c r="M34" s="145">
        <v>1215</v>
      </c>
      <c r="N34" s="145">
        <v>1195</v>
      </c>
      <c r="O34" s="145">
        <v>1150</v>
      </c>
      <c r="P34" s="145">
        <v>1055</v>
      </c>
      <c r="Q34" s="145">
        <v>945</v>
      </c>
      <c r="R34" s="145">
        <v>835</v>
      </c>
      <c r="S34" s="145">
        <v>730</v>
      </c>
      <c r="T34" s="145">
        <v>625</v>
      </c>
      <c r="U34" s="147">
        <v>520</v>
      </c>
      <c r="V34" s="147">
        <v>410</v>
      </c>
      <c r="W34" s="147">
        <f>600-5</f>
        <v>595</v>
      </c>
      <c r="X34" s="129">
        <f t="shared" si="1"/>
        <v>15290</v>
      </c>
    </row>
    <row r="35" spans="1:24" s="205" customFormat="1" ht="17.25" customHeight="1" x14ac:dyDescent="0.2">
      <c r="A35" s="459">
        <v>15</v>
      </c>
      <c r="B35" s="188" t="s">
        <v>655</v>
      </c>
      <c r="C35" s="493" t="s">
        <v>698</v>
      </c>
      <c r="D35" s="467">
        <v>641</v>
      </c>
      <c r="E35" s="469">
        <f>157928-30001.8</f>
        <v>127926.2</v>
      </c>
      <c r="F35" s="447" t="s">
        <v>699</v>
      </c>
      <c r="G35" s="215" t="s">
        <v>658</v>
      </c>
      <c r="H35" s="148">
        <v>38592</v>
      </c>
      <c r="I35" s="148">
        <v>38592</v>
      </c>
      <c r="J35" s="134">
        <v>38592.199999999997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229"/>
      <c r="V35" s="229"/>
      <c r="W35" s="229"/>
      <c r="X35" s="126">
        <f t="shared" si="1"/>
        <v>115776.2</v>
      </c>
    </row>
    <row r="36" spans="1:24" s="205" customFormat="1" ht="17.25" customHeight="1" x14ac:dyDescent="0.2">
      <c r="A36" s="460"/>
      <c r="B36" s="189" t="s">
        <v>700</v>
      </c>
      <c r="C36" s="494"/>
      <c r="D36" s="468"/>
      <c r="E36" s="470"/>
      <c r="F36" s="437"/>
      <c r="G36" s="128">
        <v>2.5000000000000001E-3</v>
      </c>
      <c r="H36" s="135">
        <v>280</v>
      </c>
      <c r="I36" s="135">
        <v>220</v>
      </c>
      <c r="J36" s="135">
        <f>100+10</f>
        <v>110</v>
      </c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224"/>
      <c r="V36" s="224"/>
      <c r="W36" s="224"/>
      <c r="X36" s="129">
        <f t="shared" si="1"/>
        <v>610</v>
      </c>
    </row>
    <row r="37" spans="1:24" s="205" customFormat="1" x14ac:dyDescent="0.2">
      <c r="A37" s="471">
        <v>16</v>
      </c>
      <c r="B37" s="188" t="s">
        <v>655</v>
      </c>
      <c r="C37" s="493" t="s">
        <v>701</v>
      </c>
      <c r="D37" s="467">
        <v>642</v>
      </c>
      <c r="E37" s="469">
        <f>231313-0.12</f>
        <v>231312.88</v>
      </c>
      <c r="F37" s="447" t="s">
        <v>702</v>
      </c>
      <c r="G37" s="215" t="s">
        <v>658</v>
      </c>
      <c r="H37" s="148">
        <v>0</v>
      </c>
      <c r="I37" s="148">
        <v>6000</v>
      </c>
      <c r="J37" s="148">
        <v>6000</v>
      </c>
      <c r="K37" s="148">
        <v>14620</v>
      </c>
      <c r="L37" s="148">
        <v>14620</v>
      </c>
      <c r="M37" s="148">
        <v>14620</v>
      </c>
      <c r="N37" s="148">
        <v>14620</v>
      </c>
      <c r="O37" s="216">
        <v>14620</v>
      </c>
      <c r="P37" s="148">
        <v>14620</v>
      </c>
      <c r="Q37" s="148">
        <v>14620</v>
      </c>
      <c r="R37" s="148">
        <v>14620</v>
      </c>
      <c r="S37" s="148">
        <v>14620</v>
      </c>
      <c r="T37" s="148">
        <v>14620</v>
      </c>
      <c r="U37" s="148">
        <f>14620</f>
        <v>14620</v>
      </c>
      <c r="V37" s="148">
        <v>14620</v>
      </c>
      <c r="W37" s="134">
        <f>43873-0.12</f>
        <v>43872.88</v>
      </c>
      <c r="X37" s="126">
        <f t="shared" si="1"/>
        <v>231312.88</v>
      </c>
    </row>
    <row r="38" spans="1:24" s="205" customFormat="1" ht="15" customHeight="1" x14ac:dyDescent="0.2">
      <c r="A38" s="472"/>
      <c r="B38" s="189" t="s">
        <v>703</v>
      </c>
      <c r="C38" s="494"/>
      <c r="D38" s="468"/>
      <c r="E38" s="470"/>
      <c r="F38" s="437"/>
      <c r="G38" s="128">
        <v>2.5000000000000001E-3</v>
      </c>
      <c r="H38" s="357">
        <f>680-90</f>
        <v>590</v>
      </c>
      <c r="I38" s="357">
        <v>700</v>
      </c>
      <c r="J38" s="135">
        <v>685</v>
      </c>
      <c r="K38" s="135">
        <v>660</v>
      </c>
      <c r="L38" s="135">
        <v>620</v>
      </c>
      <c r="M38" s="135">
        <v>575</v>
      </c>
      <c r="N38" s="135">
        <v>530</v>
      </c>
      <c r="O38" s="218">
        <v>485</v>
      </c>
      <c r="P38" s="135">
        <v>440</v>
      </c>
      <c r="Q38" s="135">
        <v>395</v>
      </c>
      <c r="R38" s="135">
        <v>350</v>
      </c>
      <c r="S38" s="135">
        <v>305</v>
      </c>
      <c r="T38" s="135">
        <v>265</v>
      </c>
      <c r="U38" s="135">
        <v>220</v>
      </c>
      <c r="V38" s="135">
        <v>175</v>
      </c>
      <c r="W38" s="135">
        <v>250</v>
      </c>
      <c r="X38" s="129">
        <f t="shared" si="1"/>
        <v>7245</v>
      </c>
    </row>
    <row r="39" spans="1:24" s="205" customFormat="1" ht="15.75" customHeight="1" x14ac:dyDescent="0.2">
      <c r="A39" s="459">
        <v>17</v>
      </c>
      <c r="B39" s="188" t="s">
        <v>655</v>
      </c>
      <c r="C39" s="493" t="s">
        <v>704</v>
      </c>
      <c r="D39" s="467">
        <v>643</v>
      </c>
      <c r="E39" s="469">
        <f>65353+64222+85311-80000-1794.36</f>
        <v>133091.64000000001</v>
      </c>
      <c r="F39" s="447" t="s">
        <v>705</v>
      </c>
      <c r="G39" s="215" t="s">
        <v>658</v>
      </c>
      <c r="H39" s="341">
        <f>29319.12+12565.33</f>
        <v>41884.449999999997</v>
      </c>
      <c r="I39" s="230">
        <v>500.19</v>
      </c>
      <c r="J39" s="216">
        <v>1000</v>
      </c>
      <c r="K39" s="216">
        <v>2000</v>
      </c>
      <c r="L39" s="216">
        <v>21928</v>
      </c>
      <c r="M39" s="216">
        <v>21928</v>
      </c>
      <c r="N39" s="216">
        <v>21928</v>
      </c>
      <c r="O39" s="230">
        <v>21923</v>
      </c>
      <c r="P39" s="148"/>
      <c r="Q39" s="148"/>
      <c r="R39" s="148"/>
      <c r="S39" s="148"/>
      <c r="T39" s="148"/>
      <c r="U39" s="229"/>
      <c r="V39" s="229"/>
      <c r="W39" s="229"/>
      <c r="X39" s="126">
        <f t="shared" ref="X39:X70" si="2">SUM(H39:W39)</f>
        <v>133091.64000000001</v>
      </c>
    </row>
    <row r="40" spans="1:24" s="205" customFormat="1" ht="15.75" customHeight="1" x14ac:dyDescent="0.2">
      <c r="A40" s="460"/>
      <c r="B40" s="189" t="s">
        <v>706</v>
      </c>
      <c r="C40" s="494"/>
      <c r="D40" s="468"/>
      <c r="E40" s="470"/>
      <c r="F40" s="437"/>
      <c r="G40" s="128">
        <v>2.5000000000000001E-3</v>
      </c>
      <c r="H40" s="353">
        <f>325-60</f>
        <v>265</v>
      </c>
      <c r="I40" s="218">
        <v>280</v>
      </c>
      <c r="J40" s="218">
        <v>280</v>
      </c>
      <c r="K40" s="218">
        <v>275</v>
      </c>
      <c r="L40" s="218">
        <v>255</v>
      </c>
      <c r="M40" s="218">
        <v>190</v>
      </c>
      <c r="N40" s="218">
        <v>125</v>
      </c>
      <c r="O40" s="218">
        <v>60</v>
      </c>
      <c r="P40" s="135"/>
      <c r="Q40" s="135"/>
      <c r="R40" s="135"/>
      <c r="S40" s="135"/>
      <c r="T40" s="135"/>
      <c r="U40" s="224"/>
      <c r="V40" s="224"/>
      <c r="W40" s="224"/>
      <c r="X40" s="129">
        <f t="shared" si="2"/>
        <v>1730</v>
      </c>
    </row>
    <row r="41" spans="1:24" s="205" customFormat="1" x14ac:dyDescent="0.2">
      <c r="A41" s="471">
        <v>18</v>
      </c>
      <c r="B41" s="188" t="s">
        <v>655</v>
      </c>
      <c r="C41" s="467" t="s">
        <v>707</v>
      </c>
      <c r="D41" s="467">
        <v>644</v>
      </c>
      <c r="E41" s="469">
        <f>1188567-257831-28891.82</f>
        <v>901844.18</v>
      </c>
      <c r="F41" s="447" t="s">
        <v>708</v>
      </c>
      <c r="G41" s="215" t="s">
        <v>658</v>
      </c>
      <c r="H41" s="341">
        <v>84667.68</v>
      </c>
      <c r="I41" s="230">
        <v>374.5</v>
      </c>
      <c r="J41" s="216">
        <v>1000</v>
      </c>
      <c r="K41" s="216">
        <v>2000</v>
      </c>
      <c r="L41" s="216">
        <v>6000</v>
      </c>
      <c r="M41" s="216">
        <v>10000</v>
      </c>
      <c r="N41" s="216">
        <v>16000</v>
      </c>
      <c r="O41" s="217">
        <v>36800</v>
      </c>
      <c r="P41" s="217">
        <v>36800</v>
      </c>
      <c r="Q41" s="217">
        <v>36800</v>
      </c>
      <c r="R41" s="217">
        <v>36800</v>
      </c>
      <c r="S41" s="217">
        <v>36800</v>
      </c>
      <c r="T41" s="217">
        <v>36800</v>
      </c>
      <c r="U41" s="217">
        <v>36800</v>
      </c>
      <c r="V41" s="217">
        <v>36800</v>
      </c>
      <c r="W41" s="217">
        <v>487402</v>
      </c>
      <c r="X41" s="126">
        <f t="shared" si="2"/>
        <v>901844.17999999993</v>
      </c>
    </row>
    <row r="42" spans="1:24" s="205" customFormat="1" x14ac:dyDescent="0.2">
      <c r="A42" s="472"/>
      <c r="B42" s="127" t="s">
        <v>709</v>
      </c>
      <c r="C42" s="468"/>
      <c r="D42" s="468"/>
      <c r="E42" s="470"/>
      <c r="F42" s="437"/>
      <c r="G42" s="128">
        <v>2.5000000000000001E-3</v>
      </c>
      <c r="H42" s="218">
        <v>2140</v>
      </c>
      <c r="I42" s="218">
        <v>2280</v>
      </c>
      <c r="J42" s="218">
        <v>2485</v>
      </c>
      <c r="K42" s="218">
        <v>2485</v>
      </c>
      <c r="L42" s="218">
        <v>2480</v>
      </c>
      <c r="M42" s="218">
        <v>2455</v>
      </c>
      <c r="N42" s="218">
        <v>2420</v>
      </c>
      <c r="O42" s="218">
        <v>2360</v>
      </c>
      <c r="P42" s="218">
        <v>2260</v>
      </c>
      <c r="Q42" s="218">
        <v>2140</v>
      </c>
      <c r="R42" s="218">
        <v>2025</v>
      </c>
      <c r="S42" s="218">
        <v>1915</v>
      </c>
      <c r="T42" s="218">
        <v>1810</v>
      </c>
      <c r="U42" s="218">
        <v>1690</v>
      </c>
      <c r="V42" s="219">
        <v>1580</v>
      </c>
      <c r="W42" s="219">
        <v>10345</v>
      </c>
      <c r="X42" s="129">
        <f t="shared" si="2"/>
        <v>42870</v>
      </c>
    </row>
    <row r="43" spans="1:24" s="205" customFormat="1" x14ac:dyDescent="0.2">
      <c r="A43" s="459">
        <v>19</v>
      </c>
      <c r="B43" s="188" t="s">
        <v>655</v>
      </c>
      <c r="C43" s="467" t="s">
        <v>710</v>
      </c>
      <c r="D43" s="467">
        <v>645</v>
      </c>
      <c r="E43" s="469">
        <v>785535</v>
      </c>
      <c r="F43" s="447" t="s">
        <v>711</v>
      </c>
      <c r="G43" s="215" t="s">
        <v>658</v>
      </c>
      <c r="H43" s="216"/>
      <c r="I43" s="216">
        <v>375</v>
      </c>
      <c r="J43" s="216">
        <v>2000</v>
      </c>
      <c r="K43" s="216">
        <v>4000</v>
      </c>
      <c r="L43" s="216">
        <v>6000</v>
      </c>
      <c r="M43" s="216">
        <v>10000</v>
      </c>
      <c r="N43" s="216">
        <v>20000</v>
      </c>
      <c r="O43" s="216">
        <v>66200</v>
      </c>
      <c r="P43" s="216">
        <v>66200</v>
      </c>
      <c r="Q43" s="216">
        <v>66200</v>
      </c>
      <c r="R43" s="216">
        <v>66200</v>
      </c>
      <c r="S43" s="216">
        <v>66200</v>
      </c>
      <c r="T43" s="216">
        <v>66200</v>
      </c>
      <c r="U43" s="216">
        <v>66200</v>
      </c>
      <c r="V43" s="217">
        <v>66200</v>
      </c>
      <c r="W43" s="217">
        <v>213560</v>
      </c>
      <c r="X43" s="126">
        <f t="shared" si="2"/>
        <v>785535</v>
      </c>
    </row>
    <row r="44" spans="1:24" s="205" customFormat="1" x14ac:dyDescent="0.2">
      <c r="A44" s="460"/>
      <c r="B44" s="127" t="s">
        <v>712</v>
      </c>
      <c r="C44" s="468"/>
      <c r="D44" s="468"/>
      <c r="E44" s="470"/>
      <c r="F44" s="437"/>
      <c r="G44" s="128">
        <v>2.5000000000000001E-3</v>
      </c>
      <c r="H44" s="218">
        <v>2100</v>
      </c>
      <c r="I44" s="218">
        <v>2390</v>
      </c>
      <c r="J44" s="218">
        <v>2390</v>
      </c>
      <c r="K44" s="218">
        <v>2380</v>
      </c>
      <c r="L44" s="218">
        <v>2375</v>
      </c>
      <c r="M44" s="218">
        <v>2350</v>
      </c>
      <c r="N44" s="218">
        <v>2315</v>
      </c>
      <c r="O44" s="218">
        <v>2225</v>
      </c>
      <c r="P44" s="218">
        <v>2035</v>
      </c>
      <c r="Q44" s="218">
        <v>1830</v>
      </c>
      <c r="R44" s="218">
        <v>1630</v>
      </c>
      <c r="S44" s="218">
        <v>1425</v>
      </c>
      <c r="T44" s="218">
        <v>1230</v>
      </c>
      <c r="U44" s="218">
        <v>1025</v>
      </c>
      <c r="V44" s="219">
        <v>820</v>
      </c>
      <c r="W44" s="219">
        <v>1290</v>
      </c>
      <c r="X44" s="129">
        <f t="shared" si="2"/>
        <v>29810</v>
      </c>
    </row>
    <row r="45" spans="1:24" s="205" customFormat="1" ht="22.5" customHeight="1" x14ac:dyDescent="0.2">
      <c r="A45" s="471">
        <v>20</v>
      </c>
      <c r="B45" s="190" t="s">
        <v>655</v>
      </c>
      <c r="C45" s="489" t="s">
        <v>713</v>
      </c>
      <c r="D45" s="489">
        <v>646</v>
      </c>
      <c r="E45" s="491">
        <f>2223157+31089</f>
        <v>2254246</v>
      </c>
      <c r="F45" s="493" t="s">
        <v>714</v>
      </c>
      <c r="G45" s="215" t="s">
        <v>658</v>
      </c>
      <c r="H45" s="216"/>
      <c r="I45" s="216">
        <v>1500</v>
      </c>
      <c r="J45" s="216">
        <v>4000</v>
      </c>
      <c r="K45" s="216">
        <v>6000</v>
      </c>
      <c r="L45" s="216">
        <v>10000</v>
      </c>
      <c r="M45" s="216">
        <v>20000</v>
      </c>
      <c r="N45" s="216">
        <v>40000</v>
      </c>
      <c r="O45" s="216">
        <v>102248</v>
      </c>
      <c r="P45" s="216">
        <v>102248</v>
      </c>
      <c r="Q45" s="216">
        <v>102248</v>
      </c>
      <c r="R45" s="216">
        <v>102248</v>
      </c>
      <c r="S45" s="216">
        <v>102248</v>
      </c>
      <c r="T45" s="216">
        <v>102248</v>
      </c>
      <c r="U45" s="216">
        <v>102248</v>
      </c>
      <c r="V45" s="217">
        <v>102248</v>
      </c>
      <c r="W45" s="217">
        <v>1354762</v>
      </c>
      <c r="X45" s="126">
        <f t="shared" si="2"/>
        <v>2254246</v>
      </c>
    </row>
    <row r="46" spans="1:24" s="205" customFormat="1" ht="21" customHeight="1" x14ac:dyDescent="0.2">
      <c r="A46" s="472"/>
      <c r="B46" s="127" t="s">
        <v>715</v>
      </c>
      <c r="C46" s="490"/>
      <c r="D46" s="490"/>
      <c r="E46" s="492"/>
      <c r="F46" s="494"/>
      <c r="G46" s="128">
        <v>2.5000000000000001E-3</v>
      </c>
      <c r="H46" s="218">
        <v>5525</v>
      </c>
      <c r="I46" s="218">
        <v>6860</v>
      </c>
      <c r="J46" s="218">
        <v>6850</v>
      </c>
      <c r="K46" s="218">
        <v>6840</v>
      </c>
      <c r="L46" s="218">
        <v>6840</v>
      </c>
      <c r="M46" s="218">
        <v>6785</v>
      </c>
      <c r="N46" s="218">
        <v>6710</v>
      </c>
      <c r="O46" s="218">
        <v>6555</v>
      </c>
      <c r="P46" s="218">
        <v>6270</v>
      </c>
      <c r="Q46" s="218">
        <v>5940</v>
      </c>
      <c r="R46" s="218">
        <v>5630</v>
      </c>
      <c r="S46" s="218">
        <v>5320</v>
      </c>
      <c r="T46" s="218">
        <v>5020</v>
      </c>
      <c r="U46" s="218">
        <v>4695</v>
      </c>
      <c r="V46" s="219">
        <v>4385</v>
      </c>
      <c r="W46" s="219">
        <v>28765</v>
      </c>
      <c r="X46" s="129">
        <f t="shared" si="2"/>
        <v>118990</v>
      </c>
    </row>
    <row r="47" spans="1:24" s="205" customFormat="1" ht="18" customHeight="1" x14ac:dyDescent="0.2">
      <c r="A47" s="434">
        <v>21</v>
      </c>
      <c r="B47" s="190" t="s">
        <v>655</v>
      </c>
      <c r="C47" s="489" t="s">
        <v>403</v>
      </c>
      <c r="D47" s="489">
        <v>647</v>
      </c>
      <c r="E47" s="495">
        <v>1632032</v>
      </c>
      <c r="F47" s="493" t="s">
        <v>714</v>
      </c>
      <c r="G47" s="215" t="s">
        <v>658</v>
      </c>
      <c r="H47" s="341">
        <v>28759.48</v>
      </c>
      <c r="I47" s="230">
        <v>375.82</v>
      </c>
      <c r="J47" s="216">
        <v>2000</v>
      </c>
      <c r="K47" s="216">
        <v>6000</v>
      </c>
      <c r="L47" s="216">
        <v>20000</v>
      </c>
      <c r="M47" s="216">
        <v>40000</v>
      </c>
      <c r="N47" s="216">
        <v>60000</v>
      </c>
      <c r="O47" s="216">
        <v>65168</v>
      </c>
      <c r="P47" s="216">
        <v>65168</v>
      </c>
      <c r="Q47" s="216">
        <v>65168</v>
      </c>
      <c r="R47" s="216">
        <v>65168</v>
      </c>
      <c r="S47" s="216">
        <v>65168</v>
      </c>
      <c r="T47" s="216">
        <v>65168</v>
      </c>
      <c r="U47" s="216">
        <v>65168</v>
      </c>
      <c r="V47" s="216">
        <v>65168</v>
      </c>
      <c r="W47" s="217">
        <v>863457</v>
      </c>
      <c r="X47" s="126">
        <f t="shared" si="2"/>
        <v>1541936.3</v>
      </c>
    </row>
    <row r="48" spans="1:24" s="205" customFormat="1" ht="15.75" customHeight="1" x14ac:dyDescent="0.2">
      <c r="A48" s="435"/>
      <c r="B48" s="127" t="s">
        <v>716</v>
      </c>
      <c r="C48" s="490"/>
      <c r="D48" s="490"/>
      <c r="E48" s="496"/>
      <c r="F48" s="494"/>
      <c r="G48" s="128">
        <v>2.5000000000000001E-3</v>
      </c>
      <c r="H48" s="218">
        <v>3780</v>
      </c>
      <c r="I48" s="218">
        <v>4605</v>
      </c>
      <c r="J48" s="218">
        <v>4605</v>
      </c>
      <c r="K48" s="218">
        <v>4595</v>
      </c>
      <c r="L48" s="218">
        <v>4580</v>
      </c>
      <c r="M48" s="218">
        <v>4495</v>
      </c>
      <c r="N48" s="218">
        <v>4365</v>
      </c>
      <c r="O48" s="218">
        <v>4185</v>
      </c>
      <c r="P48" s="218">
        <v>3995</v>
      </c>
      <c r="Q48" s="218">
        <v>3790</v>
      </c>
      <c r="R48" s="218">
        <v>3590</v>
      </c>
      <c r="S48" s="218">
        <v>3390</v>
      </c>
      <c r="T48" s="218">
        <v>3200</v>
      </c>
      <c r="U48" s="218">
        <v>2995</v>
      </c>
      <c r="V48" s="219">
        <v>2795</v>
      </c>
      <c r="W48" s="219">
        <v>18335</v>
      </c>
      <c r="X48" s="129">
        <f t="shared" si="2"/>
        <v>77300</v>
      </c>
    </row>
    <row r="49" spans="1:24" s="205" customFormat="1" ht="18.75" customHeight="1" x14ac:dyDescent="0.2">
      <c r="A49" s="471">
        <v>22</v>
      </c>
      <c r="B49" s="190" t="s">
        <v>655</v>
      </c>
      <c r="C49" s="467" t="s">
        <v>717</v>
      </c>
      <c r="D49" s="467">
        <v>649</v>
      </c>
      <c r="E49" s="473">
        <f>1181972+164205</f>
        <v>1346177</v>
      </c>
      <c r="F49" s="447" t="s">
        <v>718</v>
      </c>
      <c r="G49" s="215" t="s">
        <v>658</v>
      </c>
      <c r="H49" s="216"/>
      <c r="I49" s="216">
        <v>500</v>
      </c>
      <c r="J49" s="216">
        <v>2000</v>
      </c>
      <c r="K49" s="216">
        <v>6000</v>
      </c>
      <c r="L49" s="216">
        <v>10000</v>
      </c>
      <c r="M49" s="216">
        <v>20000</v>
      </c>
      <c r="N49" s="216">
        <v>40000</v>
      </c>
      <c r="O49" s="216">
        <v>51324</v>
      </c>
      <c r="P49" s="216">
        <v>59336</v>
      </c>
      <c r="Q49" s="216">
        <v>59336</v>
      </c>
      <c r="R49" s="216">
        <v>59336</v>
      </c>
      <c r="S49" s="216">
        <v>59336</v>
      </c>
      <c r="T49" s="216">
        <v>59336</v>
      </c>
      <c r="U49" s="216">
        <v>59336</v>
      </c>
      <c r="V49" s="217">
        <v>59336</v>
      </c>
      <c r="W49" s="217">
        <v>801001</v>
      </c>
      <c r="X49" s="126">
        <f t="shared" si="2"/>
        <v>1346177</v>
      </c>
    </row>
    <row r="50" spans="1:24" s="205" customFormat="1" ht="15" customHeight="1" x14ac:dyDescent="0.2">
      <c r="A50" s="472"/>
      <c r="B50" s="127" t="s">
        <v>719</v>
      </c>
      <c r="C50" s="468"/>
      <c r="D50" s="468"/>
      <c r="E50" s="474"/>
      <c r="F50" s="437"/>
      <c r="G50" s="128">
        <v>2.5000000000000001E-3</v>
      </c>
      <c r="H50" s="218">
        <v>3595</v>
      </c>
      <c r="I50" s="218">
        <v>4095</v>
      </c>
      <c r="J50" s="218">
        <v>4095</v>
      </c>
      <c r="K50" s="218">
        <v>4085</v>
      </c>
      <c r="L50" s="218">
        <v>4075</v>
      </c>
      <c r="M50" s="218">
        <v>4030</v>
      </c>
      <c r="N50" s="218">
        <v>3960</v>
      </c>
      <c r="O50" s="218">
        <v>3830</v>
      </c>
      <c r="P50" s="218">
        <v>3685</v>
      </c>
      <c r="Q50" s="218">
        <v>3495</v>
      </c>
      <c r="R50" s="218">
        <v>3315</v>
      </c>
      <c r="S50" s="218">
        <v>3135</v>
      </c>
      <c r="T50" s="218">
        <v>2960</v>
      </c>
      <c r="U50" s="218">
        <v>2770</v>
      </c>
      <c r="V50" s="219">
        <v>2590</v>
      </c>
      <c r="W50" s="219">
        <f>17315-5</f>
        <v>17310</v>
      </c>
      <c r="X50" s="129">
        <f t="shared" si="2"/>
        <v>71025</v>
      </c>
    </row>
    <row r="51" spans="1:24" s="205" customFormat="1" x14ac:dyDescent="0.2">
      <c r="A51" s="459">
        <v>23</v>
      </c>
      <c r="B51" s="190" t="s">
        <v>655</v>
      </c>
      <c r="C51" s="467" t="s">
        <v>720</v>
      </c>
      <c r="D51" s="467">
        <v>650</v>
      </c>
      <c r="E51" s="469">
        <f>1108154-97425</f>
        <v>1010729</v>
      </c>
      <c r="F51" s="447" t="s">
        <v>721</v>
      </c>
      <c r="G51" s="215" t="s">
        <v>658</v>
      </c>
      <c r="H51" s="341">
        <v>35241.58</v>
      </c>
      <c r="I51" s="230">
        <v>750.42</v>
      </c>
      <c r="J51" s="216">
        <v>2000</v>
      </c>
      <c r="K51" s="216">
        <v>4000</v>
      </c>
      <c r="L51" s="216">
        <v>10000</v>
      </c>
      <c r="M51" s="216">
        <v>20000</v>
      </c>
      <c r="N51" s="216">
        <v>28000</v>
      </c>
      <c r="O51" s="216">
        <v>42860</v>
      </c>
      <c r="P51" s="216">
        <v>42860</v>
      </c>
      <c r="Q51" s="216">
        <v>42860</v>
      </c>
      <c r="R51" s="216">
        <v>42860</v>
      </c>
      <c r="S51" s="216">
        <v>42860</v>
      </c>
      <c r="T51" s="216">
        <v>42860</v>
      </c>
      <c r="U51" s="216">
        <v>42860</v>
      </c>
      <c r="V51" s="216">
        <v>42860</v>
      </c>
      <c r="W51" s="217">
        <v>567857</v>
      </c>
      <c r="X51" s="126">
        <f t="shared" si="2"/>
        <v>1010729</v>
      </c>
    </row>
    <row r="52" spans="1:24" s="205" customFormat="1" x14ac:dyDescent="0.2">
      <c r="A52" s="460"/>
      <c r="B52" s="127" t="s">
        <v>722</v>
      </c>
      <c r="C52" s="468"/>
      <c r="D52" s="468"/>
      <c r="E52" s="470"/>
      <c r="F52" s="437"/>
      <c r="G52" s="128">
        <v>2.5000000000000001E-3</v>
      </c>
      <c r="H52" s="218">
        <v>2435</v>
      </c>
      <c r="I52" s="218">
        <v>2970</v>
      </c>
      <c r="J52" s="218">
        <v>2965</v>
      </c>
      <c r="K52" s="218">
        <v>2960</v>
      </c>
      <c r="L52" s="218">
        <v>2950</v>
      </c>
      <c r="M52" s="218">
        <v>2910</v>
      </c>
      <c r="N52" s="218">
        <v>2845</v>
      </c>
      <c r="O52" s="218">
        <v>2750</v>
      </c>
      <c r="P52" s="218">
        <v>2630</v>
      </c>
      <c r="Q52" s="218">
        <v>2490</v>
      </c>
      <c r="R52" s="218">
        <v>2360</v>
      </c>
      <c r="S52" s="218">
        <v>2230</v>
      </c>
      <c r="T52" s="218">
        <v>2105</v>
      </c>
      <c r="U52" s="218">
        <v>1970</v>
      </c>
      <c r="V52" s="219">
        <v>1840</v>
      </c>
      <c r="W52" s="219">
        <v>12060</v>
      </c>
      <c r="X52" s="129">
        <f t="shared" si="2"/>
        <v>50470</v>
      </c>
    </row>
    <row r="53" spans="1:24" s="205" customFormat="1" ht="12.75" customHeight="1" x14ac:dyDescent="0.2">
      <c r="A53" s="471">
        <v>24</v>
      </c>
      <c r="B53" s="190" t="s">
        <v>655</v>
      </c>
      <c r="C53" s="467" t="s">
        <v>723</v>
      </c>
      <c r="D53" s="467">
        <v>651</v>
      </c>
      <c r="E53" s="469">
        <f>225000-4003.53</f>
        <v>220996.47</v>
      </c>
      <c r="F53" s="447" t="s">
        <v>724</v>
      </c>
      <c r="G53" s="215" t="s">
        <v>658</v>
      </c>
      <c r="H53" s="216"/>
      <c r="I53" s="216">
        <v>375</v>
      </c>
      <c r="J53" s="216">
        <v>2000</v>
      </c>
      <c r="K53" s="216">
        <v>4000</v>
      </c>
      <c r="L53" s="216">
        <v>6000</v>
      </c>
      <c r="M53" s="216">
        <v>8000</v>
      </c>
      <c r="N53" s="216">
        <v>16380</v>
      </c>
      <c r="O53" s="216">
        <v>16380</v>
      </c>
      <c r="P53" s="216">
        <v>16380</v>
      </c>
      <c r="Q53" s="216">
        <v>16380</v>
      </c>
      <c r="R53" s="216">
        <v>16380</v>
      </c>
      <c r="S53" s="216">
        <v>16380</v>
      </c>
      <c r="T53" s="216">
        <v>16380</v>
      </c>
      <c r="U53" s="216">
        <v>16380</v>
      </c>
      <c r="V53" s="217">
        <v>16380</v>
      </c>
      <c r="W53" s="217">
        <v>53201.47</v>
      </c>
      <c r="X53" s="126">
        <f t="shared" si="2"/>
        <v>220996.47</v>
      </c>
    </row>
    <row r="54" spans="1:24" s="205" customFormat="1" x14ac:dyDescent="0.2">
      <c r="A54" s="472"/>
      <c r="B54" s="231" t="s">
        <v>725</v>
      </c>
      <c r="C54" s="478"/>
      <c r="D54" s="478"/>
      <c r="E54" s="479"/>
      <c r="F54" s="480"/>
      <c r="G54" s="232">
        <v>2.5000000000000001E-3</v>
      </c>
      <c r="H54" s="233">
        <v>590</v>
      </c>
      <c r="I54" s="233">
        <v>675</v>
      </c>
      <c r="J54" s="233">
        <v>670</v>
      </c>
      <c r="K54" s="233">
        <v>665</v>
      </c>
      <c r="L54" s="233">
        <v>655</v>
      </c>
      <c r="M54" s="233">
        <v>635</v>
      </c>
      <c r="N54" s="233">
        <v>605</v>
      </c>
      <c r="O54" s="233">
        <v>555</v>
      </c>
      <c r="P54" s="233">
        <v>505</v>
      </c>
      <c r="Q54" s="233">
        <v>455</v>
      </c>
      <c r="R54" s="233">
        <v>405</v>
      </c>
      <c r="S54" s="233">
        <v>355</v>
      </c>
      <c r="T54" s="233">
        <v>305</v>
      </c>
      <c r="U54" s="233">
        <v>255</v>
      </c>
      <c r="V54" s="234">
        <v>205</v>
      </c>
      <c r="W54" s="234">
        <f>325-5</f>
        <v>320</v>
      </c>
      <c r="X54" s="235">
        <f t="shared" si="2"/>
        <v>7855</v>
      </c>
    </row>
    <row r="55" spans="1:24" s="151" customFormat="1" ht="12.75" customHeight="1" x14ac:dyDescent="0.2">
      <c r="A55" s="481">
        <v>25</v>
      </c>
      <c r="B55" s="236" t="s">
        <v>655</v>
      </c>
      <c r="C55" s="483" t="s">
        <v>726</v>
      </c>
      <c r="D55" s="483">
        <v>652</v>
      </c>
      <c r="E55" s="485">
        <f>888438-1.11</f>
        <v>888436.89</v>
      </c>
      <c r="F55" s="487" t="s">
        <v>727</v>
      </c>
      <c r="G55" s="237" t="s">
        <v>658</v>
      </c>
      <c r="H55" s="238"/>
      <c r="I55" s="238">
        <v>500</v>
      </c>
      <c r="J55" s="238">
        <v>2500</v>
      </c>
      <c r="K55" s="238">
        <v>6000</v>
      </c>
      <c r="L55" s="238">
        <v>10000</v>
      </c>
      <c r="M55" s="238">
        <v>20000</v>
      </c>
      <c r="N55" s="238">
        <v>40000</v>
      </c>
      <c r="O55" s="238">
        <v>70384</v>
      </c>
      <c r="P55" s="238">
        <v>70384</v>
      </c>
      <c r="Q55" s="238">
        <v>70384</v>
      </c>
      <c r="R55" s="238">
        <v>70384</v>
      </c>
      <c r="S55" s="238">
        <v>70384</v>
      </c>
      <c r="T55" s="238">
        <v>70384</v>
      </c>
      <c r="U55" s="238">
        <v>70384</v>
      </c>
      <c r="V55" s="238">
        <v>70384</v>
      </c>
      <c r="W55" s="239">
        <f>246366-1.11</f>
        <v>246364.89</v>
      </c>
      <c r="X55" s="240">
        <f t="shared" si="2"/>
        <v>888436.89</v>
      </c>
    </row>
    <row r="56" spans="1:24" s="151" customFormat="1" ht="12.75" customHeight="1" x14ac:dyDescent="0.2">
      <c r="A56" s="482"/>
      <c r="B56" s="241" t="s">
        <v>728</v>
      </c>
      <c r="C56" s="484"/>
      <c r="D56" s="484"/>
      <c r="E56" s="486"/>
      <c r="F56" s="488"/>
      <c r="G56" s="242">
        <v>2.5000000000000001E-3</v>
      </c>
      <c r="H56" s="243">
        <v>2375</v>
      </c>
      <c r="I56" s="243">
        <v>2705</v>
      </c>
      <c r="J56" s="243">
        <v>2700</v>
      </c>
      <c r="K56" s="243">
        <v>2690</v>
      </c>
      <c r="L56" s="243">
        <v>2680</v>
      </c>
      <c r="M56" s="243">
        <v>2635</v>
      </c>
      <c r="N56" s="243">
        <v>2565</v>
      </c>
      <c r="O56" s="243">
        <v>2425</v>
      </c>
      <c r="P56" s="243">
        <v>2225</v>
      </c>
      <c r="Q56" s="243">
        <v>2005</v>
      </c>
      <c r="R56" s="243">
        <v>1790</v>
      </c>
      <c r="S56" s="243">
        <v>1575</v>
      </c>
      <c r="T56" s="243">
        <v>1365</v>
      </c>
      <c r="U56" s="243">
        <v>1145</v>
      </c>
      <c r="V56" s="243">
        <v>935</v>
      </c>
      <c r="W56" s="243">
        <f>1585-5</f>
        <v>1580</v>
      </c>
      <c r="X56" s="244">
        <f t="shared" si="2"/>
        <v>33395</v>
      </c>
    </row>
    <row r="57" spans="1:24" s="205" customFormat="1" ht="18.75" customHeight="1" x14ac:dyDescent="0.2">
      <c r="A57" s="471">
        <v>26</v>
      </c>
      <c r="B57" s="192" t="s">
        <v>655</v>
      </c>
      <c r="C57" s="475" t="s">
        <v>729</v>
      </c>
      <c r="D57" s="475">
        <v>653</v>
      </c>
      <c r="E57" s="476">
        <f>74835+24822-0.26+294955-28536.73</f>
        <v>366075.01</v>
      </c>
      <c r="F57" s="477" t="s">
        <v>730</v>
      </c>
      <c r="G57" s="245" t="s">
        <v>658</v>
      </c>
      <c r="H57" s="342">
        <f>50000+25000</f>
        <v>75000</v>
      </c>
      <c r="I57" s="246">
        <v>500.01</v>
      </c>
      <c r="J57" s="247">
        <v>3000</v>
      </c>
      <c r="K57" s="247">
        <v>52288</v>
      </c>
      <c r="L57" s="247">
        <v>52288</v>
      </c>
      <c r="M57" s="247">
        <v>52288</v>
      </c>
      <c r="N57" s="247">
        <v>52288</v>
      </c>
      <c r="O57" s="247">
        <v>52288</v>
      </c>
      <c r="P57" s="246">
        <v>26135</v>
      </c>
      <c r="Q57" s="247"/>
      <c r="R57" s="247"/>
      <c r="S57" s="247"/>
      <c r="T57" s="247"/>
      <c r="U57" s="247"/>
      <c r="V57" s="248"/>
      <c r="W57" s="248"/>
      <c r="X57" s="249">
        <f t="shared" si="2"/>
        <v>366075.01</v>
      </c>
    </row>
    <row r="58" spans="1:24" s="205" customFormat="1" ht="15.75" customHeight="1" x14ac:dyDescent="0.2">
      <c r="A58" s="472"/>
      <c r="B58" s="127" t="s">
        <v>731</v>
      </c>
      <c r="C58" s="468"/>
      <c r="D58" s="468"/>
      <c r="E58" s="470"/>
      <c r="F58" s="437"/>
      <c r="G58" s="128">
        <v>2.5000000000000001E-3</v>
      </c>
      <c r="H58" s="218">
        <v>870</v>
      </c>
      <c r="I58" s="218">
        <v>890</v>
      </c>
      <c r="J58" s="218">
        <v>885</v>
      </c>
      <c r="K58" s="218">
        <v>845</v>
      </c>
      <c r="L58" s="218">
        <v>695</v>
      </c>
      <c r="M58" s="218">
        <v>535</v>
      </c>
      <c r="N58" s="218">
        <v>375</v>
      </c>
      <c r="O58" s="218">
        <v>215</v>
      </c>
      <c r="P58" s="218">
        <v>60</v>
      </c>
      <c r="Q58" s="218"/>
      <c r="R58" s="218"/>
      <c r="S58" s="218"/>
      <c r="T58" s="218"/>
      <c r="U58" s="218"/>
      <c r="V58" s="219"/>
      <c r="W58" s="219"/>
      <c r="X58" s="129">
        <f t="shared" si="2"/>
        <v>5370</v>
      </c>
    </row>
    <row r="59" spans="1:24" s="205" customFormat="1" x14ac:dyDescent="0.2">
      <c r="A59" s="459">
        <v>27</v>
      </c>
      <c r="B59" s="188" t="s">
        <v>655</v>
      </c>
      <c r="C59" s="467" t="s">
        <v>732</v>
      </c>
      <c r="D59" s="467">
        <v>654</v>
      </c>
      <c r="E59" s="469">
        <v>74150</v>
      </c>
      <c r="F59" s="447" t="s">
        <v>733</v>
      </c>
      <c r="G59" s="215" t="s">
        <v>658</v>
      </c>
      <c r="H59" s="216"/>
      <c r="I59" s="216">
        <v>500</v>
      </c>
      <c r="J59" s="216">
        <v>2000</v>
      </c>
      <c r="K59" s="216">
        <v>3000</v>
      </c>
      <c r="L59" s="216">
        <v>4380</v>
      </c>
      <c r="M59" s="216">
        <v>4760</v>
      </c>
      <c r="N59" s="216">
        <v>4760</v>
      </c>
      <c r="O59" s="216">
        <v>4760</v>
      </c>
      <c r="P59" s="216">
        <v>4760</v>
      </c>
      <c r="Q59" s="216">
        <v>4760</v>
      </c>
      <c r="R59" s="216">
        <v>4760</v>
      </c>
      <c r="S59" s="216">
        <v>4760</v>
      </c>
      <c r="T59" s="216">
        <v>4760</v>
      </c>
      <c r="U59" s="216">
        <v>4760</v>
      </c>
      <c r="V59" s="217">
        <v>4760</v>
      </c>
      <c r="W59" s="217">
        <v>16670</v>
      </c>
      <c r="X59" s="126">
        <f t="shared" si="2"/>
        <v>74150</v>
      </c>
    </row>
    <row r="60" spans="1:24" s="205" customFormat="1" x14ac:dyDescent="0.2">
      <c r="A60" s="460"/>
      <c r="B60" s="127" t="s">
        <v>734</v>
      </c>
      <c r="C60" s="468"/>
      <c r="D60" s="468"/>
      <c r="E60" s="470"/>
      <c r="F60" s="437"/>
      <c r="G60" s="128">
        <v>2.5000000000000001E-3</v>
      </c>
      <c r="H60" s="218">
        <v>200</v>
      </c>
      <c r="I60" s="218">
        <v>230</v>
      </c>
      <c r="J60" s="218">
        <v>225</v>
      </c>
      <c r="K60" s="218">
        <v>220</v>
      </c>
      <c r="L60" s="218">
        <v>210</v>
      </c>
      <c r="M60" s="218">
        <v>195</v>
      </c>
      <c r="N60" s="218">
        <v>180</v>
      </c>
      <c r="O60" s="218">
        <v>165</v>
      </c>
      <c r="P60" s="218">
        <v>155</v>
      </c>
      <c r="Q60" s="218">
        <v>140</v>
      </c>
      <c r="R60" s="218">
        <v>125</v>
      </c>
      <c r="S60" s="218">
        <v>110</v>
      </c>
      <c r="T60" s="218">
        <v>95</v>
      </c>
      <c r="U60" s="218">
        <v>80</v>
      </c>
      <c r="V60" s="219">
        <v>65</v>
      </c>
      <c r="W60" s="219">
        <v>110</v>
      </c>
      <c r="X60" s="129">
        <f t="shared" si="2"/>
        <v>2505</v>
      </c>
    </row>
    <row r="61" spans="1:24" s="205" customFormat="1" ht="18" customHeight="1" x14ac:dyDescent="0.2">
      <c r="A61" s="471">
        <v>28</v>
      </c>
      <c r="B61" s="188" t="s">
        <v>655</v>
      </c>
      <c r="C61" s="467" t="s">
        <v>735</v>
      </c>
      <c r="D61" s="467">
        <v>655</v>
      </c>
      <c r="E61" s="469">
        <v>250000</v>
      </c>
      <c r="F61" s="447" t="s">
        <v>736</v>
      </c>
      <c r="G61" s="215" t="s">
        <v>658</v>
      </c>
      <c r="H61" s="216"/>
      <c r="I61" s="216">
        <v>300</v>
      </c>
      <c r="J61" s="216">
        <v>1000</v>
      </c>
      <c r="K61" s="216">
        <v>2000</v>
      </c>
      <c r="L61" s="216">
        <v>3000</v>
      </c>
      <c r="M61" s="216">
        <v>6000</v>
      </c>
      <c r="N61" s="216">
        <v>18644</v>
      </c>
      <c r="O61" s="216">
        <v>18644</v>
      </c>
      <c r="P61" s="216">
        <v>18644</v>
      </c>
      <c r="Q61" s="216">
        <v>18644</v>
      </c>
      <c r="R61" s="216">
        <v>18644</v>
      </c>
      <c r="S61" s="216">
        <v>18644</v>
      </c>
      <c r="T61" s="216">
        <v>18644</v>
      </c>
      <c r="U61" s="216">
        <v>18644</v>
      </c>
      <c r="V61" s="217">
        <v>18644</v>
      </c>
      <c r="W61" s="217">
        <v>69904</v>
      </c>
      <c r="X61" s="126">
        <f t="shared" si="2"/>
        <v>250000</v>
      </c>
    </row>
    <row r="62" spans="1:24" s="205" customFormat="1" ht="17.25" customHeight="1" x14ac:dyDescent="0.2">
      <c r="A62" s="472"/>
      <c r="B62" s="127" t="s">
        <v>737</v>
      </c>
      <c r="C62" s="468"/>
      <c r="D62" s="468"/>
      <c r="E62" s="470"/>
      <c r="F62" s="437"/>
      <c r="G62" s="128">
        <v>2.5000000000000001E-3</v>
      </c>
      <c r="H62" s="218">
        <v>640</v>
      </c>
      <c r="I62" s="218">
        <v>635</v>
      </c>
      <c r="J62" s="218">
        <v>635</v>
      </c>
      <c r="K62" s="218">
        <v>630</v>
      </c>
      <c r="L62" s="218">
        <v>630</v>
      </c>
      <c r="M62" s="218">
        <v>620</v>
      </c>
      <c r="N62" s="218">
        <v>595</v>
      </c>
      <c r="O62" s="218">
        <v>550</v>
      </c>
      <c r="P62" s="218">
        <v>505</v>
      </c>
      <c r="Q62" s="218">
        <v>455</v>
      </c>
      <c r="R62" s="218">
        <v>410</v>
      </c>
      <c r="S62" s="218">
        <v>360</v>
      </c>
      <c r="T62" s="218">
        <v>315</v>
      </c>
      <c r="U62" s="218">
        <v>265</v>
      </c>
      <c r="V62" s="219">
        <v>220</v>
      </c>
      <c r="W62" s="219">
        <v>400</v>
      </c>
      <c r="X62" s="129">
        <f t="shared" si="2"/>
        <v>7865</v>
      </c>
    </row>
    <row r="63" spans="1:24" s="205" customFormat="1" x14ac:dyDescent="0.2">
      <c r="A63" s="459">
        <v>29</v>
      </c>
      <c r="B63" s="188" t="s">
        <v>655</v>
      </c>
      <c r="C63" s="467" t="s">
        <v>738</v>
      </c>
      <c r="D63" s="467">
        <v>656</v>
      </c>
      <c r="E63" s="469">
        <v>4203541</v>
      </c>
      <c r="F63" s="447" t="s">
        <v>739</v>
      </c>
      <c r="G63" s="215" t="s">
        <v>658</v>
      </c>
      <c r="H63" s="144">
        <v>750</v>
      </c>
      <c r="I63" s="144">
        <v>1000</v>
      </c>
      <c r="J63" s="144">
        <v>3000</v>
      </c>
      <c r="K63" s="144">
        <v>4000</v>
      </c>
      <c r="L63" s="144">
        <v>5000</v>
      </c>
      <c r="M63" s="144">
        <v>10000</v>
      </c>
      <c r="N63" s="144">
        <v>20000</v>
      </c>
      <c r="O63" s="144">
        <v>50000</v>
      </c>
      <c r="P63" s="144">
        <v>62000</v>
      </c>
      <c r="Q63" s="144">
        <v>80000</v>
      </c>
      <c r="R63" s="144">
        <v>223540</v>
      </c>
      <c r="S63" s="144">
        <v>223540</v>
      </c>
      <c r="T63" s="144">
        <v>223540</v>
      </c>
      <c r="U63" s="150">
        <v>223540</v>
      </c>
      <c r="V63" s="150">
        <v>223540</v>
      </c>
      <c r="W63" s="217">
        <v>2850091</v>
      </c>
      <c r="X63" s="126">
        <f t="shared" si="2"/>
        <v>4203541</v>
      </c>
    </row>
    <row r="64" spans="1:24" s="205" customFormat="1" x14ac:dyDescent="0.2">
      <c r="A64" s="460"/>
      <c r="B64" s="127" t="s">
        <v>740</v>
      </c>
      <c r="C64" s="468"/>
      <c r="D64" s="468"/>
      <c r="E64" s="470"/>
      <c r="F64" s="437"/>
      <c r="G64" s="128">
        <v>2.5000000000000001E-3</v>
      </c>
      <c r="H64" s="145">
        <v>10685</v>
      </c>
      <c r="I64" s="145">
        <v>12785</v>
      </c>
      <c r="J64" s="145">
        <v>12780</v>
      </c>
      <c r="K64" s="145">
        <v>12770</v>
      </c>
      <c r="L64" s="145">
        <v>12795</v>
      </c>
      <c r="M64" s="145">
        <v>12740</v>
      </c>
      <c r="N64" s="145">
        <v>12705</v>
      </c>
      <c r="O64" s="145">
        <v>12625</v>
      </c>
      <c r="P64" s="145">
        <v>12505</v>
      </c>
      <c r="Q64" s="145">
        <v>12275</v>
      </c>
      <c r="R64" s="145">
        <v>11940</v>
      </c>
      <c r="S64" s="145">
        <v>11285</v>
      </c>
      <c r="T64" s="145">
        <v>10635</v>
      </c>
      <c r="U64" s="147">
        <v>9925</v>
      </c>
      <c r="V64" s="147">
        <v>9245</v>
      </c>
      <c r="W64" s="219">
        <v>58345</v>
      </c>
      <c r="X64" s="129">
        <f t="shared" si="2"/>
        <v>236040</v>
      </c>
    </row>
    <row r="65" spans="1:24" s="205" customFormat="1" ht="16.5" customHeight="1" x14ac:dyDescent="0.2">
      <c r="A65" s="459">
        <v>30</v>
      </c>
      <c r="B65" s="190" t="s">
        <v>655</v>
      </c>
      <c r="C65" s="467" t="s">
        <v>741</v>
      </c>
      <c r="D65" s="467">
        <v>657</v>
      </c>
      <c r="E65" s="473">
        <v>546548</v>
      </c>
      <c r="F65" s="447" t="s">
        <v>742</v>
      </c>
      <c r="G65" s="215" t="s">
        <v>658</v>
      </c>
      <c r="H65" s="349">
        <f>25690.95+81396.09</f>
        <v>107087.03999999999</v>
      </c>
      <c r="I65" s="355">
        <v>250.18</v>
      </c>
      <c r="J65" s="350">
        <v>2250</v>
      </c>
      <c r="K65" s="350">
        <v>8000</v>
      </c>
      <c r="L65" s="350">
        <v>77712</v>
      </c>
      <c r="M65" s="350">
        <v>77712</v>
      </c>
      <c r="N65" s="350">
        <v>77712</v>
      </c>
      <c r="O65" s="350">
        <v>77712</v>
      </c>
      <c r="P65" s="355">
        <v>58278</v>
      </c>
      <c r="Q65" s="350"/>
      <c r="R65" s="350"/>
      <c r="S65" s="350"/>
      <c r="T65" s="216"/>
      <c r="U65" s="144"/>
      <c r="V65" s="146"/>
      <c r="W65" s="150"/>
      <c r="X65" s="126">
        <f t="shared" si="2"/>
        <v>486713.22</v>
      </c>
    </row>
    <row r="66" spans="1:24" s="205" customFormat="1" ht="15" customHeight="1" x14ac:dyDescent="0.2">
      <c r="A66" s="460"/>
      <c r="B66" s="127" t="s">
        <v>743</v>
      </c>
      <c r="C66" s="468"/>
      <c r="D66" s="468"/>
      <c r="E66" s="474"/>
      <c r="F66" s="437"/>
      <c r="G66" s="128">
        <v>2.5000000000000001E-3</v>
      </c>
      <c r="H66" s="353">
        <v>1075</v>
      </c>
      <c r="I66" s="353">
        <v>1155</v>
      </c>
      <c r="J66" s="353">
        <v>1155</v>
      </c>
      <c r="K66" s="353">
        <v>1145</v>
      </c>
      <c r="L66" s="353">
        <v>1080</v>
      </c>
      <c r="M66" s="353">
        <v>850</v>
      </c>
      <c r="N66" s="353">
        <v>615</v>
      </c>
      <c r="O66" s="353">
        <v>380</v>
      </c>
      <c r="P66" s="353">
        <v>145</v>
      </c>
      <c r="Q66" s="353"/>
      <c r="R66" s="353"/>
      <c r="S66" s="353"/>
      <c r="T66" s="218"/>
      <c r="U66" s="145"/>
      <c r="V66" s="147"/>
      <c r="W66" s="147"/>
      <c r="X66" s="129">
        <f t="shared" si="2"/>
        <v>7600</v>
      </c>
    </row>
    <row r="67" spans="1:24" s="205" customFormat="1" ht="17.25" customHeight="1" x14ac:dyDescent="0.2">
      <c r="A67" s="471">
        <v>31</v>
      </c>
      <c r="B67" s="190" t="s">
        <v>655</v>
      </c>
      <c r="C67" s="467" t="s">
        <v>744</v>
      </c>
      <c r="D67" s="467">
        <v>658</v>
      </c>
      <c r="E67" s="469">
        <f>149917-0.42</f>
        <v>149916.57999999999</v>
      </c>
      <c r="F67" s="447" t="s">
        <v>745</v>
      </c>
      <c r="G67" s="215" t="s">
        <v>658</v>
      </c>
      <c r="H67" s="216"/>
      <c r="I67" s="216">
        <v>200</v>
      </c>
      <c r="J67" s="216">
        <v>1000</v>
      </c>
      <c r="K67" s="216">
        <v>1000</v>
      </c>
      <c r="L67" s="216">
        <v>2000</v>
      </c>
      <c r="M67" s="216">
        <v>2000</v>
      </c>
      <c r="N67" s="216">
        <v>11272</v>
      </c>
      <c r="O67" s="216">
        <v>11272</v>
      </c>
      <c r="P67" s="216">
        <v>11272</v>
      </c>
      <c r="Q67" s="216">
        <v>11272</v>
      </c>
      <c r="R67" s="216">
        <v>11272</v>
      </c>
      <c r="S67" s="216">
        <v>11272</v>
      </c>
      <c r="T67" s="216">
        <v>11272</v>
      </c>
      <c r="U67" s="216">
        <v>11272</v>
      </c>
      <c r="V67" s="216">
        <f>11272</f>
        <v>11272</v>
      </c>
      <c r="W67" s="230">
        <v>42268.58</v>
      </c>
      <c r="X67" s="126">
        <f t="shared" si="2"/>
        <v>149916.58000000002</v>
      </c>
    </row>
    <row r="68" spans="1:24" s="205" customFormat="1" ht="17.25" customHeight="1" x14ac:dyDescent="0.2">
      <c r="A68" s="472"/>
      <c r="B68" s="127" t="s">
        <v>743</v>
      </c>
      <c r="C68" s="468"/>
      <c r="D68" s="468"/>
      <c r="E68" s="470"/>
      <c r="F68" s="437"/>
      <c r="G68" s="128">
        <v>2.5000000000000001E-3</v>
      </c>
      <c r="H68" s="218">
        <v>385</v>
      </c>
      <c r="I68" s="218">
        <v>380</v>
      </c>
      <c r="J68" s="218">
        <v>380</v>
      </c>
      <c r="K68" s="218">
        <v>380</v>
      </c>
      <c r="L68" s="218">
        <v>375</v>
      </c>
      <c r="M68" s="218">
        <v>370</v>
      </c>
      <c r="N68" s="218">
        <v>360</v>
      </c>
      <c r="O68" s="218">
        <v>335</v>
      </c>
      <c r="P68" s="218">
        <v>305</v>
      </c>
      <c r="Q68" s="218">
        <v>275</v>
      </c>
      <c r="R68" s="218">
        <v>250</v>
      </c>
      <c r="S68" s="218">
        <v>220</v>
      </c>
      <c r="T68" s="218">
        <v>190</v>
      </c>
      <c r="U68" s="218">
        <v>160</v>
      </c>
      <c r="V68" s="218">
        <v>135</v>
      </c>
      <c r="W68" s="218">
        <v>240</v>
      </c>
      <c r="X68" s="129">
        <f t="shared" si="2"/>
        <v>4740</v>
      </c>
    </row>
    <row r="69" spans="1:24" s="205" customFormat="1" ht="17.25" customHeight="1" x14ac:dyDescent="0.2">
      <c r="A69" s="459">
        <v>32</v>
      </c>
      <c r="B69" s="188" t="s">
        <v>655</v>
      </c>
      <c r="C69" s="467" t="s">
        <v>746</v>
      </c>
      <c r="D69" s="467">
        <v>659</v>
      </c>
      <c r="E69" s="473">
        <f>138216-0.12</f>
        <v>138215.88</v>
      </c>
      <c r="F69" s="447" t="s">
        <v>747</v>
      </c>
      <c r="G69" s="215" t="s">
        <v>658</v>
      </c>
      <c r="H69" s="347">
        <f>138215.88</f>
        <v>138215.88</v>
      </c>
      <c r="I69" s="216"/>
      <c r="J69" s="230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30"/>
      <c r="X69" s="126">
        <f t="shared" si="2"/>
        <v>138215.88</v>
      </c>
    </row>
    <row r="70" spans="1:24" s="205" customFormat="1" ht="15.75" customHeight="1" x14ac:dyDescent="0.2">
      <c r="A70" s="460"/>
      <c r="B70" s="152" t="s">
        <v>748</v>
      </c>
      <c r="C70" s="468"/>
      <c r="D70" s="468"/>
      <c r="E70" s="474"/>
      <c r="F70" s="437"/>
      <c r="G70" s="128">
        <v>2.5000000000000001E-3</v>
      </c>
      <c r="H70" s="348">
        <f>148.9</f>
        <v>148.9</v>
      </c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129">
        <f t="shared" si="2"/>
        <v>148.9</v>
      </c>
    </row>
    <row r="71" spans="1:24" s="205" customFormat="1" ht="12.75" customHeight="1" x14ac:dyDescent="0.2">
      <c r="A71" s="459">
        <v>33</v>
      </c>
      <c r="B71" s="188" t="s">
        <v>655</v>
      </c>
      <c r="C71" s="467" t="s">
        <v>390</v>
      </c>
      <c r="D71" s="467">
        <v>660</v>
      </c>
      <c r="E71" s="469">
        <f>2825528-170000-107105.44-351732.81</f>
        <v>2196689.75</v>
      </c>
      <c r="F71" s="447" t="s">
        <v>749</v>
      </c>
      <c r="G71" s="215" t="s">
        <v>658</v>
      </c>
      <c r="H71" s="144">
        <v>0</v>
      </c>
      <c r="I71" s="144">
        <v>0</v>
      </c>
      <c r="J71" s="149">
        <v>3000.75</v>
      </c>
      <c r="K71" s="144">
        <v>5000</v>
      </c>
      <c r="L71" s="144">
        <v>5000</v>
      </c>
      <c r="M71" s="144">
        <v>5000</v>
      </c>
      <c r="N71" s="144">
        <v>10000</v>
      </c>
      <c r="O71" s="144">
        <v>15000</v>
      </c>
      <c r="P71" s="150">
        <v>101352</v>
      </c>
      <c r="Q71" s="150">
        <v>101352</v>
      </c>
      <c r="R71" s="150">
        <v>101352</v>
      </c>
      <c r="S71" s="150">
        <v>101352</v>
      </c>
      <c r="T71" s="150">
        <v>101352</v>
      </c>
      <c r="U71" s="150">
        <v>101352</v>
      </c>
      <c r="V71" s="150">
        <v>101352</v>
      </c>
      <c r="W71" s="150">
        <v>1444225</v>
      </c>
      <c r="X71" s="126">
        <f t="shared" ref="X71:X91" si="3">SUM(H71:W71)</f>
        <v>2196689.75</v>
      </c>
    </row>
    <row r="72" spans="1:24" s="205" customFormat="1" x14ac:dyDescent="0.2">
      <c r="A72" s="460"/>
      <c r="B72" s="127" t="s">
        <v>750</v>
      </c>
      <c r="C72" s="468"/>
      <c r="D72" s="468"/>
      <c r="E72" s="470"/>
      <c r="F72" s="437"/>
      <c r="G72" s="374">
        <v>3.5899999999999999E-3</v>
      </c>
      <c r="H72" s="145">
        <v>6230</v>
      </c>
      <c r="I72" s="145">
        <v>10690</v>
      </c>
      <c r="J72" s="145">
        <v>13365</v>
      </c>
      <c r="K72" s="145">
        <v>13340</v>
      </c>
      <c r="L72" s="145">
        <v>13350</v>
      </c>
      <c r="M72" s="145">
        <v>13280</v>
      </c>
      <c r="N72" s="145">
        <v>13245</v>
      </c>
      <c r="O72" s="145">
        <v>13180</v>
      </c>
      <c r="P72" s="145">
        <v>13020</v>
      </c>
      <c r="Q72" s="145">
        <v>12395</v>
      </c>
      <c r="R72" s="145">
        <v>11775</v>
      </c>
      <c r="S72" s="145">
        <v>11160</v>
      </c>
      <c r="T72" s="145">
        <v>10570</v>
      </c>
      <c r="U72" s="147">
        <v>9925</v>
      </c>
      <c r="V72" s="147">
        <v>9310</v>
      </c>
      <c r="W72" s="147">
        <v>65720</v>
      </c>
      <c r="X72" s="129">
        <f t="shared" si="3"/>
        <v>240555</v>
      </c>
    </row>
    <row r="73" spans="1:24" s="205" customFormat="1" x14ac:dyDescent="0.2">
      <c r="A73" s="471">
        <v>34</v>
      </c>
      <c r="B73" s="188" t="s">
        <v>655</v>
      </c>
      <c r="C73" s="467" t="s">
        <v>431</v>
      </c>
      <c r="D73" s="467">
        <v>661</v>
      </c>
      <c r="E73" s="469">
        <v>1946578</v>
      </c>
      <c r="F73" s="447" t="s">
        <v>751</v>
      </c>
      <c r="G73" s="215" t="s">
        <v>658</v>
      </c>
      <c r="H73" s="341">
        <v>165208.32000000001</v>
      </c>
      <c r="I73" s="216"/>
      <c r="J73" s="216">
        <v>3000.68</v>
      </c>
      <c r="K73" s="216">
        <v>5000</v>
      </c>
      <c r="L73" s="216">
        <v>5000</v>
      </c>
      <c r="M73" s="216">
        <v>5000</v>
      </c>
      <c r="N73" s="216">
        <v>10000</v>
      </c>
      <c r="O73" s="216">
        <v>15000</v>
      </c>
      <c r="P73" s="216">
        <v>81804</v>
      </c>
      <c r="Q73" s="216">
        <v>81804</v>
      </c>
      <c r="R73" s="216">
        <v>81804</v>
      </c>
      <c r="S73" s="216">
        <v>81804</v>
      </c>
      <c r="T73" s="216">
        <v>81804</v>
      </c>
      <c r="U73" s="216">
        <v>81804</v>
      </c>
      <c r="V73" s="216">
        <v>81804</v>
      </c>
      <c r="W73" s="216">
        <v>1165741</v>
      </c>
      <c r="X73" s="126">
        <f t="shared" si="3"/>
        <v>1946578</v>
      </c>
    </row>
    <row r="74" spans="1:24" s="205" customFormat="1" x14ac:dyDescent="0.2">
      <c r="A74" s="472"/>
      <c r="B74" s="152" t="s">
        <v>752</v>
      </c>
      <c r="C74" s="468"/>
      <c r="D74" s="468"/>
      <c r="E74" s="470"/>
      <c r="F74" s="437"/>
      <c r="G74" s="128">
        <v>2.5000000000000001E-3</v>
      </c>
      <c r="H74" s="218">
        <v>8055</v>
      </c>
      <c r="I74" s="218">
        <v>12025</v>
      </c>
      <c r="J74" s="218">
        <v>12645</v>
      </c>
      <c r="K74" s="218">
        <v>12620</v>
      </c>
      <c r="L74" s="218">
        <v>12620</v>
      </c>
      <c r="M74" s="218">
        <v>12550</v>
      </c>
      <c r="N74" s="218">
        <v>12510</v>
      </c>
      <c r="O74" s="218">
        <v>12430</v>
      </c>
      <c r="P74" s="218">
        <v>12260</v>
      </c>
      <c r="Q74" s="218">
        <v>11670</v>
      </c>
      <c r="R74" s="218">
        <v>11090</v>
      </c>
      <c r="S74" s="218">
        <v>10510</v>
      </c>
      <c r="T74" s="218">
        <v>9955</v>
      </c>
      <c r="U74" s="218">
        <v>9350</v>
      </c>
      <c r="V74" s="218">
        <v>8765</v>
      </c>
      <c r="W74" s="218">
        <v>61895</v>
      </c>
      <c r="X74" s="129">
        <f t="shared" si="3"/>
        <v>230950</v>
      </c>
    </row>
    <row r="75" spans="1:24" s="205" customFormat="1" ht="15.75" customHeight="1" x14ac:dyDescent="0.2">
      <c r="A75" s="459">
        <v>35</v>
      </c>
      <c r="B75" s="188" t="s">
        <v>655</v>
      </c>
      <c r="C75" s="467" t="s">
        <v>388</v>
      </c>
      <c r="D75" s="467">
        <v>662</v>
      </c>
      <c r="E75" s="469">
        <f>2100900-400000-20542</f>
        <v>1680358</v>
      </c>
      <c r="F75" s="447" t="s">
        <v>775</v>
      </c>
      <c r="G75" s="215" t="s">
        <v>658</v>
      </c>
      <c r="H75" s="341">
        <v>373892</v>
      </c>
      <c r="I75" s="216"/>
      <c r="J75" s="216">
        <v>3000</v>
      </c>
      <c r="K75" s="216">
        <v>6000</v>
      </c>
      <c r="L75" s="216">
        <v>10000</v>
      </c>
      <c r="M75" s="216">
        <v>20000</v>
      </c>
      <c r="N75" s="216">
        <v>40000</v>
      </c>
      <c r="O75" s="216">
        <v>55168</v>
      </c>
      <c r="P75" s="216">
        <v>55168</v>
      </c>
      <c r="Q75" s="216">
        <v>55168</v>
      </c>
      <c r="R75" s="216">
        <v>55168</v>
      </c>
      <c r="S75" s="216">
        <v>55168</v>
      </c>
      <c r="T75" s="216">
        <v>55168</v>
      </c>
      <c r="U75" s="216">
        <v>55168</v>
      </c>
      <c r="V75" s="216">
        <v>55168</v>
      </c>
      <c r="W75" s="216">
        <v>786122</v>
      </c>
      <c r="X75" s="126">
        <f t="shared" si="3"/>
        <v>1680358</v>
      </c>
    </row>
    <row r="76" spans="1:24" s="205" customFormat="1" ht="18.75" customHeight="1" x14ac:dyDescent="0.2">
      <c r="A76" s="460"/>
      <c r="B76" s="152" t="s">
        <v>774</v>
      </c>
      <c r="C76" s="468"/>
      <c r="D76" s="468"/>
      <c r="E76" s="470"/>
      <c r="F76" s="437"/>
      <c r="G76" s="128">
        <v>2.5000000000000001E-3</v>
      </c>
      <c r="H76" s="218">
        <v>3785</v>
      </c>
      <c r="I76" s="218">
        <v>3975</v>
      </c>
      <c r="J76" s="218">
        <v>3975</v>
      </c>
      <c r="K76" s="218">
        <v>3965</v>
      </c>
      <c r="L76" s="218">
        <v>3955</v>
      </c>
      <c r="M76" s="218">
        <v>3905</v>
      </c>
      <c r="N76" s="218">
        <v>3835</v>
      </c>
      <c r="O76" s="218">
        <v>3710</v>
      </c>
      <c r="P76" s="218">
        <v>3550</v>
      </c>
      <c r="Q76" s="218">
        <v>3375</v>
      </c>
      <c r="R76" s="218">
        <v>3205</v>
      </c>
      <c r="S76" s="218">
        <v>3040</v>
      </c>
      <c r="T76" s="218">
        <v>2880</v>
      </c>
      <c r="U76" s="218">
        <v>2705</v>
      </c>
      <c r="V76" s="218">
        <v>2535</v>
      </c>
      <c r="W76" s="218">
        <v>17890</v>
      </c>
      <c r="X76" s="129">
        <f t="shared" si="3"/>
        <v>70285</v>
      </c>
    </row>
    <row r="77" spans="1:24" s="205" customFormat="1" ht="12.75" customHeight="1" x14ac:dyDescent="0.2">
      <c r="A77" s="459">
        <v>36</v>
      </c>
      <c r="B77" s="188" t="s">
        <v>655</v>
      </c>
      <c r="C77" s="467" t="s">
        <v>776</v>
      </c>
      <c r="D77" s="467">
        <v>663</v>
      </c>
      <c r="E77" s="469">
        <f>10367403</f>
        <v>10367403</v>
      </c>
      <c r="F77" s="447" t="s">
        <v>777</v>
      </c>
      <c r="G77" s="215" t="s">
        <v>658</v>
      </c>
      <c r="H77" s="216"/>
      <c r="I77" s="216"/>
      <c r="J77" s="216">
        <v>3000</v>
      </c>
      <c r="K77" s="216">
        <v>6000</v>
      </c>
      <c r="L77" s="216">
        <v>10000</v>
      </c>
      <c r="M77" s="216">
        <v>20000</v>
      </c>
      <c r="N77" s="216">
        <v>28000</v>
      </c>
      <c r="O77" s="216">
        <v>40000</v>
      </c>
      <c r="P77" s="216">
        <v>80000</v>
      </c>
      <c r="Q77" s="216">
        <v>200000</v>
      </c>
      <c r="R77" s="216">
        <v>400000</v>
      </c>
      <c r="S77" s="216">
        <v>524952</v>
      </c>
      <c r="T77" s="216">
        <v>524952</v>
      </c>
      <c r="U77" s="216">
        <v>524952</v>
      </c>
      <c r="V77" s="217">
        <v>524952</v>
      </c>
      <c r="W77" s="217">
        <v>7480595</v>
      </c>
      <c r="X77" s="126">
        <f t="shared" si="3"/>
        <v>10367403</v>
      </c>
    </row>
    <row r="78" spans="1:24" s="205" customFormat="1" x14ac:dyDescent="0.2">
      <c r="A78" s="460"/>
      <c r="B78" s="127" t="s">
        <v>778</v>
      </c>
      <c r="C78" s="468"/>
      <c r="D78" s="468"/>
      <c r="E78" s="470"/>
      <c r="F78" s="437"/>
      <c r="G78" s="128">
        <v>2.5000000000000001E-3</v>
      </c>
      <c r="H78" s="218">
        <v>22375</v>
      </c>
      <c r="I78" s="218">
        <v>31535</v>
      </c>
      <c r="J78" s="218">
        <v>31535</v>
      </c>
      <c r="K78" s="218">
        <v>31525</v>
      </c>
      <c r="L78" s="218">
        <v>31590</v>
      </c>
      <c r="M78" s="218">
        <v>31470</v>
      </c>
      <c r="N78" s="218">
        <v>31405</v>
      </c>
      <c r="O78" s="218">
        <v>31310</v>
      </c>
      <c r="P78" s="218">
        <v>31250</v>
      </c>
      <c r="Q78" s="218">
        <v>30855</v>
      </c>
      <c r="R78" s="218">
        <v>30140</v>
      </c>
      <c r="S78" s="218">
        <v>28875</v>
      </c>
      <c r="T78" s="218">
        <v>27375</v>
      </c>
      <c r="U78" s="218">
        <v>25705</v>
      </c>
      <c r="V78" s="219">
        <v>24105</v>
      </c>
      <c r="W78" s="219">
        <f>170205-5</f>
        <v>170200</v>
      </c>
      <c r="X78" s="129">
        <f t="shared" si="3"/>
        <v>611250</v>
      </c>
    </row>
    <row r="79" spans="1:24" s="205" customFormat="1" ht="15.75" customHeight="1" x14ac:dyDescent="0.2">
      <c r="A79" s="459">
        <v>37</v>
      </c>
      <c r="B79" s="188" t="s">
        <v>655</v>
      </c>
      <c r="C79" s="467" t="s">
        <v>779</v>
      </c>
      <c r="D79" s="467">
        <v>664</v>
      </c>
      <c r="E79" s="469">
        <f>91751.46</f>
        <v>91751.46</v>
      </c>
      <c r="F79" s="447" t="s">
        <v>777</v>
      </c>
      <c r="G79" s="215" t="s">
        <v>658</v>
      </c>
      <c r="H79" s="347">
        <v>91751.46</v>
      </c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7"/>
      <c r="W79" s="250"/>
      <c r="X79" s="126">
        <f t="shared" si="3"/>
        <v>91751.46</v>
      </c>
    </row>
    <row r="80" spans="1:24" s="205" customFormat="1" ht="16.5" customHeight="1" x14ac:dyDescent="0.2">
      <c r="A80" s="460"/>
      <c r="B80" s="168" t="s">
        <v>780</v>
      </c>
      <c r="C80" s="468"/>
      <c r="D80" s="468"/>
      <c r="E80" s="470"/>
      <c r="F80" s="437"/>
      <c r="G80" s="128">
        <f>0.25%+0.6%</f>
        <v>8.5000000000000006E-3</v>
      </c>
      <c r="H80" s="348">
        <f>337.96</f>
        <v>337.96</v>
      </c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9"/>
      <c r="W80" s="219"/>
      <c r="X80" s="129">
        <f t="shared" si="3"/>
        <v>337.96</v>
      </c>
    </row>
    <row r="81" spans="1:24" s="205" customFormat="1" x14ac:dyDescent="0.2">
      <c r="A81" s="459">
        <v>38</v>
      </c>
      <c r="B81" s="188" t="s">
        <v>655</v>
      </c>
      <c r="C81" s="467" t="s">
        <v>427</v>
      </c>
      <c r="D81" s="467">
        <v>665</v>
      </c>
      <c r="E81" s="469">
        <f>158248.54+2664102</f>
        <v>2822350.54</v>
      </c>
      <c r="F81" s="447" t="s">
        <v>777</v>
      </c>
      <c r="G81" s="215" t="s">
        <v>658</v>
      </c>
      <c r="H81" s="349">
        <f>158248.54</f>
        <v>158248.54</v>
      </c>
      <c r="I81" s="350"/>
      <c r="J81" s="350">
        <v>3000</v>
      </c>
      <c r="K81" s="350">
        <v>6000</v>
      </c>
      <c r="L81" s="350">
        <v>8000</v>
      </c>
      <c r="M81" s="350">
        <v>16000</v>
      </c>
      <c r="N81" s="350">
        <v>32000</v>
      </c>
      <c r="O81" s="350">
        <v>60000</v>
      </c>
      <c r="P81" s="350">
        <v>80000</v>
      </c>
      <c r="Q81" s="351">
        <v>121436</v>
      </c>
      <c r="R81" s="351">
        <v>121436</v>
      </c>
      <c r="S81" s="351">
        <v>121436</v>
      </c>
      <c r="T81" s="351">
        <v>121436</v>
      </c>
      <c r="U81" s="351">
        <v>121436</v>
      </c>
      <c r="V81" s="351">
        <v>121436</v>
      </c>
      <c r="W81" s="352">
        <v>1730486</v>
      </c>
      <c r="X81" s="126">
        <f t="shared" si="3"/>
        <v>2822350.54</v>
      </c>
    </row>
    <row r="82" spans="1:24" s="205" customFormat="1" x14ac:dyDescent="0.2">
      <c r="A82" s="460"/>
      <c r="B82" s="168" t="s">
        <v>781</v>
      </c>
      <c r="C82" s="468"/>
      <c r="D82" s="468"/>
      <c r="E82" s="470"/>
      <c r="F82" s="437"/>
      <c r="G82" s="128">
        <v>2.5000000000000001E-3</v>
      </c>
      <c r="H82" s="353">
        <f>5835-235</f>
        <v>5600</v>
      </c>
      <c r="I82" s="353">
        <v>8105</v>
      </c>
      <c r="J82" s="353">
        <v>8105</v>
      </c>
      <c r="K82" s="353">
        <v>8095</v>
      </c>
      <c r="L82" s="353">
        <v>8095</v>
      </c>
      <c r="M82" s="353">
        <v>8045</v>
      </c>
      <c r="N82" s="353">
        <v>7990</v>
      </c>
      <c r="O82" s="353">
        <v>7875</v>
      </c>
      <c r="P82" s="353">
        <v>7705</v>
      </c>
      <c r="Q82" s="353">
        <v>7420</v>
      </c>
      <c r="R82" s="353">
        <v>7055</v>
      </c>
      <c r="S82" s="353">
        <v>6685</v>
      </c>
      <c r="T82" s="353">
        <v>6335</v>
      </c>
      <c r="U82" s="353">
        <v>5950</v>
      </c>
      <c r="V82" s="354">
        <v>5580</v>
      </c>
      <c r="W82" s="354">
        <v>39375</v>
      </c>
      <c r="X82" s="129">
        <f t="shared" si="3"/>
        <v>148015</v>
      </c>
    </row>
    <row r="83" spans="1:24" s="205" customFormat="1" x14ac:dyDescent="0.2">
      <c r="A83" s="471">
        <v>39</v>
      </c>
      <c r="B83" s="188" t="s">
        <v>655</v>
      </c>
      <c r="C83" s="467" t="s">
        <v>782</v>
      </c>
      <c r="D83" s="467">
        <v>666</v>
      </c>
      <c r="E83" s="469">
        <f>663930-19547.23</f>
        <v>644382.77</v>
      </c>
      <c r="F83" s="447" t="s">
        <v>777</v>
      </c>
      <c r="G83" s="215" t="s">
        <v>658</v>
      </c>
      <c r="H83" s="216"/>
      <c r="I83" s="216"/>
      <c r="J83" s="230">
        <v>3000.77</v>
      </c>
      <c r="K83" s="216">
        <v>6000</v>
      </c>
      <c r="L83" s="216">
        <v>10000</v>
      </c>
      <c r="M83" s="216">
        <v>20000</v>
      </c>
      <c r="N83" s="216">
        <v>26040</v>
      </c>
      <c r="O83" s="216">
        <v>26040</v>
      </c>
      <c r="P83" s="216">
        <v>26040</v>
      </c>
      <c r="Q83" s="217">
        <v>26040</v>
      </c>
      <c r="R83" s="217">
        <v>26040</v>
      </c>
      <c r="S83" s="217">
        <v>26040</v>
      </c>
      <c r="T83" s="217">
        <v>26040</v>
      </c>
      <c r="U83" s="217">
        <v>26040</v>
      </c>
      <c r="V83" s="217">
        <v>26040</v>
      </c>
      <c r="W83" s="217">
        <v>371022</v>
      </c>
      <c r="X83" s="126">
        <f t="shared" si="3"/>
        <v>644382.77</v>
      </c>
    </row>
    <row r="84" spans="1:24" s="205" customFormat="1" x14ac:dyDescent="0.2">
      <c r="A84" s="472"/>
      <c r="B84" s="168" t="s">
        <v>783</v>
      </c>
      <c r="C84" s="468"/>
      <c r="D84" s="468"/>
      <c r="E84" s="470"/>
      <c r="F84" s="437"/>
      <c r="G84" s="128">
        <v>2.5000000000000001E-3</v>
      </c>
      <c r="H84" s="218">
        <v>1500</v>
      </c>
      <c r="I84" s="218">
        <v>1965</v>
      </c>
      <c r="J84" s="218">
        <v>1960</v>
      </c>
      <c r="K84" s="218">
        <v>1950</v>
      </c>
      <c r="L84" s="218">
        <v>1935</v>
      </c>
      <c r="M84" s="218">
        <v>1895</v>
      </c>
      <c r="N84" s="218">
        <v>1830</v>
      </c>
      <c r="O84" s="218">
        <v>1750</v>
      </c>
      <c r="P84" s="218">
        <v>1680</v>
      </c>
      <c r="Q84" s="218">
        <v>1595</v>
      </c>
      <c r="R84" s="218">
        <v>1515</v>
      </c>
      <c r="S84" s="218">
        <v>1435</v>
      </c>
      <c r="T84" s="218">
        <v>1360</v>
      </c>
      <c r="U84" s="218">
        <v>1275</v>
      </c>
      <c r="V84" s="219">
        <v>1200</v>
      </c>
      <c r="W84" s="219">
        <v>8445</v>
      </c>
      <c r="X84" s="129">
        <f t="shared" si="3"/>
        <v>33290</v>
      </c>
    </row>
    <row r="85" spans="1:24" s="205" customFormat="1" hidden="1" x14ac:dyDescent="0.2">
      <c r="A85" s="459"/>
      <c r="B85" s="188"/>
      <c r="C85" s="461"/>
      <c r="D85" s="461"/>
      <c r="E85" s="463"/>
      <c r="F85" s="465"/>
      <c r="G85" s="215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2"/>
      <c r="W85" s="252"/>
      <c r="X85" s="126">
        <f t="shared" si="3"/>
        <v>0</v>
      </c>
    </row>
    <row r="86" spans="1:24" s="205" customFormat="1" hidden="1" x14ac:dyDescent="0.2">
      <c r="A86" s="460"/>
      <c r="B86" s="153"/>
      <c r="C86" s="462"/>
      <c r="D86" s="462"/>
      <c r="E86" s="464"/>
      <c r="F86" s="466"/>
      <c r="G86" s="128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4"/>
      <c r="W86" s="254"/>
      <c r="X86" s="129">
        <f t="shared" si="3"/>
        <v>0</v>
      </c>
    </row>
    <row r="87" spans="1:24" s="205" customFormat="1" hidden="1" x14ac:dyDescent="0.2">
      <c r="A87" s="459"/>
      <c r="B87" s="188"/>
      <c r="C87" s="461"/>
      <c r="D87" s="461"/>
      <c r="E87" s="463"/>
      <c r="F87" s="465"/>
      <c r="G87" s="215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2"/>
      <c r="W87" s="252"/>
      <c r="X87" s="126">
        <f t="shared" si="3"/>
        <v>0</v>
      </c>
    </row>
    <row r="88" spans="1:24" s="205" customFormat="1" hidden="1" x14ac:dyDescent="0.2">
      <c r="A88" s="460"/>
      <c r="B88" s="153"/>
      <c r="C88" s="462"/>
      <c r="D88" s="462"/>
      <c r="E88" s="464"/>
      <c r="F88" s="466"/>
      <c r="G88" s="128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4"/>
      <c r="W88" s="254"/>
      <c r="X88" s="129">
        <f t="shared" si="3"/>
        <v>0</v>
      </c>
    </row>
    <row r="89" spans="1:24" s="205" customFormat="1" hidden="1" x14ac:dyDescent="0.2">
      <c r="A89" s="459"/>
      <c r="B89" s="188"/>
      <c r="C89" s="461"/>
      <c r="D89" s="461"/>
      <c r="E89" s="463"/>
      <c r="F89" s="465"/>
      <c r="G89" s="215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2"/>
      <c r="W89" s="252"/>
      <c r="X89" s="126">
        <f t="shared" si="3"/>
        <v>0</v>
      </c>
    </row>
    <row r="90" spans="1:24" s="205" customFormat="1" hidden="1" x14ac:dyDescent="0.2">
      <c r="A90" s="460"/>
      <c r="B90" s="153"/>
      <c r="C90" s="462"/>
      <c r="D90" s="462"/>
      <c r="E90" s="464"/>
      <c r="F90" s="466"/>
      <c r="G90" s="128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4"/>
      <c r="W90" s="254"/>
      <c r="X90" s="129">
        <f t="shared" si="3"/>
        <v>0</v>
      </c>
    </row>
    <row r="91" spans="1:24" s="205" customFormat="1" hidden="1" x14ac:dyDescent="0.2">
      <c r="A91" s="459"/>
      <c r="B91" s="188"/>
      <c r="C91" s="461"/>
      <c r="D91" s="461"/>
      <c r="E91" s="463"/>
      <c r="F91" s="465"/>
      <c r="G91" s="215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2"/>
      <c r="W91" s="252"/>
      <c r="X91" s="126">
        <f t="shared" si="3"/>
        <v>0</v>
      </c>
    </row>
    <row r="92" spans="1:24" s="205" customFormat="1" hidden="1" x14ac:dyDescent="0.2">
      <c r="A92" s="460"/>
      <c r="B92" s="153"/>
      <c r="C92" s="462"/>
      <c r="D92" s="462"/>
      <c r="E92" s="464"/>
      <c r="F92" s="466"/>
      <c r="G92" s="128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4"/>
      <c r="W92" s="254"/>
      <c r="X92" s="129">
        <f>SUM(H92:W92)</f>
        <v>0</v>
      </c>
    </row>
    <row r="93" spans="1:24" x14ac:dyDescent="0.2">
      <c r="A93" s="255"/>
      <c r="B93" s="256"/>
      <c r="C93" s="257"/>
      <c r="D93" s="257"/>
      <c r="E93" s="258">
        <f>SUM(E7:E92)</f>
        <v>92087593.599999994</v>
      </c>
      <c r="F93" s="259"/>
      <c r="G93" s="260"/>
      <c r="H93" s="261">
        <f>H9+H11+H13+H15+H17+H23+H19+H21+H25+H27+H33+H31+H29+H35+H37+H39+H41+H43+H45+H47+H7+H49+H51+H53+H55+H57+H59+H63+H61+H65+H67+H69+H71+H91+H73+H75+H77+H79+H81+H83+H85+H87+H89</f>
        <v>7234118.8200000003</v>
      </c>
      <c r="I93" s="261">
        <f t="shared" ref="I93:V93" si="4">SUM(I9+I11+I13+I15+I17+I23+I19+I21+I25+I27+I33+I31+I29+I35+I37+I39+I41)+I43+I45+I47+I7+I49+I51+I53+I55+I57+I59+I63+I61+I65+I67+I69+I71+I91+I73+I75+I77+I79+I81+I83+I85+I87+I89</f>
        <v>5416745.1199999992</v>
      </c>
      <c r="J93" s="261">
        <f t="shared" si="4"/>
        <v>4753588.3999999994</v>
      </c>
      <c r="K93" s="261">
        <f t="shared" si="4"/>
        <v>4438276</v>
      </c>
      <c r="L93" s="261">
        <f t="shared" si="4"/>
        <v>4310332</v>
      </c>
      <c r="M93" s="261">
        <f>SUM(M9+M11+M13+M15+M17+M23+M19+M21+M25+M27+M33+M31+M29+M35+M37+M39+M41)+M43+M45+M47+M7+M49+M51+M53+M55+M57+M59+M63+M61+M65+M67+M69+M71+M91+M73+M75+M77+M79+M81+M83+M85+M87+M89</f>
        <v>4367236</v>
      </c>
      <c r="N93" s="261">
        <f t="shared" si="4"/>
        <v>4339976</v>
      </c>
      <c r="O93" s="261">
        <f t="shared" si="4"/>
        <v>3121183</v>
      </c>
      <c r="P93" s="261">
        <f t="shared" si="4"/>
        <v>2767825</v>
      </c>
      <c r="Q93" s="261">
        <f t="shared" si="4"/>
        <v>2731400</v>
      </c>
      <c r="R93" s="261">
        <f t="shared" si="4"/>
        <v>2905470</v>
      </c>
      <c r="S93" s="261">
        <f t="shared" si="4"/>
        <v>3036908</v>
      </c>
      <c r="T93" s="261">
        <f t="shared" si="4"/>
        <v>3036908</v>
      </c>
      <c r="U93" s="261">
        <f t="shared" si="4"/>
        <v>3014856</v>
      </c>
      <c r="V93" s="261">
        <f t="shared" si="4"/>
        <v>2558456</v>
      </c>
      <c r="W93" s="261">
        <f>SUM(W9+W11+W13+W15+W17+W23+W19+W21+W25+W27+W33+W31+W29+W35+W37+W39+W41)+W43+W45+W47+W7+W49+W51+W53+W55+W57+W59+W63+W61+W65+W67+W69+W71+W91+W73+W75+W77+W79+W81+W83+W85+W87+W89</f>
        <v>25685831.48</v>
      </c>
      <c r="X93" s="262">
        <f>SUM(X9+X11+X13+X15+X17+X23+X19+X21+X25+X27+X33+X31+X29+X35+X37+X39+X41)+X43+X45+X47+X7+X49+X51+X53+X55+X57+X59+X61+X63+X65+X67+X69+X71+X91+X73+X75+X77+X79+X81+X83+X85+X87+X89</f>
        <v>83719109.819999993</v>
      </c>
    </row>
    <row r="94" spans="1:24" x14ac:dyDescent="0.2">
      <c r="A94" s="263"/>
      <c r="B94" s="454" t="s">
        <v>753</v>
      </c>
      <c r="C94" s="455"/>
      <c r="D94" s="455"/>
      <c r="E94" s="455"/>
      <c r="F94" s="456"/>
      <c r="G94" s="264"/>
      <c r="H94" s="265">
        <f>SUM(H10+H12+H14+H16+H18+H24+H20+H22+H26+H28+H34+H32+H30+H36+H38+H40+H42)+H44+H46+H48+H8+H50+H52+H54+H56+H58+H60+H64+H62+H66+H68+H70+H72+H92+H74+H76+H78+H80+H82+H84+H86+H88+H90+56223.14</f>
        <v>270000</v>
      </c>
      <c r="I94" s="265">
        <f t="shared" ref="I94:V94" si="5">SUM(I10+I12+I14+I16+I18+I24+I20+I22+I26+I28+I34+I32+I30+I36+I38+I40+I42)+I44+I46+I48+I8+I50+I52+I54+I56+I58+I60+I64+I62+I66+I68+I70+I72+I92+I74+I76+I78+I80+I82+I84+I86+I88+I90</f>
        <v>240330</v>
      </c>
      <c r="J94" s="265">
        <f t="shared" si="5"/>
        <v>227850</v>
      </c>
      <c r="K94" s="265">
        <f t="shared" si="5"/>
        <v>213435</v>
      </c>
      <c r="L94" s="265">
        <f t="shared" si="5"/>
        <v>200500</v>
      </c>
      <c r="M94" s="265">
        <f>SUM(M10+M12+M14+M16+M18+M24+M20+M22+M26+M28+M34+M32+M30+M36+M38+M40+M42)+M44+M46+M48+M8+M50+M52+M54+M56+M58+M60+M64+M62+M66+M68+M70+M72+M92+M74+M76+M78+M80+M82+M84+M86+M88+M90</f>
        <v>186755</v>
      </c>
      <c r="N94" s="265">
        <f>SUM(N10+N12+N14+N16+N18+N24+N20+N22+N26+N28+N34+N32+N30+N36+N38+N40+N42)+N44+N46+N48+N8+N50+N52+N54+N56+N58+N60+N64+N62+N66+N68+N70+N72+N92+N74+N76+N78+N80+N82+N84+N86+N88+N90</f>
        <v>173470</v>
      </c>
      <c r="O94" s="265">
        <f t="shared" si="5"/>
        <v>160955</v>
      </c>
      <c r="P94" s="265">
        <f t="shared" si="5"/>
        <v>151685</v>
      </c>
      <c r="Q94" s="265">
        <f t="shared" si="5"/>
        <v>142220</v>
      </c>
      <c r="R94" s="265">
        <f t="shared" si="5"/>
        <v>133165</v>
      </c>
      <c r="S94" s="265">
        <f t="shared" si="5"/>
        <v>123645</v>
      </c>
      <c r="T94" s="265">
        <f t="shared" si="5"/>
        <v>114125</v>
      </c>
      <c r="U94" s="265">
        <f t="shared" si="5"/>
        <v>103960</v>
      </c>
      <c r="V94" s="265">
        <f t="shared" si="5"/>
        <v>94455</v>
      </c>
      <c r="W94" s="265">
        <f>SUM(W10+W12+W14+W16+W18+W24+W20+W22+W26+W28+W34+W32+W30+W36+W38+W40+W42)+W44+W46+W48+W8+W50+W52+W54+W56+W58+W60+W64+W62+W66+W68+W70+W72+W92+W74+W76+W78+W80+W82+W84+W86+W88+W90</f>
        <v>606765</v>
      </c>
      <c r="X94" s="266">
        <f>SUM(X10+X12+X14+X16+X18+X24+X20+X22+X26+X28+X34+X32+X30+X36+X38+X40+X42)+X44+X46+X48+X8+X50+X52+X54+X56+X58+X60+X62+X64+X66+X68+X70+X72+X92+X74+X76+X78+X80+X82+X84+X86+X88+X90</f>
        <v>3087091.86</v>
      </c>
    </row>
    <row r="95" spans="1:24" x14ac:dyDescent="0.2">
      <c r="A95" s="267"/>
      <c r="B95" s="457" t="s">
        <v>754</v>
      </c>
      <c r="C95" s="458"/>
      <c r="D95" s="458"/>
      <c r="E95" s="458"/>
      <c r="F95" s="458"/>
      <c r="G95" s="268"/>
      <c r="H95" s="269">
        <f>SUM(H93:H94)</f>
        <v>7504118.8200000003</v>
      </c>
      <c r="I95" s="269">
        <f t="shared" ref="I95:V95" si="6">SUM(I93:I94)</f>
        <v>5657075.1199999992</v>
      </c>
      <c r="J95" s="269">
        <f t="shared" si="6"/>
        <v>4981438.3999999994</v>
      </c>
      <c r="K95" s="269">
        <f t="shared" si="6"/>
        <v>4651711</v>
      </c>
      <c r="L95" s="269">
        <f t="shared" si="6"/>
        <v>4510832</v>
      </c>
      <c r="M95" s="269">
        <f t="shared" si="6"/>
        <v>4553991</v>
      </c>
      <c r="N95" s="269">
        <f t="shared" si="6"/>
        <v>4513446</v>
      </c>
      <c r="O95" s="269">
        <f t="shared" si="6"/>
        <v>3282138</v>
      </c>
      <c r="P95" s="269">
        <f t="shared" si="6"/>
        <v>2919510</v>
      </c>
      <c r="Q95" s="269">
        <f t="shared" si="6"/>
        <v>2873620</v>
      </c>
      <c r="R95" s="269">
        <f t="shared" si="6"/>
        <v>3038635</v>
      </c>
      <c r="S95" s="269">
        <f t="shared" si="6"/>
        <v>3160553</v>
      </c>
      <c r="T95" s="269">
        <f t="shared" si="6"/>
        <v>3151033</v>
      </c>
      <c r="U95" s="269">
        <f t="shared" si="6"/>
        <v>3118816</v>
      </c>
      <c r="V95" s="269">
        <f t="shared" si="6"/>
        <v>2652911</v>
      </c>
      <c r="W95" s="269">
        <f>SUM(W93:W94)</f>
        <v>26292596.48</v>
      </c>
      <c r="X95" s="270">
        <f>SUM(X93:X94)</f>
        <v>86806201.679999992</v>
      </c>
    </row>
    <row r="96" spans="1:24" x14ac:dyDescent="0.2">
      <c r="A96" s="271"/>
      <c r="B96" s="423" t="s">
        <v>755</v>
      </c>
      <c r="C96" s="424"/>
      <c r="D96" s="272"/>
      <c r="E96" s="273" t="s">
        <v>756</v>
      </c>
      <c r="F96" s="375">
        <v>63862185</v>
      </c>
      <c r="G96" s="274" t="s">
        <v>757</v>
      </c>
      <c r="H96" s="154">
        <f>SUM(H95/$F$96)</f>
        <v>0.1175048868121252</v>
      </c>
      <c r="I96" s="154">
        <f t="shared" ref="I96:S96" si="7">SUM(I95/$F$96)</f>
        <v>8.8582548811945591E-2</v>
      </c>
      <c r="J96" s="154">
        <f t="shared" si="7"/>
        <v>7.8002943369382044E-2</v>
      </c>
      <c r="K96" s="154">
        <f t="shared" si="7"/>
        <v>7.2839834715959062E-2</v>
      </c>
      <c r="L96" s="154">
        <f>SUM(L95/$F$96)</f>
        <v>7.0633850063225992E-2</v>
      </c>
      <c r="M96" s="154">
        <f t="shared" si="7"/>
        <v>7.1309664710031459E-2</v>
      </c>
      <c r="N96" s="154">
        <f t="shared" si="7"/>
        <v>7.0674781954297369E-2</v>
      </c>
      <c r="O96" s="154">
        <f t="shared" si="7"/>
        <v>5.139407616573094E-2</v>
      </c>
      <c r="P96" s="155">
        <f t="shared" si="7"/>
        <v>4.571578626694342E-2</v>
      </c>
      <c r="Q96" s="155">
        <f t="shared" si="7"/>
        <v>4.4997207658961244E-2</v>
      </c>
      <c r="R96" s="155">
        <f t="shared" si="7"/>
        <v>4.7581131149834602E-2</v>
      </c>
      <c r="S96" s="155">
        <f t="shared" si="7"/>
        <v>4.9490210834471138E-2</v>
      </c>
      <c r="T96" s="155">
        <f>SUM(T95/$F$96)</f>
        <v>4.9341139831028329E-2</v>
      </c>
      <c r="U96" s="155">
        <f t="shared" ref="U96:W96" si="8">SUM(U95/$F$96)</f>
        <v>4.8836662885868999E-2</v>
      </c>
      <c r="V96" s="155">
        <f t="shared" si="8"/>
        <v>4.1541187480509785E-2</v>
      </c>
      <c r="W96" s="155">
        <f t="shared" si="8"/>
        <v>0.41170837609142252</v>
      </c>
      <c r="X96" s="156"/>
    </row>
    <row r="97" spans="1:24" x14ac:dyDescent="0.2">
      <c r="A97" s="275"/>
      <c r="B97" s="423" t="s">
        <v>785</v>
      </c>
      <c r="C97" s="424"/>
      <c r="D97" s="272"/>
      <c r="E97" s="273"/>
      <c r="F97" s="169"/>
      <c r="G97" s="276" t="s">
        <v>757</v>
      </c>
      <c r="H97" s="277">
        <f t="shared" ref="H97:W97" si="9">SUM((H95-H99)/$F$96)</f>
        <v>9.1645229489094371E-2</v>
      </c>
      <c r="I97" s="278">
        <f t="shared" si="9"/>
        <v>8.8582548811945591E-2</v>
      </c>
      <c r="J97" s="278">
        <f t="shared" si="9"/>
        <v>7.8002943369382044E-2</v>
      </c>
      <c r="K97" s="278">
        <f t="shared" si="9"/>
        <v>7.2839834715959062E-2</v>
      </c>
      <c r="L97" s="278">
        <f t="shared" si="9"/>
        <v>7.0633850063225992E-2</v>
      </c>
      <c r="M97" s="278">
        <f t="shared" si="9"/>
        <v>7.1309664710031459E-2</v>
      </c>
      <c r="N97" s="278">
        <f t="shared" si="9"/>
        <v>7.0674781954297369E-2</v>
      </c>
      <c r="O97" s="278">
        <f t="shared" si="9"/>
        <v>5.139407616573094E-2</v>
      </c>
      <c r="P97" s="278">
        <f t="shared" si="9"/>
        <v>4.571578626694342E-2</v>
      </c>
      <c r="Q97" s="278">
        <f t="shared" si="9"/>
        <v>4.4997207658961244E-2</v>
      </c>
      <c r="R97" s="278">
        <f t="shared" si="9"/>
        <v>4.7581131149834602E-2</v>
      </c>
      <c r="S97" s="278">
        <f t="shared" si="9"/>
        <v>4.9490210834471138E-2</v>
      </c>
      <c r="T97" s="278">
        <f t="shared" si="9"/>
        <v>4.9341139831028329E-2</v>
      </c>
      <c r="U97" s="278">
        <f t="shared" si="9"/>
        <v>4.8836662885868999E-2</v>
      </c>
      <c r="V97" s="278">
        <f t="shared" si="9"/>
        <v>4.1541187480509785E-2</v>
      </c>
      <c r="W97" s="278">
        <f t="shared" si="9"/>
        <v>0.41170837609142252</v>
      </c>
      <c r="X97" s="279"/>
    </row>
    <row r="98" spans="1:24" ht="15" customHeight="1" x14ac:dyDescent="0.2">
      <c r="C98" s="280"/>
      <c r="D98" s="280"/>
      <c r="E98" s="280"/>
      <c r="F98" s="280"/>
      <c r="G98" s="280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X98" s="281"/>
    </row>
    <row r="99" spans="1:24" ht="15" customHeight="1" x14ac:dyDescent="0.2">
      <c r="C99" s="280"/>
      <c r="D99" s="280"/>
      <c r="E99" s="427" t="s">
        <v>852</v>
      </c>
      <c r="F99" s="427"/>
      <c r="G99" s="427"/>
      <c r="H99" s="343">
        <f>H19-750.21+H39+H41+H47+H51+H57+H65+H69+H73+H75+H79+H81</f>
        <v>1651454.22</v>
      </c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2"/>
      <c r="X99" s="281"/>
    </row>
    <row r="100" spans="1:24" ht="15" customHeight="1" x14ac:dyDescent="0.2">
      <c r="C100" s="280"/>
      <c r="D100" s="280"/>
      <c r="E100" s="427" t="s">
        <v>784</v>
      </c>
      <c r="F100" s="427"/>
      <c r="G100" s="427"/>
      <c r="H100" s="281">
        <f>5582664.39+0.21</f>
        <v>5582664.5999999996</v>
      </c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2"/>
      <c r="X100" s="281"/>
    </row>
    <row r="101" spans="1:24" ht="15" customHeight="1" x14ac:dyDescent="0.2">
      <c r="C101" s="280"/>
      <c r="D101" s="280"/>
      <c r="E101" s="452"/>
      <c r="F101" s="452"/>
      <c r="G101" s="452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2"/>
      <c r="X101" s="281"/>
    </row>
    <row r="102" spans="1:24" x14ac:dyDescent="0.2">
      <c r="D102" s="202"/>
      <c r="E102" s="283"/>
      <c r="F102" s="284"/>
      <c r="G102" s="284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X102" s="286"/>
    </row>
    <row r="103" spans="1:24" s="289" customFormat="1" ht="15" hidden="1" customHeight="1" x14ac:dyDescent="0.2">
      <c r="A103" s="200"/>
      <c r="B103" s="205"/>
      <c r="C103" s="453" t="s">
        <v>758</v>
      </c>
      <c r="D103" s="453"/>
      <c r="E103" s="453"/>
      <c r="F103" s="453"/>
      <c r="G103" s="453"/>
      <c r="H103" s="287"/>
      <c r="I103" s="287">
        <f>I93-H93+H99+1000000</f>
        <v>834080.51999999885</v>
      </c>
      <c r="J103" s="287">
        <f t="shared" ref="J103:V103" si="10">J93-I93</f>
        <v>-663156.71999999974</v>
      </c>
      <c r="K103" s="287">
        <f t="shared" si="10"/>
        <v>-315312.39999999944</v>
      </c>
      <c r="L103" s="287">
        <f t="shared" si="10"/>
        <v>-127944</v>
      </c>
      <c r="M103" s="287">
        <f t="shared" si="10"/>
        <v>56904</v>
      </c>
      <c r="N103" s="287">
        <f t="shared" si="10"/>
        <v>-27260</v>
      </c>
      <c r="O103" s="287">
        <f t="shared" si="10"/>
        <v>-1218793</v>
      </c>
      <c r="P103" s="287">
        <f t="shared" si="10"/>
        <v>-353358</v>
      </c>
      <c r="Q103" s="287">
        <f t="shared" si="10"/>
        <v>-36425</v>
      </c>
      <c r="R103" s="287">
        <f t="shared" si="10"/>
        <v>174070</v>
      </c>
      <c r="S103" s="287">
        <f t="shared" si="10"/>
        <v>131438</v>
      </c>
      <c r="T103" s="287">
        <f t="shared" si="10"/>
        <v>0</v>
      </c>
      <c r="U103" s="287">
        <f t="shared" si="10"/>
        <v>-22052</v>
      </c>
      <c r="V103" s="287">
        <f t="shared" si="10"/>
        <v>-456400</v>
      </c>
      <c r="W103" s="287"/>
      <c r="X103" s="288"/>
    </row>
    <row r="104" spans="1:24" s="289" customFormat="1" ht="15" hidden="1" customHeight="1" x14ac:dyDescent="0.2">
      <c r="A104" s="200"/>
      <c r="B104" s="205"/>
      <c r="C104" s="453" t="s">
        <v>759</v>
      </c>
      <c r="D104" s="453"/>
      <c r="E104" s="453"/>
      <c r="F104" s="453"/>
      <c r="G104" s="453"/>
      <c r="H104" s="287"/>
      <c r="I104" s="287">
        <f>I95-H95</f>
        <v>-1847043.7000000011</v>
      </c>
      <c r="J104" s="287">
        <f>J95-I95</f>
        <v>-675636.71999999974</v>
      </c>
      <c r="K104" s="287">
        <f t="shared" ref="K104:V104" si="11">K95-J95</f>
        <v>-329727.39999999944</v>
      </c>
      <c r="L104" s="287">
        <f t="shared" si="11"/>
        <v>-140879</v>
      </c>
      <c r="M104" s="287">
        <f t="shared" si="11"/>
        <v>43159</v>
      </c>
      <c r="N104" s="287">
        <f t="shared" si="11"/>
        <v>-40545</v>
      </c>
      <c r="O104" s="287">
        <f t="shared" si="11"/>
        <v>-1231308</v>
      </c>
      <c r="P104" s="287">
        <f t="shared" si="11"/>
        <v>-362628</v>
      </c>
      <c r="Q104" s="287">
        <f t="shared" si="11"/>
        <v>-45890</v>
      </c>
      <c r="R104" s="287">
        <f t="shared" si="11"/>
        <v>165015</v>
      </c>
      <c r="S104" s="287">
        <f t="shared" si="11"/>
        <v>121918</v>
      </c>
      <c r="T104" s="287">
        <f t="shared" si="11"/>
        <v>-9520</v>
      </c>
      <c r="U104" s="287">
        <f t="shared" si="11"/>
        <v>-32217</v>
      </c>
      <c r="V104" s="287">
        <f t="shared" si="11"/>
        <v>-465905</v>
      </c>
      <c r="W104" s="287"/>
      <c r="X104" s="288"/>
    </row>
    <row r="105" spans="1:24" s="289" customFormat="1" hidden="1" x14ac:dyDescent="0.2">
      <c r="A105" s="290"/>
      <c r="B105" s="291"/>
      <c r="C105" s="290"/>
      <c r="D105" s="290"/>
      <c r="E105" s="206"/>
      <c r="F105" s="292"/>
      <c r="G105" s="292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</row>
    <row r="106" spans="1:24" s="289" customFormat="1" x14ac:dyDescent="0.2">
      <c r="A106" s="290"/>
      <c r="B106" s="291"/>
      <c r="C106" s="290"/>
      <c r="D106" s="290"/>
      <c r="E106" s="206"/>
      <c r="F106" s="292"/>
      <c r="G106" s="292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</row>
    <row r="107" spans="1:24" s="289" customFormat="1" x14ac:dyDescent="0.2">
      <c r="A107" s="290"/>
      <c r="B107" s="291"/>
      <c r="C107" s="290"/>
      <c r="D107" s="290"/>
      <c r="E107" s="206"/>
      <c r="F107" s="292"/>
      <c r="G107" s="292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</row>
    <row r="108" spans="1:24" s="289" customFormat="1" x14ac:dyDescent="0.2">
      <c r="A108" s="290"/>
      <c r="B108" s="294" t="s">
        <v>760</v>
      </c>
      <c r="C108" s="290"/>
      <c r="D108" s="290"/>
      <c r="E108" s="206"/>
      <c r="F108" s="292"/>
      <c r="G108" s="292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</row>
    <row r="109" spans="1:24" s="289" customFormat="1" x14ac:dyDescent="0.2">
      <c r="A109" s="445">
        <v>1</v>
      </c>
      <c r="B109" s="188" t="s">
        <v>655</v>
      </c>
      <c r="C109" s="447" t="s">
        <v>761</v>
      </c>
      <c r="D109" s="190"/>
      <c r="E109" s="438">
        <v>5122338.5199999996</v>
      </c>
      <c r="F109" s="440" t="s">
        <v>762</v>
      </c>
      <c r="G109" s="295" t="s">
        <v>658</v>
      </c>
      <c r="H109" s="134">
        <v>216000</v>
      </c>
      <c r="I109" s="134">
        <v>216000</v>
      </c>
      <c r="J109" s="134">
        <v>216000</v>
      </c>
      <c r="K109" s="134">
        <v>216000</v>
      </c>
      <c r="L109" s="134">
        <v>216000</v>
      </c>
      <c r="M109" s="134">
        <v>216000</v>
      </c>
      <c r="N109" s="134">
        <v>216000</v>
      </c>
      <c r="O109" s="134">
        <v>216000</v>
      </c>
      <c r="P109" s="134">
        <v>216000</v>
      </c>
      <c r="Q109" s="134">
        <v>216000</v>
      </c>
      <c r="R109" s="134">
        <v>216000</v>
      </c>
      <c r="S109" s="134">
        <v>0</v>
      </c>
      <c r="T109" s="134">
        <v>0</v>
      </c>
      <c r="U109" s="170">
        <v>0</v>
      </c>
      <c r="V109" s="170">
        <v>0</v>
      </c>
      <c r="W109" s="170">
        <v>0</v>
      </c>
      <c r="X109" s="126">
        <f t="shared" ref="X109:X116" si="12">SUM(H109:W109)</f>
        <v>2376000</v>
      </c>
    </row>
    <row r="110" spans="1:24" s="289" customFormat="1" x14ac:dyDescent="0.2">
      <c r="A110" s="446"/>
      <c r="B110" s="189" t="s">
        <v>763</v>
      </c>
      <c r="C110" s="437"/>
      <c r="D110" s="191"/>
      <c r="E110" s="439"/>
      <c r="F110" s="441"/>
      <c r="G110" s="296">
        <v>5.0000000000000001E-3</v>
      </c>
      <c r="H110" s="161">
        <v>11850</v>
      </c>
      <c r="I110" s="161">
        <v>10785</v>
      </c>
      <c r="J110" s="161">
        <v>9690</v>
      </c>
      <c r="K110" s="161">
        <v>8595</v>
      </c>
      <c r="L110" s="161">
        <v>7520</v>
      </c>
      <c r="M110" s="161">
        <v>6405</v>
      </c>
      <c r="N110" s="161">
        <v>5310</v>
      </c>
      <c r="O110" s="161">
        <v>4215</v>
      </c>
      <c r="P110" s="161">
        <v>3130</v>
      </c>
      <c r="Q110" s="161">
        <v>2025</v>
      </c>
      <c r="R110" s="161">
        <v>930</v>
      </c>
      <c r="S110" s="161">
        <v>65</v>
      </c>
      <c r="T110" s="161">
        <v>0</v>
      </c>
      <c r="U110" s="171">
        <v>0</v>
      </c>
      <c r="V110" s="171">
        <v>0</v>
      </c>
      <c r="W110" s="171">
        <v>0</v>
      </c>
      <c r="X110" s="129">
        <f t="shared" si="12"/>
        <v>70520</v>
      </c>
    </row>
    <row r="111" spans="1:24" s="289" customFormat="1" x14ac:dyDescent="0.2">
      <c r="A111" s="445">
        <v>2</v>
      </c>
      <c r="B111" s="188" t="s">
        <v>655</v>
      </c>
      <c r="C111" s="447" t="s">
        <v>764</v>
      </c>
      <c r="D111" s="190"/>
      <c r="E111" s="438">
        <v>522193.95</v>
      </c>
      <c r="F111" s="440" t="s">
        <v>765</v>
      </c>
      <c r="G111" s="295" t="s">
        <v>658</v>
      </c>
      <c r="H111" s="134"/>
      <c r="I111" s="134"/>
      <c r="J111" s="134">
        <v>0</v>
      </c>
      <c r="K111" s="134">
        <v>10699.57</v>
      </c>
      <c r="L111" s="134">
        <v>32139.84</v>
      </c>
      <c r="M111" s="134">
        <v>32139.84</v>
      </c>
      <c r="N111" s="134">
        <v>32139.84</v>
      </c>
      <c r="O111" s="134">
        <v>32139.84</v>
      </c>
      <c r="P111" s="134">
        <v>32139.84</v>
      </c>
      <c r="Q111" s="134">
        <v>32139.84</v>
      </c>
      <c r="R111" s="134">
        <v>32061.39</v>
      </c>
      <c r="S111" s="134">
        <v>0</v>
      </c>
      <c r="T111" s="134">
        <v>0</v>
      </c>
      <c r="U111" s="170">
        <v>0</v>
      </c>
      <c r="V111" s="170">
        <v>0</v>
      </c>
      <c r="W111" s="170">
        <v>0</v>
      </c>
      <c r="X111" s="126">
        <f>SUM(H111:W111)</f>
        <v>235600</v>
      </c>
    </row>
    <row r="112" spans="1:24" s="289" customFormat="1" x14ac:dyDescent="0.2">
      <c r="A112" s="446"/>
      <c r="B112" s="189" t="s">
        <v>766</v>
      </c>
      <c r="C112" s="437"/>
      <c r="D112" s="191"/>
      <c r="E112" s="439"/>
      <c r="F112" s="441"/>
      <c r="G112" s="296">
        <v>5.0000000000000001E-3</v>
      </c>
      <c r="H112" s="161">
        <v>1200</v>
      </c>
      <c r="I112" s="161">
        <v>1195</v>
      </c>
      <c r="J112" s="161">
        <v>1195</v>
      </c>
      <c r="K112" s="161">
        <v>1195</v>
      </c>
      <c r="L112" s="161">
        <v>1120</v>
      </c>
      <c r="M112" s="161">
        <v>955</v>
      </c>
      <c r="N112" s="161">
        <v>790</v>
      </c>
      <c r="O112" s="161">
        <v>630</v>
      </c>
      <c r="P112" s="161">
        <v>465</v>
      </c>
      <c r="Q112" s="161">
        <v>305</v>
      </c>
      <c r="R112" s="161">
        <v>140</v>
      </c>
      <c r="S112" s="161">
        <v>10</v>
      </c>
      <c r="T112" s="161">
        <v>0</v>
      </c>
      <c r="U112" s="171">
        <v>0</v>
      </c>
      <c r="V112" s="171">
        <v>0</v>
      </c>
      <c r="W112" s="171">
        <v>0</v>
      </c>
      <c r="X112" s="129">
        <f t="shared" si="12"/>
        <v>9200</v>
      </c>
    </row>
    <row r="113" spans="1:24" s="289" customFormat="1" ht="12.75" customHeight="1" x14ac:dyDescent="0.2">
      <c r="A113" s="448">
        <v>3</v>
      </c>
      <c r="B113" s="360" t="s">
        <v>655</v>
      </c>
      <c r="C113" s="450" t="s">
        <v>827</v>
      </c>
      <c r="D113" s="361"/>
      <c r="E113" s="438">
        <v>6033386</v>
      </c>
      <c r="F113" s="450" t="s">
        <v>842</v>
      </c>
      <c r="G113" s="362" t="s">
        <v>658</v>
      </c>
      <c r="H113" s="134"/>
      <c r="I113" s="134"/>
      <c r="J113" s="134"/>
      <c r="K113" s="170">
        <v>221321</v>
      </c>
      <c r="L113" s="170">
        <v>221412</v>
      </c>
      <c r="M113" s="170">
        <v>221412</v>
      </c>
      <c r="N113" s="170">
        <v>221412</v>
      </c>
      <c r="O113" s="170">
        <v>221412</v>
      </c>
      <c r="P113" s="170">
        <v>221412</v>
      </c>
      <c r="Q113" s="170">
        <v>221412</v>
      </c>
      <c r="R113" s="170">
        <v>221412</v>
      </c>
      <c r="S113" s="170">
        <v>221412</v>
      </c>
      <c r="T113" s="170">
        <v>221412</v>
      </c>
      <c r="U113" s="170">
        <v>221412</v>
      </c>
      <c r="V113" s="170">
        <v>221412</v>
      </c>
      <c r="W113" s="170">
        <v>3376533</v>
      </c>
      <c r="X113" s="126">
        <f t="shared" si="12"/>
        <v>6033386</v>
      </c>
    </row>
    <row r="114" spans="1:24" s="289" customFormat="1" x14ac:dyDescent="0.2">
      <c r="A114" s="449"/>
      <c r="B114" s="363" t="s">
        <v>843</v>
      </c>
      <c r="C114" s="451"/>
      <c r="D114" s="364"/>
      <c r="E114" s="439"/>
      <c r="F114" s="451"/>
      <c r="G114" s="365">
        <v>1.477E-2</v>
      </c>
      <c r="H114" s="161">
        <f>25250</f>
        <v>25250</v>
      </c>
      <c r="I114" s="161">
        <v>90355</v>
      </c>
      <c r="J114" s="161">
        <v>90355</v>
      </c>
      <c r="K114" s="161">
        <v>89660</v>
      </c>
      <c r="L114" s="161">
        <v>86765</v>
      </c>
      <c r="M114" s="161">
        <v>83210</v>
      </c>
      <c r="N114" s="161">
        <v>79895</v>
      </c>
      <c r="O114" s="161">
        <v>76580</v>
      </c>
      <c r="P114" s="161">
        <v>73465</v>
      </c>
      <c r="Q114" s="161">
        <v>69950</v>
      </c>
      <c r="R114" s="161">
        <v>66635</v>
      </c>
      <c r="S114" s="161">
        <v>63320</v>
      </c>
      <c r="T114" s="161">
        <v>60170</v>
      </c>
      <c r="U114" s="171">
        <v>56685</v>
      </c>
      <c r="V114" s="171">
        <v>53370</v>
      </c>
      <c r="W114" s="171">
        <v>403525</v>
      </c>
      <c r="X114" s="129">
        <f t="shared" si="12"/>
        <v>1469190</v>
      </c>
    </row>
    <row r="115" spans="1:24" s="289" customFormat="1" hidden="1" x14ac:dyDescent="0.2">
      <c r="A115" s="434"/>
      <c r="B115" s="188"/>
      <c r="C115" s="436"/>
      <c r="D115" s="190"/>
      <c r="E115" s="438"/>
      <c r="F115" s="440"/>
      <c r="G115" s="29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8"/>
      <c r="V115" s="158"/>
      <c r="W115" s="158"/>
      <c r="X115" s="126">
        <f t="shared" si="12"/>
        <v>0</v>
      </c>
    </row>
    <row r="116" spans="1:24" s="289" customFormat="1" hidden="1" x14ac:dyDescent="0.2">
      <c r="A116" s="435"/>
      <c r="B116" s="189"/>
      <c r="C116" s="437"/>
      <c r="D116" s="191"/>
      <c r="E116" s="439"/>
      <c r="F116" s="441"/>
      <c r="G116" s="296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60"/>
      <c r="V116" s="160"/>
      <c r="W116" s="160"/>
      <c r="X116" s="129">
        <f t="shared" si="12"/>
        <v>0</v>
      </c>
    </row>
    <row r="117" spans="1:24" s="289" customFormat="1" x14ac:dyDescent="0.2">
      <c r="A117" s="297"/>
      <c r="B117" s="442" t="s">
        <v>767</v>
      </c>
      <c r="C117" s="443"/>
      <c r="D117" s="443"/>
      <c r="E117" s="443"/>
      <c r="F117" s="444"/>
      <c r="G117" s="298"/>
      <c r="H117" s="299">
        <f>H109+H111+H113+H115</f>
        <v>216000</v>
      </c>
      <c r="I117" s="299">
        <f t="shared" ref="I117:W118" si="13">I109+I111+I113+I115</f>
        <v>216000</v>
      </c>
      <c r="J117" s="299">
        <f t="shared" si="13"/>
        <v>216000</v>
      </c>
      <c r="K117" s="299">
        <f t="shared" si="13"/>
        <v>448020.57</v>
      </c>
      <c r="L117" s="299">
        <f t="shared" si="13"/>
        <v>469551.83999999997</v>
      </c>
      <c r="M117" s="299">
        <f t="shared" si="13"/>
        <v>469551.83999999997</v>
      </c>
      <c r="N117" s="299">
        <f t="shared" si="13"/>
        <v>469551.83999999997</v>
      </c>
      <c r="O117" s="299">
        <f t="shared" si="13"/>
        <v>469551.83999999997</v>
      </c>
      <c r="P117" s="299">
        <f t="shared" si="13"/>
        <v>469551.83999999997</v>
      </c>
      <c r="Q117" s="299">
        <f t="shared" si="13"/>
        <v>469551.83999999997</v>
      </c>
      <c r="R117" s="299">
        <f t="shared" si="13"/>
        <v>469473.39</v>
      </c>
      <c r="S117" s="299">
        <f t="shared" si="13"/>
        <v>221412</v>
      </c>
      <c r="T117" s="299">
        <f t="shared" si="13"/>
        <v>221412</v>
      </c>
      <c r="U117" s="299">
        <f t="shared" si="13"/>
        <v>221412</v>
      </c>
      <c r="V117" s="299">
        <f t="shared" si="13"/>
        <v>221412</v>
      </c>
      <c r="W117" s="299">
        <f t="shared" si="13"/>
        <v>3376533</v>
      </c>
      <c r="X117" s="300">
        <f>+X109+X111+X113+X115</f>
        <v>8644986</v>
      </c>
    </row>
    <row r="118" spans="1:24" s="289" customFormat="1" ht="13.5" thickBot="1" x14ac:dyDescent="0.25">
      <c r="A118" s="301"/>
      <c r="B118" s="431" t="s">
        <v>753</v>
      </c>
      <c r="C118" s="431"/>
      <c r="D118" s="431"/>
      <c r="E118" s="431"/>
      <c r="F118" s="431"/>
      <c r="G118" s="302"/>
      <c r="H118" s="303">
        <f>H110+H112+H114+H116</f>
        <v>38300</v>
      </c>
      <c r="I118" s="303">
        <f t="shared" si="13"/>
        <v>102335</v>
      </c>
      <c r="J118" s="303">
        <f t="shared" si="13"/>
        <v>101240</v>
      </c>
      <c r="K118" s="303">
        <f t="shared" si="13"/>
        <v>99450</v>
      </c>
      <c r="L118" s="303">
        <f t="shared" si="13"/>
        <v>95405</v>
      </c>
      <c r="M118" s="303">
        <f t="shared" si="13"/>
        <v>90570</v>
      </c>
      <c r="N118" s="303">
        <f t="shared" si="13"/>
        <v>85995</v>
      </c>
      <c r="O118" s="303">
        <f t="shared" si="13"/>
        <v>81425</v>
      </c>
      <c r="P118" s="303">
        <f t="shared" si="13"/>
        <v>77060</v>
      </c>
      <c r="Q118" s="303">
        <f t="shared" si="13"/>
        <v>72280</v>
      </c>
      <c r="R118" s="303">
        <f t="shared" si="13"/>
        <v>67705</v>
      </c>
      <c r="S118" s="303">
        <f t="shared" si="13"/>
        <v>63395</v>
      </c>
      <c r="T118" s="303">
        <f t="shared" si="13"/>
        <v>60170</v>
      </c>
      <c r="U118" s="303">
        <f t="shared" si="13"/>
        <v>56685</v>
      </c>
      <c r="V118" s="303">
        <f t="shared" si="13"/>
        <v>53370</v>
      </c>
      <c r="W118" s="303">
        <f t="shared" si="13"/>
        <v>403525</v>
      </c>
      <c r="X118" s="304">
        <f>+X110+X112+X114+X116</f>
        <v>1548910</v>
      </c>
    </row>
    <row r="119" spans="1:24" s="289" customFormat="1" ht="13.5" thickTop="1" x14ac:dyDescent="0.2">
      <c r="A119" s="305"/>
      <c r="B119" s="425" t="s">
        <v>768</v>
      </c>
      <c r="C119" s="426"/>
      <c r="D119" s="426"/>
      <c r="E119" s="426"/>
      <c r="F119" s="426"/>
      <c r="G119" s="306"/>
      <c r="H119" s="307">
        <f t="shared" ref="H119:W119" si="14">SUM(H117:H118)</f>
        <v>254300</v>
      </c>
      <c r="I119" s="307">
        <f t="shared" si="14"/>
        <v>318335</v>
      </c>
      <c r="J119" s="307">
        <f t="shared" si="14"/>
        <v>317240</v>
      </c>
      <c r="K119" s="307">
        <f t="shared" si="14"/>
        <v>547470.57000000007</v>
      </c>
      <c r="L119" s="307">
        <f t="shared" si="14"/>
        <v>564956.84</v>
      </c>
      <c r="M119" s="307">
        <f t="shared" si="14"/>
        <v>560121.84</v>
      </c>
      <c r="N119" s="307">
        <f t="shared" si="14"/>
        <v>555546.84</v>
      </c>
      <c r="O119" s="307">
        <f t="shared" si="14"/>
        <v>550976.84</v>
      </c>
      <c r="P119" s="307">
        <f t="shared" si="14"/>
        <v>546611.84</v>
      </c>
      <c r="Q119" s="307">
        <f t="shared" si="14"/>
        <v>541831.84</v>
      </c>
      <c r="R119" s="307">
        <f t="shared" si="14"/>
        <v>537178.39</v>
      </c>
      <c r="S119" s="307">
        <f t="shared" si="14"/>
        <v>284807</v>
      </c>
      <c r="T119" s="307">
        <f t="shared" si="14"/>
        <v>281582</v>
      </c>
      <c r="U119" s="307">
        <f t="shared" si="14"/>
        <v>278097</v>
      </c>
      <c r="V119" s="307">
        <f t="shared" si="14"/>
        <v>274782</v>
      </c>
      <c r="W119" s="307">
        <f t="shared" si="14"/>
        <v>3780058</v>
      </c>
      <c r="X119" s="308">
        <f>SUM(X117:X118)</f>
        <v>10193896</v>
      </c>
    </row>
    <row r="120" spans="1:24" s="289" customFormat="1" x14ac:dyDescent="0.2">
      <c r="A120" s="309"/>
      <c r="B120" s="310"/>
      <c r="C120" s="311"/>
      <c r="D120" s="311"/>
      <c r="E120" s="311"/>
      <c r="F120" s="311"/>
      <c r="G120" s="309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12"/>
      <c r="W120" s="312"/>
      <c r="X120" s="312"/>
    </row>
    <row r="121" spans="1:24" s="289" customFormat="1" hidden="1" x14ac:dyDescent="0.2">
      <c r="A121" s="309"/>
      <c r="B121" s="310"/>
      <c r="C121" s="311"/>
      <c r="D121" s="311"/>
      <c r="E121" s="427" t="s">
        <v>828</v>
      </c>
      <c r="F121" s="427"/>
      <c r="G121" s="427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</row>
    <row r="122" spans="1:24" s="289" customFormat="1" hidden="1" x14ac:dyDescent="0.2">
      <c r="A122" s="309"/>
      <c r="B122" s="310"/>
      <c r="C122" s="311"/>
      <c r="D122" s="311"/>
      <c r="E122" s="427" t="s">
        <v>784</v>
      </c>
      <c r="F122" s="427"/>
      <c r="G122" s="427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</row>
    <row r="123" spans="1:24" s="289" customFormat="1" hidden="1" x14ac:dyDescent="0.2">
      <c r="A123" s="309"/>
      <c r="B123" s="310"/>
      <c r="C123" s="311"/>
      <c r="D123" s="311"/>
      <c r="E123" s="313"/>
      <c r="F123" s="313"/>
      <c r="G123" s="313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</row>
    <row r="124" spans="1:24" x14ac:dyDescent="0.2">
      <c r="N124" s="314"/>
      <c r="O124" s="314"/>
      <c r="P124" s="314"/>
      <c r="Q124" s="314"/>
      <c r="R124" s="314"/>
      <c r="S124" s="314"/>
      <c r="T124" s="314"/>
      <c r="U124" s="314"/>
      <c r="V124" s="314"/>
      <c r="W124" s="314"/>
    </row>
    <row r="125" spans="1:24" s="289" customFormat="1" ht="12" customHeight="1" x14ac:dyDescent="0.2">
      <c r="A125" s="200"/>
      <c r="B125" s="205"/>
      <c r="C125" s="315" t="s">
        <v>642</v>
      </c>
      <c r="D125" s="315"/>
      <c r="E125" s="206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</row>
    <row r="126" spans="1:24" s="289" customFormat="1" x14ac:dyDescent="0.2">
      <c r="A126" s="255"/>
      <c r="B126" s="428" t="s">
        <v>769</v>
      </c>
      <c r="C126" s="429"/>
      <c r="D126" s="429"/>
      <c r="E126" s="429"/>
      <c r="F126" s="430"/>
      <c r="G126" s="260"/>
      <c r="H126" s="316">
        <f t="shared" ref="H126:W127" si="15">H93+H117</f>
        <v>7450118.8200000003</v>
      </c>
      <c r="I126" s="316">
        <f t="shared" si="15"/>
        <v>5632745.1199999992</v>
      </c>
      <c r="J126" s="316">
        <f t="shared" si="15"/>
        <v>4969588.3999999994</v>
      </c>
      <c r="K126" s="316">
        <f t="shared" si="15"/>
        <v>4886296.57</v>
      </c>
      <c r="L126" s="316">
        <f t="shared" si="15"/>
        <v>4779883.84</v>
      </c>
      <c r="M126" s="316">
        <f t="shared" si="15"/>
        <v>4836787.84</v>
      </c>
      <c r="N126" s="316">
        <f t="shared" si="15"/>
        <v>4809527.84</v>
      </c>
      <c r="O126" s="316">
        <f t="shared" si="15"/>
        <v>3590734.84</v>
      </c>
      <c r="P126" s="316">
        <f t="shared" si="15"/>
        <v>3237376.84</v>
      </c>
      <c r="Q126" s="316">
        <f t="shared" si="15"/>
        <v>3200951.84</v>
      </c>
      <c r="R126" s="316">
        <f t="shared" si="15"/>
        <v>3374943.39</v>
      </c>
      <c r="S126" s="316">
        <f t="shared" si="15"/>
        <v>3258320</v>
      </c>
      <c r="T126" s="316">
        <f t="shared" si="15"/>
        <v>3258320</v>
      </c>
      <c r="U126" s="316">
        <f t="shared" si="15"/>
        <v>3236268</v>
      </c>
      <c r="V126" s="316">
        <f t="shared" si="15"/>
        <v>2779868</v>
      </c>
      <c r="W126" s="316">
        <f t="shared" si="15"/>
        <v>29062364.48</v>
      </c>
      <c r="X126" s="317">
        <f>SUM(H126:W126)</f>
        <v>92364095.820000008</v>
      </c>
    </row>
    <row r="127" spans="1:24" s="289" customFormat="1" ht="13.5" thickBot="1" x14ac:dyDescent="0.25">
      <c r="A127" s="301"/>
      <c r="B127" s="431" t="s">
        <v>753</v>
      </c>
      <c r="C127" s="431"/>
      <c r="D127" s="431"/>
      <c r="E127" s="431"/>
      <c r="F127" s="431"/>
      <c r="G127" s="318"/>
      <c r="H127" s="303">
        <f t="shared" si="15"/>
        <v>308300</v>
      </c>
      <c r="I127" s="303">
        <f t="shared" si="15"/>
        <v>342665</v>
      </c>
      <c r="J127" s="303">
        <f t="shared" si="15"/>
        <v>329090</v>
      </c>
      <c r="K127" s="303">
        <f t="shared" si="15"/>
        <v>312885</v>
      </c>
      <c r="L127" s="303">
        <f t="shared" si="15"/>
        <v>295905</v>
      </c>
      <c r="M127" s="303">
        <f t="shared" si="15"/>
        <v>277325</v>
      </c>
      <c r="N127" s="303">
        <f t="shared" si="15"/>
        <v>259465</v>
      </c>
      <c r="O127" s="303">
        <f t="shared" si="15"/>
        <v>242380</v>
      </c>
      <c r="P127" s="303">
        <f t="shared" si="15"/>
        <v>228745</v>
      </c>
      <c r="Q127" s="303">
        <f t="shared" si="15"/>
        <v>214500</v>
      </c>
      <c r="R127" s="303">
        <f t="shared" si="15"/>
        <v>200870</v>
      </c>
      <c r="S127" s="303">
        <f t="shared" si="15"/>
        <v>187040</v>
      </c>
      <c r="T127" s="303">
        <f t="shared" si="15"/>
        <v>174295</v>
      </c>
      <c r="U127" s="303">
        <f t="shared" si="15"/>
        <v>160645</v>
      </c>
      <c r="V127" s="303">
        <f t="shared" si="15"/>
        <v>147825</v>
      </c>
      <c r="W127" s="303">
        <f t="shared" si="15"/>
        <v>1010290</v>
      </c>
      <c r="X127" s="304">
        <f>SUM(H127:W127)</f>
        <v>4692225</v>
      </c>
    </row>
    <row r="128" spans="1:24" s="289" customFormat="1" ht="13.5" thickTop="1" x14ac:dyDescent="0.2">
      <c r="A128" s="319"/>
      <c r="B128" s="432" t="s">
        <v>654</v>
      </c>
      <c r="C128" s="433"/>
      <c r="D128" s="433"/>
      <c r="E128" s="433"/>
      <c r="F128" s="433"/>
      <c r="G128" s="268"/>
      <c r="H128" s="269">
        <f t="shared" ref="H128:W128" si="16">SUM(H126:H127)</f>
        <v>7758418.8200000003</v>
      </c>
      <c r="I128" s="269">
        <f t="shared" si="16"/>
        <v>5975410.1199999992</v>
      </c>
      <c r="J128" s="269">
        <f t="shared" si="16"/>
        <v>5298678.3999999994</v>
      </c>
      <c r="K128" s="269">
        <f t="shared" si="16"/>
        <v>5199181.57</v>
      </c>
      <c r="L128" s="269">
        <f t="shared" si="16"/>
        <v>5075788.84</v>
      </c>
      <c r="M128" s="269">
        <f t="shared" si="16"/>
        <v>5114112.84</v>
      </c>
      <c r="N128" s="269">
        <f t="shared" si="16"/>
        <v>5068992.84</v>
      </c>
      <c r="O128" s="269">
        <f t="shared" si="16"/>
        <v>3833114.84</v>
      </c>
      <c r="P128" s="269">
        <f t="shared" si="16"/>
        <v>3466121.84</v>
      </c>
      <c r="Q128" s="269">
        <f t="shared" si="16"/>
        <v>3415451.84</v>
      </c>
      <c r="R128" s="269">
        <f t="shared" si="16"/>
        <v>3575813.39</v>
      </c>
      <c r="S128" s="269">
        <f t="shared" si="16"/>
        <v>3445360</v>
      </c>
      <c r="T128" s="269">
        <f t="shared" si="16"/>
        <v>3432615</v>
      </c>
      <c r="U128" s="269">
        <f t="shared" si="16"/>
        <v>3396913</v>
      </c>
      <c r="V128" s="269">
        <f>SUM(V126:V127)</f>
        <v>2927693</v>
      </c>
      <c r="W128" s="269">
        <f t="shared" si="16"/>
        <v>30072654.48</v>
      </c>
      <c r="X128" s="270">
        <f>SUM(X126:X127)</f>
        <v>97056320.820000008</v>
      </c>
    </row>
    <row r="129" spans="1:24" s="289" customFormat="1" x14ac:dyDescent="0.2">
      <c r="A129" s="271"/>
      <c r="B129" s="423" t="s">
        <v>755</v>
      </c>
      <c r="C129" s="424"/>
      <c r="D129" s="272"/>
      <c r="E129" s="272" t="s">
        <v>756</v>
      </c>
      <c r="F129" s="167">
        <f>F96</f>
        <v>63862185</v>
      </c>
      <c r="G129" s="274" t="s">
        <v>757</v>
      </c>
      <c r="H129" s="154">
        <f t="shared" ref="H129:W129" si="17">SUM(H128/$F$129)</f>
        <v>0.12148689901543457</v>
      </c>
      <c r="I129" s="154">
        <f t="shared" si="17"/>
        <v>9.3567267076752836E-2</v>
      </c>
      <c r="J129" s="154">
        <f t="shared" si="17"/>
        <v>8.2970515337049605E-2</v>
      </c>
      <c r="K129" s="154">
        <f t="shared" si="17"/>
        <v>8.1412522449709479E-2</v>
      </c>
      <c r="L129" s="154">
        <f t="shared" si="17"/>
        <v>7.9480350382624701E-2</v>
      </c>
      <c r="M129" s="154">
        <f t="shared" si="17"/>
        <v>8.0080455123795094E-2</v>
      </c>
      <c r="N129" s="154">
        <f t="shared" si="17"/>
        <v>7.9373933729326676E-2</v>
      </c>
      <c r="O129" s="154">
        <f t="shared" si="17"/>
        <v>6.0021667595620158E-2</v>
      </c>
      <c r="P129" s="155">
        <f t="shared" si="17"/>
        <v>5.4275027389056603E-2</v>
      </c>
      <c r="Q129" s="155">
        <f t="shared" si="17"/>
        <v>5.3481600104976046E-2</v>
      </c>
      <c r="R129" s="155">
        <f t="shared" si="17"/>
        <v>5.5992656530621368E-2</v>
      </c>
      <c r="S129" s="155">
        <f t="shared" si="17"/>
        <v>5.3949923573707981E-2</v>
      </c>
      <c r="T129" s="155">
        <f t="shared" si="17"/>
        <v>5.375035320197704E-2</v>
      </c>
      <c r="U129" s="155">
        <f t="shared" si="17"/>
        <v>5.3191305621628826E-2</v>
      </c>
      <c r="V129" s="155">
        <f t="shared" si="17"/>
        <v>4.5843921563285067E-2</v>
      </c>
      <c r="W129" s="155">
        <f t="shared" si="17"/>
        <v>0.47089924154646445</v>
      </c>
      <c r="X129" s="320"/>
    </row>
    <row r="130" spans="1:24" s="289" customFormat="1" x14ac:dyDescent="0.2">
      <c r="A130" s="275"/>
      <c r="B130" s="423" t="s">
        <v>785</v>
      </c>
      <c r="C130" s="424"/>
      <c r="D130" s="272"/>
      <c r="E130" s="273"/>
      <c r="F130" s="169"/>
      <c r="G130" s="276" t="s">
        <v>757</v>
      </c>
      <c r="H130" s="321">
        <f t="shared" ref="H130:W130" si="18">SUM((H128-H99-H121)/$F$129)</f>
        <v>9.5627241692403733E-2</v>
      </c>
      <c r="I130" s="322">
        <f t="shared" si="18"/>
        <v>9.3567267076752836E-2</v>
      </c>
      <c r="J130" s="322">
        <f t="shared" si="18"/>
        <v>8.2970515337049605E-2</v>
      </c>
      <c r="K130" s="322">
        <f t="shared" si="18"/>
        <v>8.1412522449709479E-2</v>
      </c>
      <c r="L130" s="322">
        <f t="shared" si="18"/>
        <v>7.9480350382624701E-2</v>
      </c>
      <c r="M130" s="322">
        <f t="shared" si="18"/>
        <v>8.0080455123795094E-2</v>
      </c>
      <c r="N130" s="322">
        <f t="shared" si="18"/>
        <v>7.9373933729326676E-2</v>
      </c>
      <c r="O130" s="322">
        <f t="shared" si="18"/>
        <v>6.0021667595620158E-2</v>
      </c>
      <c r="P130" s="322">
        <f t="shared" si="18"/>
        <v>5.4275027389056603E-2</v>
      </c>
      <c r="Q130" s="322">
        <f t="shared" si="18"/>
        <v>5.3481600104976046E-2</v>
      </c>
      <c r="R130" s="322">
        <f t="shared" si="18"/>
        <v>5.5992656530621368E-2</v>
      </c>
      <c r="S130" s="322">
        <f t="shared" si="18"/>
        <v>5.3949923573707981E-2</v>
      </c>
      <c r="T130" s="322">
        <f t="shared" si="18"/>
        <v>5.375035320197704E-2</v>
      </c>
      <c r="U130" s="322">
        <f t="shared" si="18"/>
        <v>5.3191305621628826E-2</v>
      </c>
      <c r="V130" s="322">
        <f t="shared" si="18"/>
        <v>4.5843921563285067E-2</v>
      </c>
      <c r="W130" s="322">
        <f t="shared" si="18"/>
        <v>0.47089924154646445</v>
      </c>
      <c r="X130" s="323"/>
    </row>
    <row r="131" spans="1:24" s="289" customFormat="1" ht="15.75" x14ac:dyDescent="0.25">
      <c r="A131" s="200"/>
      <c r="B131" s="205"/>
      <c r="C131" s="206"/>
      <c r="D131" s="206"/>
      <c r="E131" s="206"/>
      <c r="F131" s="200"/>
      <c r="G131" s="200"/>
      <c r="H131" s="162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324"/>
      <c r="U131" s="324"/>
      <c r="V131" s="324"/>
      <c r="W131" s="324"/>
      <c r="X131" s="314"/>
    </row>
    <row r="132" spans="1:24" s="289" customFormat="1" ht="15.75" x14ac:dyDescent="0.25">
      <c r="A132" s="200"/>
      <c r="B132" s="205"/>
      <c r="C132" s="206"/>
      <c r="D132" s="206"/>
      <c r="E132" s="206"/>
      <c r="F132" s="200"/>
      <c r="G132" s="200"/>
      <c r="H132" s="200"/>
      <c r="I132" s="200"/>
      <c r="J132" s="200"/>
      <c r="K132" s="200"/>
      <c r="M132" s="530" t="s">
        <v>102</v>
      </c>
      <c r="N132" s="200"/>
      <c r="O132" s="200"/>
      <c r="P132" s="200"/>
      <c r="Q132" s="200"/>
      <c r="R132" s="200"/>
      <c r="S132" s="200"/>
      <c r="T132" s="531" t="s">
        <v>103</v>
      </c>
      <c r="U132" s="324"/>
      <c r="V132" s="324"/>
      <c r="W132" s="324"/>
      <c r="X132" s="314"/>
    </row>
    <row r="133" spans="1:24" s="289" customFormat="1" x14ac:dyDescent="0.2">
      <c r="A133" s="200"/>
      <c r="B133" s="205"/>
      <c r="C133" s="206"/>
      <c r="D133" s="206"/>
      <c r="E133" s="206"/>
      <c r="F133" s="200"/>
      <c r="G133" s="200"/>
      <c r="H133" s="206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</row>
    <row r="134" spans="1:24" s="289" customFormat="1" ht="18.75" x14ac:dyDescent="0.3">
      <c r="A134" s="200"/>
      <c r="B134" s="205"/>
      <c r="C134" s="206"/>
      <c r="D134" s="206"/>
      <c r="E134" s="206"/>
      <c r="F134" s="200"/>
      <c r="G134" s="200"/>
      <c r="H134" s="163"/>
      <c r="I134" s="200"/>
      <c r="M134" s="200"/>
      <c r="N134" s="200"/>
      <c r="O134" s="200"/>
      <c r="P134" s="200"/>
      <c r="Q134" s="200"/>
      <c r="R134" s="200"/>
      <c r="S134" s="200"/>
      <c r="U134" s="325"/>
      <c r="V134" s="325"/>
      <c r="W134" s="325"/>
      <c r="X134" s="200"/>
    </row>
    <row r="135" spans="1:24" s="289" customFormat="1" ht="15.75" x14ac:dyDescent="0.25">
      <c r="A135" s="200"/>
      <c r="B135" s="205"/>
      <c r="C135" s="206"/>
      <c r="D135" s="206"/>
      <c r="E135" s="206"/>
      <c r="F135" s="200"/>
      <c r="G135" s="200"/>
      <c r="H135" s="326"/>
      <c r="I135" s="327"/>
      <c r="J135" s="163"/>
      <c r="K135" s="164"/>
      <c r="L135" s="164"/>
      <c r="M135" s="164"/>
      <c r="N135" s="164"/>
      <c r="O135" s="164"/>
      <c r="P135" s="164"/>
      <c r="Q135" s="164"/>
      <c r="R135" s="164"/>
      <c r="S135" s="164"/>
      <c r="T135" s="328"/>
      <c r="U135" s="328"/>
      <c r="V135" s="328"/>
      <c r="W135" s="328"/>
      <c r="X135" s="200"/>
    </row>
    <row r="136" spans="1:24" s="289" customFormat="1" ht="15" x14ac:dyDescent="0.25">
      <c r="A136" s="200"/>
      <c r="B136" s="205"/>
      <c r="C136" s="326"/>
      <c r="D136" s="326"/>
      <c r="E136" s="203"/>
      <c r="F136" s="203"/>
      <c r="G136" s="328"/>
      <c r="H136" s="200"/>
      <c r="I136" s="200"/>
      <c r="J136" s="203"/>
      <c r="K136" s="328"/>
      <c r="L136" s="328"/>
      <c r="M136" s="328"/>
      <c r="N136" s="328"/>
      <c r="O136" s="328"/>
      <c r="P136" s="328"/>
      <c r="Q136" s="328"/>
      <c r="R136" s="328"/>
      <c r="S136" s="328"/>
      <c r="T136" s="200"/>
      <c r="U136" s="200"/>
      <c r="V136" s="200"/>
      <c r="W136" s="200"/>
      <c r="X136" s="200"/>
    </row>
    <row r="137" spans="1:24" s="289" customFormat="1" ht="15" x14ac:dyDescent="0.25">
      <c r="A137" s="200"/>
      <c r="B137" s="326"/>
      <c r="C137" s="326"/>
      <c r="D137" s="326"/>
      <c r="E137" s="203"/>
      <c r="F137" s="203"/>
      <c r="G137" s="328"/>
      <c r="H137" s="200"/>
      <c r="I137" s="165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</row>
    <row r="138" spans="1:24" ht="15" x14ac:dyDescent="0.25">
      <c r="B138" s="326"/>
      <c r="C138" s="326"/>
      <c r="D138" s="326"/>
      <c r="E138" s="203"/>
      <c r="F138" s="203"/>
      <c r="G138" s="328"/>
    </row>
    <row r="139" spans="1:24" ht="15" x14ac:dyDescent="0.25">
      <c r="B139" s="326"/>
      <c r="C139" s="326"/>
      <c r="D139" s="326"/>
      <c r="E139" s="203"/>
      <c r="F139" s="203"/>
      <c r="G139" s="328"/>
    </row>
    <row r="140" spans="1:24" ht="15" x14ac:dyDescent="0.25">
      <c r="C140" s="326"/>
      <c r="D140" s="326"/>
      <c r="E140" s="203"/>
      <c r="F140" s="203"/>
      <c r="G140" s="328"/>
    </row>
    <row r="141" spans="1:24" ht="15" x14ac:dyDescent="0.25">
      <c r="C141" s="326"/>
      <c r="D141" s="326"/>
      <c r="E141" s="203"/>
      <c r="F141" s="203"/>
      <c r="G141" s="328"/>
    </row>
  </sheetData>
  <mergeCells count="254">
    <mergeCell ref="A4:H4"/>
    <mergeCell ref="A5:A6"/>
    <mergeCell ref="B5:B6"/>
    <mergeCell ref="C5:C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A35:A36"/>
    <mergeCell ref="C35:C36"/>
    <mergeCell ref="D35:D36"/>
    <mergeCell ref="E35:E36"/>
    <mergeCell ref="F35:F36"/>
    <mergeCell ref="A37:A38"/>
    <mergeCell ref="C37:C38"/>
    <mergeCell ref="D37:D38"/>
    <mergeCell ref="E37:E38"/>
    <mergeCell ref="F37:F38"/>
    <mergeCell ref="A39:A40"/>
    <mergeCell ref="C39:C40"/>
    <mergeCell ref="D39:D40"/>
    <mergeCell ref="E39:E40"/>
    <mergeCell ref="F39:F40"/>
    <mergeCell ref="A41:A42"/>
    <mergeCell ref="C41:C42"/>
    <mergeCell ref="D41:D42"/>
    <mergeCell ref="E41:E42"/>
    <mergeCell ref="F41:F42"/>
    <mergeCell ref="A43:A44"/>
    <mergeCell ref="C43:C44"/>
    <mergeCell ref="D43:D44"/>
    <mergeCell ref="E43:E44"/>
    <mergeCell ref="F43:F44"/>
    <mergeCell ref="A45:A46"/>
    <mergeCell ref="C45:C46"/>
    <mergeCell ref="D45:D46"/>
    <mergeCell ref="E45:E46"/>
    <mergeCell ref="F45:F46"/>
    <mergeCell ref="A47:A48"/>
    <mergeCell ref="C47:C48"/>
    <mergeCell ref="D47:D48"/>
    <mergeCell ref="E47:E48"/>
    <mergeCell ref="F47:F48"/>
    <mergeCell ref="A49:A50"/>
    <mergeCell ref="C49:C50"/>
    <mergeCell ref="D49:D50"/>
    <mergeCell ref="E49:E50"/>
    <mergeCell ref="F49:F50"/>
    <mergeCell ref="A51:A52"/>
    <mergeCell ref="C51:C52"/>
    <mergeCell ref="D51:D52"/>
    <mergeCell ref="E51:E52"/>
    <mergeCell ref="F51:F52"/>
    <mergeCell ref="A53:A54"/>
    <mergeCell ref="C53:C54"/>
    <mergeCell ref="D53:D54"/>
    <mergeCell ref="E53:E54"/>
    <mergeCell ref="F53:F54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A59:A60"/>
    <mergeCell ref="C59:C60"/>
    <mergeCell ref="D59:D60"/>
    <mergeCell ref="E59:E60"/>
    <mergeCell ref="F59:F60"/>
    <mergeCell ref="A61:A62"/>
    <mergeCell ref="C61:C62"/>
    <mergeCell ref="D61:D62"/>
    <mergeCell ref="E61:E62"/>
    <mergeCell ref="F61:F62"/>
    <mergeCell ref="A63:A64"/>
    <mergeCell ref="C63:C64"/>
    <mergeCell ref="D63:D64"/>
    <mergeCell ref="E63:E64"/>
    <mergeCell ref="F63:F64"/>
    <mergeCell ref="A65:A66"/>
    <mergeCell ref="C65:C66"/>
    <mergeCell ref="D65:D66"/>
    <mergeCell ref="E65:E66"/>
    <mergeCell ref="F65:F66"/>
    <mergeCell ref="A67:A68"/>
    <mergeCell ref="C67:C68"/>
    <mergeCell ref="D67:D68"/>
    <mergeCell ref="E67:E68"/>
    <mergeCell ref="F67:F68"/>
    <mergeCell ref="A69:A70"/>
    <mergeCell ref="C69:C70"/>
    <mergeCell ref="D69:D70"/>
    <mergeCell ref="E69:E70"/>
    <mergeCell ref="F69:F70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A75:A76"/>
    <mergeCell ref="C75:C76"/>
    <mergeCell ref="D75:D76"/>
    <mergeCell ref="E75:E76"/>
    <mergeCell ref="F75:F76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87:A88"/>
    <mergeCell ref="C87:C88"/>
    <mergeCell ref="D87:D88"/>
    <mergeCell ref="E87:E88"/>
    <mergeCell ref="F87:F88"/>
    <mergeCell ref="B94:F94"/>
    <mergeCell ref="B95:F95"/>
    <mergeCell ref="B96:C96"/>
    <mergeCell ref="B97:C97"/>
    <mergeCell ref="E99:G99"/>
    <mergeCell ref="E100:G100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111:A112"/>
    <mergeCell ref="C111:C112"/>
    <mergeCell ref="E111:E112"/>
    <mergeCell ref="F111:F112"/>
    <mergeCell ref="A113:A114"/>
    <mergeCell ref="C113:C114"/>
    <mergeCell ref="E113:E114"/>
    <mergeCell ref="F113:F114"/>
    <mergeCell ref="E101:G101"/>
    <mergeCell ref="C103:G103"/>
    <mergeCell ref="C104:G104"/>
    <mergeCell ref="A109:A110"/>
    <mergeCell ref="C109:C110"/>
    <mergeCell ref="E109:E110"/>
    <mergeCell ref="F109:F110"/>
    <mergeCell ref="B129:C129"/>
    <mergeCell ref="B130:C130"/>
    <mergeCell ref="B119:F119"/>
    <mergeCell ref="E121:G121"/>
    <mergeCell ref="E122:G122"/>
    <mergeCell ref="B126:F126"/>
    <mergeCell ref="B127:F127"/>
    <mergeCell ref="B128:F128"/>
    <mergeCell ref="A115:A116"/>
    <mergeCell ref="C115:C116"/>
    <mergeCell ref="E115:E116"/>
    <mergeCell ref="F115:F116"/>
    <mergeCell ref="B117:F117"/>
    <mergeCell ref="B118:F118"/>
  </mergeCells>
  <pageMargins left="0.59055118110236227" right="0.39370078740157483" top="0.39370078740157483" bottom="0.39370078740157483" header="0.51181102362204722" footer="0.19685039370078741"/>
  <pageSetup paperSize="9" scale="90" orientation="landscape" r:id="rId1"/>
  <headerFooter alignWithMargins="0">
    <oddFooter>&amp;R&amp;P</oddFooter>
  </headerFooter>
  <rowBreaks count="2" manualBreakCount="2">
    <brk id="42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Normal="100" workbookViewId="0">
      <selection activeCell="H37" sqref="H37"/>
    </sheetView>
  </sheetViews>
  <sheetFormatPr defaultColWidth="9.140625" defaultRowHeight="15" x14ac:dyDescent="0.25"/>
  <cols>
    <col min="1" max="1" width="10.85546875" style="19" customWidth="1"/>
    <col min="2" max="2" width="48.28515625" style="174" customWidth="1"/>
    <col min="3" max="3" width="11.28515625" style="19" customWidth="1"/>
    <col min="4" max="4" width="14" style="19" customWidth="1"/>
    <col min="5" max="5" width="12.28515625" style="19" customWidth="1"/>
    <col min="6" max="6" width="13" style="19" customWidth="1"/>
    <col min="7" max="7" width="15.42578125" style="19" customWidth="1"/>
    <col min="8" max="8" width="11.42578125" style="19" customWidth="1"/>
    <col min="9" max="9" width="12" style="19" customWidth="1"/>
    <col min="10" max="10" width="9.140625" style="19" customWidth="1"/>
    <col min="11" max="16384" width="9.140625" style="19"/>
  </cols>
  <sheetData>
    <row r="1" spans="1:17" x14ac:dyDescent="0.25">
      <c r="A1" s="18"/>
      <c r="F1" s="402" t="s">
        <v>798</v>
      </c>
      <c r="G1" s="402"/>
    </row>
    <row r="2" spans="1:17" x14ac:dyDescent="0.25">
      <c r="G2" s="186" t="s">
        <v>871</v>
      </c>
      <c r="H2" s="42"/>
      <c r="I2" s="42"/>
    </row>
    <row r="3" spans="1:17" x14ac:dyDescent="0.25">
      <c r="F3" s="18"/>
      <c r="G3" s="366" t="s">
        <v>873</v>
      </c>
      <c r="H3" s="18"/>
      <c r="N3" s="175"/>
      <c r="O3" s="175"/>
      <c r="P3" s="175"/>
      <c r="Q3" s="175"/>
    </row>
    <row r="4" spans="1:17" x14ac:dyDescent="0.25">
      <c r="F4" s="18"/>
      <c r="G4" s="197"/>
      <c r="H4" s="18"/>
      <c r="N4" s="175"/>
      <c r="O4" s="175"/>
      <c r="P4" s="175"/>
      <c r="Q4" s="175"/>
    </row>
    <row r="5" spans="1:17" ht="18.75" x14ac:dyDescent="0.3">
      <c r="A5" s="400" t="s">
        <v>829</v>
      </c>
      <c r="B5" s="400"/>
      <c r="C5" s="400"/>
      <c r="D5" s="400"/>
      <c r="E5" s="400"/>
      <c r="F5" s="400"/>
      <c r="G5" s="400"/>
      <c r="H5" s="344"/>
      <c r="I5" s="344"/>
    </row>
    <row r="7" spans="1:17" ht="18.75" x14ac:dyDescent="0.3">
      <c r="A7" s="176" t="s">
        <v>854</v>
      </c>
      <c r="G7" s="172" t="s">
        <v>10</v>
      </c>
    </row>
    <row r="8" spans="1:17" s="174" customFormat="1" ht="45" x14ac:dyDescent="0.25">
      <c r="A8" s="173" t="s">
        <v>4</v>
      </c>
      <c r="B8" s="507" t="s">
        <v>419</v>
      </c>
      <c r="C8" s="508"/>
      <c r="D8" s="509"/>
      <c r="E8" s="187" t="s">
        <v>830</v>
      </c>
      <c r="F8" s="177" t="s">
        <v>799</v>
      </c>
      <c r="G8" s="358" t="s">
        <v>846</v>
      </c>
    </row>
    <row r="9" spans="1:17" s="174" customFormat="1" x14ac:dyDescent="0.25">
      <c r="A9" s="21" t="s">
        <v>850</v>
      </c>
      <c r="B9" s="510" t="s">
        <v>851</v>
      </c>
      <c r="C9" s="511"/>
      <c r="D9" s="512"/>
      <c r="E9" s="180">
        <v>0</v>
      </c>
      <c r="F9" s="179">
        <v>16200</v>
      </c>
      <c r="G9" s="178">
        <f>E9+F9</f>
        <v>16200</v>
      </c>
    </row>
    <row r="10" spans="1:17" x14ac:dyDescent="0.25">
      <c r="A10" s="21" t="s">
        <v>93</v>
      </c>
      <c r="B10" s="510" t="s">
        <v>95</v>
      </c>
      <c r="C10" s="511"/>
      <c r="D10" s="512"/>
      <c r="E10" s="180">
        <v>538613</v>
      </c>
      <c r="F10" s="179">
        <v>0</v>
      </c>
      <c r="G10" s="178">
        <f>E10+F10</f>
        <v>538613</v>
      </c>
    </row>
    <row r="11" spans="1:17" x14ac:dyDescent="0.25">
      <c r="A11" s="181"/>
      <c r="B11" s="513" t="s">
        <v>800</v>
      </c>
      <c r="C11" s="514"/>
      <c r="D11" s="515"/>
      <c r="E11" s="182">
        <f>SUM(E9:E10)</f>
        <v>538613</v>
      </c>
      <c r="F11" s="183">
        <f t="shared" ref="F11:G11" si="0">SUM(F9:F10)</f>
        <v>16200</v>
      </c>
      <c r="G11" s="182">
        <f t="shared" si="0"/>
        <v>554813</v>
      </c>
    </row>
    <row r="13" spans="1:17" ht="18.75" x14ac:dyDescent="0.3">
      <c r="A13" s="176" t="s">
        <v>831</v>
      </c>
      <c r="B13" s="184"/>
    </row>
    <row r="14" spans="1:17" ht="27" customHeight="1" x14ac:dyDescent="0.25">
      <c r="A14" s="516" t="s">
        <v>832</v>
      </c>
      <c r="B14" s="516" t="s">
        <v>419</v>
      </c>
      <c r="C14" s="516" t="s">
        <v>99</v>
      </c>
      <c r="D14" s="516"/>
      <c r="E14" s="516" t="s">
        <v>833</v>
      </c>
      <c r="F14" s="517" t="s">
        <v>801</v>
      </c>
      <c r="G14" s="404" t="s">
        <v>847</v>
      </c>
    </row>
    <row r="15" spans="1:17" ht="40.5" customHeight="1" x14ac:dyDescent="0.25">
      <c r="A15" s="516"/>
      <c r="B15" s="516"/>
      <c r="C15" s="331" t="s">
        <v>802</v>
      </c>
      <c r="D15" s="332" t="s">
        <v>818</v>
      </c>
      <c r="E15" s="516"/>
      <c r="F15" s="517"/>
      <c r="G15" s="404"/>
    </row>
    <row r="16" spans="1:17" x14ac:dyDescent="0.25">
      <c r="A16" s="333" t="s">
        <v>106</v>
      </c>
      <c r="B16" s="333" t="s">
        <v>115</v>
      </c>
      <c r="C16" s="334">
        <f>C17</f>
        <v>0</v>
      </c>
      <c r="D16" s="334">
        <f>D17</f>
        <v>513028</v>
      </c>
      <c r="E16" s="368">
        <f t="shared" ref="E16:E29" si="1">C16+D16</f>
        <v>513028</v>
      </c>
      <c r="F16" s="369">
        <f>F17</f>
        <v>0</v>
      </c>
      <c r="G16" s="370">
        <f>E16+F16</f>
        <v>513028</v>
      </c>
    </row>
    <row r="17" spans="1:7" x14ac:dyDescent="0.25">
      <c r="A17" s="335" t="s">
        <v>6</v>
      </c>
      <c r="B17" s="336" t="s">
        <v>137</v>
      </c>
      <c r="C17" s="337">
        <v>0</v>
      </c>
      <c r="D17" s="337">
        <v>513028</v>
      </c>
      <c r="E17" s="371">
        <f t="shared" si="1"/>
        <v>513028</v>
      </c>
      <c r="F17" s="372">
        <v>0</v>
      </c>
      <c r="G17" s="34">
        <f t="shared" ref="G17:G30" si="2">E17+F17</f>
        <v>513028</v>
      </c>
    </row>
    <row r="18" spans="1:7" x14ac:dyDescent="0.25">
      <c r="A18" s="338" t="s">
        <v>24</v>
      </c>
      <c r="B18" s="333" t="s">
        <v>121</v>
      </c>
      <c r="C18" s="334">
        <f>C19+C21</f>
        <v>0</v>
      </c>
      <c r="D18" s="334">
        <f>D19+D21+D20</f>
        <v>13366</v>
      </c>
      <c r="E18" s="368">
        <f t="shared" si="1"/>
        <v>13366</v>
      </c>
      <c r="F18" s="369">
        <f>SUM(F19:F21)</f>
        <v>0</v>
      </c>
      <c r="G18" s="370">
        <f t="shared" si="2"/>
        <v>13366</v>
      </c>
    </row>
    <row r="19" spans="1:7" ht="30" x14ac:dyDescent="0.25">
      <c r="A19" s="339" t="s">
        <v>209</v>
      </c>
      <c r="B19" s="340" t="s">
        <v>349</v>
      </c>
      <c r="C19" s="337">
        <v>0</v>
      </c>
      <c r="D19" s="337">
        <v>125</v>
      </c>
      <c r="E19" s="371">
        <f t="shared" si="1"/>
        <v>125</v>
      </c>
      <c r="F19" s="372">
        <v>0</v>
      </c>
      <c r="G19" s="34">
        <f t="shared" si="2"/>
        <v>125</v>
      </c>
    </row>
    <row r="20" spans="1:7" ht="30" x14ac:dyDescent="0.25">
      <c r="A20" s="339" t="s">
        <v>216</v>
      </c>
      <c r="B20" s="340" t="s">
        <v>834</v>
      </c>
      <c r="C20" s="337">
        <v>0</v>
      </c>
      <c r="D20" s="337">
        <v>1589</v>
      </c>
      <c r="E20" s="371">
        <f t="shared" si="1"/>
        <v>1589</v>
      </c>
      <c r="F20" s="372">
        <v>0</v>
      </c>
      <c r="G20" s="34">
        <f t="shared" si="2"/>
        <v>1589</v>
      </c>
    </row>
    <row r="21" spans="1:7" x14ac:dyDescent="0.25">
      <c r="A21" s="339" t="s">
        <v>218</v>
      </c>
      <c r="B21" s="340" t="s">
        <v>835</v>
      </c>
      <c r="C21" s="337">
        <v>0</v>
      </c>
      <c r="D21" s="337">
        <v>11652</v>
      </c>
      <c r="E21" s="371">
        <f t="shared" si="1"/>
        <v>11652</v>
      </c>
      <c r="F21" s="372">
        <v>0</v>
      </c>
      <c r="G21" s="34">
        <f t="shared" si="2"/>
        <v>11652</v>
      </c>
    </row>
    <row r="22" spans="1:7" x14ac:dyDescent="0.25">
      <c r="A22" s="338" t="s">
        <v>25</v>
      </c>
      <c r="B22" s="333" t="s">
        <v>122</v>
      </c>
      <c r="C22" s="334">
        <f>C23+C24+C25</f>
        <v>0</v>
      </c>
      <c r="D22" s="367">
        <f t="shared" ref="D22:E22" si="3">D23+D24+D25</f>
        <v>4656</v>
      </c>
      <c r="E22" s="334">
        <f t="shared" si="3"/>
        <v>4656</v>
      </c>
      <c r="F22" s="334">
        <f t="shared" ref="F22" si="4">F23+F24+F25</f>
        <v>1200</v>
      </c>
      <c r="G22" s="334">
        <f t="shared" ref="G22" si="5">G23+G24+G25</f>
        <v>5856</v>
      </c>
    </row>
    <row r="23" spans="1:7" ht="30" x14ac:dyDescent="0.25">
      <c r="A23" s="339" t="s">
        <v>253</v>
      </c>
      <c r="B23" s="340" t="s">
        <v>786</v>
      </c>
      <c r="C23" s="337">
        <v>0</v>
      </c>
      <c r="D23" s="337">
        <v>2160</v>
      </c>
      <c r="E23" s="371">
        <f t="shared" si="1"/>
        <v>2160</v>
      </c>
      <c r="F23" s="372">
        <v>0</v>
      </c>
      <c r="G23" s="34">
        <f t="shared" si="2"/>
        <v>2160</v>
      </c>
    </row>
    <row r="24" spans="1:7" ht="36" customHeight="1" x14ac:dyDescent="0.25">
      <c r="A24" s="339" t="s">
        <v>37</v>
      </c>
      <c r="B24" s="340" t="s">
        <v>853</v>
      </c>
      <c r="C24" s="337">
        <v>0</v>
      </c>
      <c r="D24" s="337">
        <v>0</v>
      </c>
      <c r="E24" s="371">
        <f t="shared" si="1"/>
        <v>0</v>
      </c>
      <c r="F24" s="372">
        <v>1200</v>
      </c>
      <c r="G24" s="34">
        <f t="shared" si="2"/>
        <v>1200</v>
      </c>
    </row>
    <row r="25" spans="1:7" ht="30" x14ac:dyDescent="0.25">
      <c r="A25" s="339" t="s">
        <v>266</v>
      </c>
      <c r="B25" s="340" t="s">
        <v>836</v>
      </c>
      <c r="C25" s="337">
        <v>0</v>
      </c>
      <c r="D25" s="337">
        <v>2496</v>
      </c>
      <c r="E25" s="371">
        <f t="shared" si="1"/>
        <v>2496</v>
      </c>
      <c r="F25" s="372">
        <v>0</v>
      </c>
      <c r="G25" s="34">
        <f t="shared" si="2"/>
        <v>2496</v>
      </c>
    </row>
    <row r="26" spans="1:7" x14ac:dyDescent="0.25">
      <c r="A26" s="338" t="s">
        <v>49</v>
      </c>
      <c r="B26" s="333" t="s">
        <v>123</v>
      </c>
      <c r="C26" s="334">
        <f>C27+C28+C29</f>
        <v>0</v>
      </c>
      <c r="D26" s="367">
        <f t="shared" ref="D26:G26" si="6">D27+D28+D29</f>
        <v>7563</v>
      </c>
      <c r="E26" s="367">
        <f t="shared" si="6"/>
        <v>7563</v>
      </c>
      <c r="F26" s="334">
        <f t="shared" si="6"/>
        <v>15000</v>
      </c>
      <c r="G26" s="334">
        <f t="shared" si="6"/>
        <v>22563</v>
      </c>
    </row>
    <row r="27" spans="1:7" x14ac:dyDescent="0.25">
      <c r="A27" s="335" t="s">
        <v>281</v>
      </c>
      <c r="B27" s="340" t="s">
        <v>423</v>
      </c>
      <c r="C27" s="337">
        <v>0</v>
      </c>
      <c r="D27" s="337">
        <v>500</v>
      </c>
      <c r="E27" s="371">
        <f t="shared" si="1"/>
        <v>500</v>
      </c>
      <c r="F27" s="372">
        <v>0</v>
      </c>
      <c r="G27" s="34">
        <f t="shared" si="2"/>
        <v>500</v>
      </c>
    </row>
    <row r="28" spans="1:7" x14ac:dyDescent="0.25">
      <c r="A28" s="339" t="s">
        <v>511</v>
      </c>
      <c r="B28" s="340" t="s">
        <v>512</v>
      </c>
      <c r="C28" s="337">
        <v>0</v>
      </c>
      <c r="D28" s="337">
        <v>7063</v>
      </c>
      <c r="E28" s="371">
        <f t="shared" si="1"/>
        <v>7063</v>
      </c>
      <c r="F28" s="372">
        <v>0</v>
      </c>
      <c r="G28" s="34">
        <f t="shared" si="2"/>
        <v>7063</v>
      </c>
    </row>
    <row r="29" spans="1:7" x14ac:dyDescent="0.25">
      <c r="A29" s="339" t="s">
        <v>848</v>
      </c>
      <c r="B29" s="340" t="s">
        <v>849</v>
      </c>
      <c r="C29" s="337">
        <v>0</v>
      </c>
      <c r="D29" s="337">
        <v>0</v>
      </c>
      <c r="E29" s="371">
        <f t="shared" si="1"/>
        <v>0</v>
      </c>
      <c r="F29" s="372">
        <v>15000</v>
      </c>
      <c r="G29" s="34">
        <f t="shared" si="2"/>
        <v>15000</v>
      </c>
    </row>
    <row r="30" spans="1:7" ht="15.75" x14ac:dyDescent="0.25">
      <c r="A30" s="329"/>
      <c r="B30" s="345" t="s">
        <v>803</v>
      </c>
      <c r="C30" s="330">
        <f>C16+C18+C22+C26</f>
        <v>0</v>
      </c>
      <c r="D30" s="396">
        <f>D16+D18+D22+D26</f>
        <v>538613</v>
      </c>
      <c r="E30" s="396">
        <f>E16+E18+E22+E26</f>
        <v>538613</v>
      </c>
      <c r="F30" s="376">
        <f>F16+F18+F22+F26</f>
        <v>16200</v>
      </c>
      <c r="G30" s="397">
        <f t="shared" si="2"/>
        <v>554813</v>
      </c>
    </row>
    <row r="33" spans="1:6" ht="15.75" x14ac:dyDescent="0.25">
      <c r="A33" s="526" t="s">
        <v>102</v>
      </c>
      <c r="B33" s="526"/>
      <c r="F33" s="527" t="s">
        <v>103</v>
      </c>
    </row>
  </sheetData>
  <mergeCells count="13">
    <mergeCell ref="A33:B33"/>
    <mergeCell ref="F1:G1"/>
    <mergeCell ref="G14:G15"/>
    <mergeCell ref="A5:G5"/>
    <mergeCell ref="B8:D8"/>
    <mergeCell ref="B10:D10"/>
    <mergeCell ref="B11:D11"/>
    <mergeCell ref="A14:A15"/>
    <mergeCell ref="B14:B15"/>
    <mergeCell ref="C14:D14"/>
    <mergeCell ref="E14:E15"/>
    <mergeCell ref="F14:F15"/>
    <mergeCell ref="B9:D9"/>
  </mergeCells>
  <printOptions horizontalCentered="1"/>
  <pageMargins left="0.78740157480314965" right="0.78740157480314965" top="1.1811023622047245" bottom="0.59055118110236227" header="0.19685039370078741" footer="0.19685039370078741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9"/>
  <sheetViews>
    <sheetView showGridLines="0" tabSelected="1" workbookViewId="0">
      <selection activeCell="J6" sqref="J6"/>
    </sheetView>
  </sheetViews>
  <sheetFormatPr defaultRowHeight="12.75" x14ac:dyDescent="0.2"/>
  <cols>
    <col min="1" max="1" width="5" style="377" customWidth="1"/>
    <col min="2" max="2" width="6" style="377" customWidth="1"/>
    <col min="3" max="3" width="34.85546875" style="377" customWidth="1"/>
    <col min="4" max="4" width="13.7109375" style="377" customWidth="1"/>
    <col min="5" max="5" width="13.85546875" style="377" customWidth="1"/>
    <col min="6" max="6" width="17.42578125" style="377" customWidth="1"/>
    <col min="7" max="16384" width="9.140625" style="377"/>
  </cols>
  <sheetData>
    <row r="1" spans="1:6" ht="15.75" x14ac:dyDescent="0.25">
      <c r="D1" s="384"/>
      <c r="E1" s="384"/>
      <c r="F1" s="385" t="s">
        <v>866</v>
      </c>
    </row>
    <row r="2" spans="1:6" ht="19.5" customHeight="1" x14ac:dyDescent="0.2">
      <c r="D2" s="414" t="s">
        <v>871</v>
      </c>
      <c r="E2" s="520"/>
      <c r="F2" s="520"/>
    </row>
    <row r="3" spans="1:6" ht="15.75" customHeight="1" x14ac:dyDescent="0.2">
      <c r="D3" s="414" t="s">
        <v>873</v>
      </c>
      <c r="E3" s="520"/>
      <c r="F3" s="520"/>
    </row>
    <row r="5" spans="1:6" ht="56.25" customHeight="1" x14ac:dyDescent="0.2">
      <c r="A5" s="415" t="s">
        <v>867</v>
      </c>
      <c r="B5" s="524"/>
      <c r="C5" s="524"/>
      <c r="D5" s="524"/>
      <c r="E5" s="524"/>
      <c r="F5" s="524"/>
    </row>
    <row r="6" spans="1:6" ht="31.5" customHeight="1" x14ac:dyDescent="0.2">
      <c r="A6" s="521" t="s">
        <v>419</v>
      </c>
      <c r="B6" s="522"/>
      <c r="C6" s="523"/>
      <c r="D6" s="379" t="s">
        <v>837</v>
      </c>
      <c r="E6" s="379" t="s">
        <v>869</v>
      </c>
      <c r="F6" s="379" t="s">
        <v>845</v>
      </c>
    </row>
    <row r="7" spans="1:6" x14ac:dyDescent="0.2">
      <c r="A7" s="394"/>
      <c r="B7" s="394"/>
      <c r="C7" s="394"/>
      <c r="D7" s="394"/>
      <c r="E7" s="394"/>
      <c r="F7" s="394"/>
    </row>
    <row r="8" spans="1:6" ht="15.75" customHeight="1" x14ac:dyDescent="0.2">
      <c r="A8" s="419" t="s">
        <v>518</v>
      </c>
      <c r="B8" s="519"/>
      <c r="C8" s="519"/>
      <c r="D8" s="519"/>
      <c r="E8" s="519"/>
      <c r="F8" s="519"/>
    </row>
    <row r="9" spans="1:6" ht="15" x14ac:dyDescent="0.2">
      <c r="A9" s="393"/>
      <c r="B9" s="393"/>
      <c r="C9" s="387" t="s">
        <v>519</v>
      </c>
      <c r="D9" s="388">
        <v>513028</v>
      </c>
      <c r="E9" s="388">
        <v>0</v>
      </c>
      <c r="F9" s="388">
        <v>513028</v>
      </c>
    </row>
    <row r="10" spans="1:6" ht="15" x14ac:dyDescent="0.2">
      <c r="A10" s="393"/>
      <c r="B10" s="393"/>
      <c r="C10" s="387" t="s">
        <v>521</v>
      </c>
      <c r="D10" s="388">
        <v>13028</v>
      </c>
      <c r="E10" s="388">
        <v>0</v>
      </c>
      <c r="F10" s="388">
        <v>13028</v>
      </c>
    </row>
    <row r="11" spans="1:6" ht="15" x14ac:dyDescent="0.2">
      <c r="A11" s="393"/>
      <c r="B11" s="393"/>
      <c r="C11" s="387" t="s">
        <v>523</v>
      </c>
      <c r="D11" s="388">
        <v>500000</v>
      </c>
      <c r="E11" s="388">
        <v>0</v>
      </c>
      <c r="F11" s="388">
        <v>500000</v>
      </c>
    </row>
    <row r="12" spans="1:6" x14ac:dyDescent="0.2">
      <c r="A12" s="393"/>
      <c r="B12" s="393"/>
      <c r="C12" s="393"/>
      <c r="D12" s="393"/>
      <c r="E12" s="393"/>
      <c r="F12" s="393"/>
    </row>
    <row r="13" spans="1:6" ht="15.75" customHeight="1" x14ac:dyDescent="0.2">
      <c r="A13" s="410" t="s">
        <v>525</v>
      </c>
      <c r="B13" s="518"/>
      <c r="C13" s="518"/>
      <c r="D13" s="518"/>
      <c r="E13" s="518"/>
      <c r="F13" s="518"/>
    </row>
    <row r="14" spans="1:6" s="395" customFormat="1" ht="14.25" x14ac:dyDescent="0.2">
      <c r="C14" s="390" t="s">
        <v>519</v>
      </c>
      <c r="D14" s="391">
        <v>513028</v>
      </c>
      <c r="E14" s="391">
        <v>0</v>
      </c>
      <c r="F14" s="391">
        <v>513028</v>
      </c>
    </row>
    <row r="15" spans="1:6" ht="15" x14ac:dyDescent="0.2">
      <c r="C15" s="380" t="s">
        <v>521</v>
      </c>
      <c r="D15" s="378">
        <v>13028</v>
      </c>
      <c r="E15" s="378">
        <v>0</v>
      </c>
      <c r="F15" s="378">
        <v>13028</v>
      </c>
    </row>
    <row r="16" spans="1:6" ht="15" x14ac:dyDescent="0.2">
      <c r="C16" s="380" t="s">
        <v>523</v>
      </c>
      <c r="D16" s="378">
        <v>500000</v>
      </c>
      <c r="E16" s="378">
        <v>0</v>
      </c>
      <c r="F16" s="378">
        <v>500000</v>
      </c>
    </row>
    <row r="17" spans="1:6" ht="21.75" customHeight="1" x14ac:dyDescent="0.2"/>
    <row r="18" spans="1:6" ht="21" customHeight="1" x14ac:dyDescent="0.2">
      <c r="A18" s="419" t="s">
        <v>585</v>
      </c>
      <c r="B18" s="519"/>
      <c r="C18" s="519"/>
      <c r="D18" s="519"/>
      <c r="E18" s="519"/>
      <c r="F18" s="519"/>
    </row>
    <row r="19" spans="1:6" ht="15" x14ac:dyDescent="0.2">
      <c r="A19" s="393"/>
      <c r="B19" s="393"/>
      <c r="C19" s="387" t="s">
        <v>519</v>
      </c>
      <c r="D19" s="388">
        <v>125</v>
      </c>
      <c r="E19" s="388">
        <v>0</v>
      </c>
      <c r="F19" s="388">
        <v>125</v>
      </c>
    </row>
    <row r="20" spans="1:6" ht="15" x14ac:dyDescent="0.2">
      <c r="A20" s="393"/>
      <c r="B20" s="393"/>
      <c r="C20" s="387" t="s">
        <v>521</v>
      </c>
      <c r="D20" s="388">
        <v>125</v>
      </c>
      <c r="E20" s="388">
        <v>0</v>
      </c>
      <c r="F20" s="388">
        <v>125</v>
      </c>
    </row>
    <row r="22" spans="1:6" ht="15.75" customHeight="1" x14ac:dyDescent="0.2">
      <c r="A22" s="410" t="s">
        <v>586</v>
      </c>
      <c r="B22" s="518"/>
      <c r="C22" s="518"/>
      <c r="D22" s="518"/>
      <c r="E22" s="518"/>
      <c r="F22" s="518"/>
    </row>
    <row r="23" spans="1:6" s="395" customFormat="1" ht="14.25" x14ac:dyDescent="0.2">
      <c r="C23" s="390" t="s">
        <v>519</v>
      </c>
      <c r="D23" s="391">
        <v>125</v>
      </c>
      <c r="E23" s="391">
        <v>0</v>
      </c>
      <c r="F23" s="391">
        <v>125</v>
      </c>
    </row>
    <row r="24" spans="1:6" ht="15" x14ac:dyDescent="0.2">
      <c r="C24" s="380" t="s">
        <v>521</v>
      </c>
      <c r="D24" s="378">
        <v>125</v>
      </c>
      <c r="E24" s="378">
        <v>0</v>
      </c>
      <c r="F24" s="378">
        <v>125</v>
      </c>
    </row>
    <row r="25" spans="1:6" ht="16.5" customHeight="1" x14ac:dyDescent="0.2"/>
    <row r="26" spans="1:6" ht="37.5" customHeight="1" x14ac:dyDescent="0.2">
      <c r="A26" s="421" t="s">
        <v>592</v>
      </c>
      <c r="B26" s="525"/>
      <c r="C26" s="525"/>
      <c r="D26" s="525"/>
      <c r="E26" s="525"/>
      <c r="F26" s="525"/>
    </row>
    <row r="27" spans="1:6" ht="15" x14ac:dyDescent="0.2">
      <c r="A27" s="393"/>
      <c r="B27" s="393"/>
      <c r="C27" s="387" t="s">
        <v>519</v>
      </c>
      <c r="D27" s="388">
        <v>1589</v>
      </c>
      <c r="E27" s="388">
        <v>0</v>
      </c>
      <c r="F27" s="388">
        <v>1589</v>
      </c>
    </row>
    <row r="28" spans="1:6" ht="15" x14ac:dyDescent="0.2">
      <c r="A28" s="393"/>
      <c r="B28" s="393"/>
      <c r="C28" s="387" t="s">
        <v>521</v>
      </c>
      <c r="D28" s="388">
        <v>1589</v>
      </c>
      <c r="E28" s="388">
        <v>0</v>
      </c>
      <c r="F28" s="388">
        <v>1589</v>
      </c>
    </row>
    <row r="30" spans="1:6" ht="15.75" customHeight="1" x14ac:dyDescent="0.2">
      <c r="A30" s="410" t="s">
        <v>593</v>
      </c>
      <c r="B30" s="518"/>
      <c r="C30" s="518"/>
      <c r="D30" s="518"/>
      <c r="E30" s="518"/>
      <c r="F30" s="518"/>
    </row>
    <row r="31" spans="1:6" s="395" customFormat="1" ht="14.25" x14ac:dyDescent="0.2">
      <c r="C31" s="390" t="s">
        <v>519</v>
      </c>
      <c r="D31" s="391">
        <v>1589</v>
      </c>
      <c r="E31" s="391">
        <v>0</v>
      </c>
      <c r="F31" s="391">
        <v>1589</v>
      </c>
    </row>
    <row r="32" spans="1:6" ht="15" x14ac:dyDescent="0.2">
      <c r="C32" s="380" t="s">
        <v>521</v>
      </c>
      <c r="D32" s="378">
        <v>1589</v>
      </c>
      <c r="E32" s="378">
        <v>0</v>
      </c>
      <c r="F32" s="378">
        <v>1589</v>
      </c>
    </row>
    <row r="33" spans="1:6" ht="18.75" customHeight="1" x14ac:dyDescent="0.2"/>
    <row r="34" spans="1:6" ht="25.5" customHeight="1" x14ac:dyDescent="0.2">
      <c r="A34" s="421" t="s">
        <v>594</v>
      </c>
      <c r="B34" s="525"/>
      <c r="C34" s="525"/>
      <c r="D34" s="525"/>
      <c r="E34" s="525"/>
      <c r="F34" s="525"/>
    </row>
    <row r="35" spans="1:6" ht="15" x14ac:dyDescent="0.2">
      <c r="A35" s="393"/>
      <c r="B35" s="393"/>
      <c r="C35" s="387" t="s">
        <v>519</v>
      </c>
      <c r="D35" s="388">
        <v>11652</v>
      </c>
      <c r="E35" s="388">
        <v>0</v>
      </c>
      <c r="F35" s="388">
        <v>11652</v>
      </c>
    </row>
    <row r="36" spans="1:6" ht="15" x14ac:dyDescent="0.2">
      <c r="A36" s="393"/>
      <c r="B36" s="393"/>
      <c r="C36" s="387" t="s">
        <v>520</v>
      </c>
      <c r="D36" s="388">
        <v>3142</v>
      </c>
      <c r="E36" s="388">
        <v>0</v>
      </c>
      <c r="F36" s="388">
        <v>3142</v>
      </c>
    </row>
    <row r="37" spans="1:6" ht="15" x14ac:dyDescent="0.2">
      <c r="A37" s="393"/>
      <c r="B37" s="393"/>
      <c r="C37" s="387" t="s">
        <v>521</v>
      </c>
      <c r="D37" s="388">
        <v>8010</v>
      </c>
      <c r="E37" s="388">
        <v>0</v>
      </c>
      <c r="F37" s="388">
        <v>8010</v>
      </c>
    </row>
    <row r="38" spans="1:6" ht="15" x14ac:dyDescent="0.2">
      <c r="A38" s="393"/>
      <c r="B38" s="393"/>
      <c r="C38" s="387" t="s">
        <v>523</v>
      </c>
      <c r="D38" s="388">
        <v>500</v>
      </c>
      <c r="E38" s="388">
        <v>0</v>
      </c>
      <c r="F38" s="388">
        <v>500</v>
      </c>
    </row>
    <row r="40" spans="1:6" ht="15.75" customHeight="1" x14ac:dyDescent="0.2">
      <c r="A40" s="410" t="s">
        <v>595</v>
      </c>
      <c r="B40" s="518"/>
      <c r="C40" s="518"/>
      <c r="D40" s="518"/>
      <c r="E40" s="518"/>
      <c r="F40" s="518"/>
    </row>
    <row r="41" spans="1:6" s="395" customFormat="1" ht="14.25" x14ac:dyDescent="0.2">
      <c r="C41" s="390" t="s">
        <v>519</v>
      </c>
      <c r="D41" s="391">
        <v>11652</v>
      </c>
      <c r="E41" s="391">
        <v>0</v>
      </c>
      <c r="F41" s="391">
        <v>11652</v>
      </c>
    </row>
    <row r="42" spans="1:6" ht="15" x14ac:dyDescent="0.2">
      <c r="C42" s="380" t="s">
        <v>520</v>
      </c>
      <c r="D42" s="378">
        <v>3142</v>
      </c>
      <c r="E42" s="378">
        <v>0</v>
      </c>
      <c r="F42" s="378">
        <v>3142</v>
      </c>
    </row>
    <row r="43" spans="1:6" ht="15" x14ac:dyDescent="0.2">
      <c r="C43" s="380" t="s">
        <v>521</v>
      </c>
      <c r="D43" s="378">
        <v>8010</v>
      </c>
      <c r="E43" s="378">
        <v>0</v>
      </c>
      <c r="F43" s="378">
        <v>8010</v>
      </c>
    </row>
    <row r="44" spans="1:6" ht="15" x14ac:dyDescent="0.2">
      <c r="C44" s="380" t="s">
        <v>523</v>
      </c>
      <c r="D44" s="378">
        <v>500</v>
      </c>
      <c r="E44" s="378">
        <v>0</v>
      </c>
      <c r="F44" s="378">
        <v>500</v>
      </c>
    </row>
    <row r="45" spans="1:6" ht="21" customHeight="1" x14ac:dyDescent="0.2"/>
    <row r="46" spans="1:6" ht="31.5" customHeight="1" x14ac:dyDescent="0.2">
      <c r="A46" s="419" t="s">
        <v>860</v>
      </c>
      <c r="B46" s="519"/>
      <c r="C46" s="519"/>
      <c r="D46" s="519"/>
      <c r="E46" s="519"/>
      <c r="F46" s="519"/>
    </row>
    <row r="47" spans="1:6" ht="15" x14ac:dyDescent="0.2">
      <c r="A47" s="393"/>
      <c r="B47" s="393"/>
      <c r="C47" s="387" t="s">
        <v>519</v>
      </c>
      <c r="D47" s="388">
        <v>4656</v>
      </c>
      <c r="E47" s="388">
        <v>16200</v>
      </c>
      <c r="F47" s="388">
        <v>20856</v>
      </c>
    </row>
    <row r="48" spans="1:6" ht="15" x14ac:dyDescent="0.2">
      <c r="A48" s="393"/>
      <c r="B48" s="393"/>
      <c r="C48" s="387" t="s">
        <v>521</v>
      </c>
      <c r="D48" s="388">
        <v>2256</v>
      </c>
      <c r="E48" s="388">
        <v>1200</v>
      </c>
      <c r="F48" s="388">
        <v>3456</v>
      </c>
    </row>
    <row r="49" spans="1:6" ht="15" x14ac:dyDescent="0.2">
      <c r="A49" s="393"/>
      <c r="B49" s="393"/>
      <c r="C49" s="387" t="s">
        <v>575</v>
      </c>
      <c r="D49" s="388">
        <v>2400</v>
      </c>
      <c r="E49" s="388">
        <v>15000</v>
      </c>
      <c r="F49" s="388">
        <v>17400</v>
      </c>
    </row>
    <row r="51" spans="1:6" ht="31.5" customHeight="1" x14ac:dyDescent="0.2">
      <c r="A51" s="410" t="s">
        <v>809</v>
      </c>
      <c r="B51" s="518"/>
      <c r="C51" s="518"/>
      <c r="D51" s="518"/>
      <c r="E51" s="518"/>
      <c r="F51" s="518"/>
    </row>
    <row r="52" spans="1:6" s="395" customFormat="1" ht="14.25" x14ac:dyDescent="0.2">
      <c r="C52" s="390" t="s">
        <v>519</v>
      </c>
      <c r="D52" s="391">
        <v>2160</v>
      </c>
      <c r="E52" s="391">
        <v>0</v>
      </c>
      <c r="F52" s="391">
        <v>2160</v>
      </c>
    </row>
    <row r="53" spans="1:6" ht="15" x14ac:dyDescent="0.2">
      <c r="C53" s="380" t="s">
        <v>521</v>
      </c>
      <c r="D53" s="378">
        <v>2160</v>
      </c>
      <c r="E53" s="378">
        <v>0</v>
      </c>
      <c r="F53" s="378">
        <v>2160</v>
      </c>
    </row>
    <row r="55" spans="1:6" ht="36" customHeight="1" x14ac:dyDescent="0.2">
      <c r="A55" s="410" t="s">
        <v>870</v>
      </c>
      <c r="B55" s="518"/>
      <c r="C55" s="518"/>
      <c r="D55" s="518"/>
      <c r="E55" s="518"/>
      <c r="F55" s="518"/>
    </row>
    <row r="56" spans="1:6" s="395" customFormat="1" ht="14.25" x14ac:dyDescent="0.2">
      <c r="C56" s="390" t="s">
        <v>519</v>
      </c>
      <c r="D56" s="391">
        <v>0</v>
      </c>
      <c r="E56" s="391">
        <v>1200</v>
      </c>
      <c r="F56" s="391">
        <v>1200</v>
      </c>
    </row>
    <row r="57" spans="1:6" ht="15" x14ac:dyDescent="0.2">
      <c r="C57" s="380" t="s">
        <v>521</v>
      </c>
      <c r="D57" s="378">
        <v>0</v>
      </c>
      <c r="E57" s="378">
        <v>1200</v>
      </c>
      <c r="F57" s="378">
        <v>1200</v>
      </c>
    </row>
    <row r="59" spans="1:6" ht="15.75" customHeight="1" x14ac:dyDescent="0.2">
      <c r="A59" s="410" t="s">
        <v>611</v>
      </c>
      <c r="B59" s="518"/>
      <c r="C59" s="518"/>
      <c r="D59" s="518"/>
      <c r="E59" s="518"/>
      <c r="F59" s="518"/>
    </row>
    <row r="60" spans="1:6" s="395" customFormat="1" ht="14.25" x14ac:dyDescent="0.2">
      <c r="C60" s="390" t="s">
        <v>519</v>
      </c>
      <c r="D60" s="391">
        <v>2496</v>
      </c>
      <c r="E60" s="391">
        <v>0</v>
      </c>
      <c r="F60" s="391">
        <v>2496</v>
      </c>
    </row>
    <row r="61" spans="1:6" ht="15" x14ac:dyDescent="0.2">
      <c r="C61" s="380" t="s">
        <v>521</v>
      </c>
      <c r="D61" s="378">
        <v>96</v>
      </c>
      <c r="E61" s="378">
        <v>0</v>
      </c>
      <c r="F61" s="378">
        <v>96</v>
      </c>
    </row>
    <row r="62" spans="1:6" ht="15" x14ac:dyDescent="0.2">
      <c r="C62" s="380" t="s">
        <v>575</v>
      </c>
      <c r="D62" s="378">
        <v>2400</v>
      </c>
      <c r="E62" s="378">
        <v>0</v>
      </c>
      <c r="F62" s="378">
        <v>2400</v>
      </c>
    </row>
    <row r="64" spans="1:6" ht="15.75" customHeight="1" x14ac:dyDescent="0.2">
      <c r="A64" s="410" t="s">
        <v>861</v>
      </c>
      <c r="B64" s="518"/>
      <c r="C64" s="518"/>
      <c r="D64" s="518"/>
      <c r="E64" s="518"/>
      <c r="F64" s="518"/>
    </row>
    <row r="65" spans="1:6" s="395" customFormat="1" ht="14.25" x14ac:dyDescent="0.2">
      <c r="C65" s="390" t="s">
        <v>519</v>
      </c>
      <c r="D65" s="391">
        <v>0</v>
      </c>
      <c r="E65" s="391">
        <v>15000</v>
      </c>
      <c r="F65" s="391">
        <v>15000</v>
      </c>
    </row>
    <row r="66" spans="1:6" ht="15" x14ac:dyDescent="0.2">
      <c r="C66" s="380" t="s">
        <v>575</v>
      </c>
      <c r="D66" s="378">
        <v>0</v>
      </c>
      <c r="E66" s="378">
        <v>15000</v>
      </c>
      <c r="F66" s="378">
        <v>15000</v>
      </c>
    </row>
    <row r="67" spans="1:6" ht="25.5" customHeight="1" x14ac:dyDescent="0.2"/>
    <row r="68" spans="1:6" ht="31.5" customHeight="1" x14ac:dyDescent="0.2">
      <c r="A68" s="419" t="s">
        <v>863</v>
      </c>
      <c r="B68" s="519"/>
      <c r="C68" s="519"/>
      <c r="D68" s="519"/>
      <c r="E68" s="519"/>
      <c r="F68" s="519"/>
    </row>
    <row r="69" spans="1:6" ht="15" x14ac:dyDescent="0.2">
      <c r="A69" s="393"/>
      <c r="B69" s="393"/>
      <c r="C69" s="387" t="s">
        <v>519</v>
      </c>
      <c r="D69" s="388">
        <v>7563</v>
      </c>
      <c r="E69" s="388">
        <v>0</v>
      </c>
      <c r="F69" s="388">
        <v>7563</v>
      </c>
    </row>
    <row r="70" spans="1:6" ht="15" x14ac:dyDescent="0.2">
      <c r="A70" s="393"/>
      <c r="B70" s="393"/>
      <c r="C70" s="387" t="s">
        <v>521</v>
      </c>
      <c r="D70" s="388">
        <v>7563</v>
      </c>
      <c r="E70" s="388">
        <v>0</v>
      </c>
      <c r="F70" s="388">
        <v>7563</v>
      </c>
    </row>
    <row r="72" spans="1:6" ht="15.75" customHeight="1" x14ac:dyDescent="0.2">
      <c r="A72" s="410" t="s">
        <v>622</v>
      </c>
      <c r="B72" s="518"/>
      <c r="C72" s="518"/>
      <c r="D72" s="518"/>
      <c r="E72" s="518"/>
      <c r="F72" s="518"/>
    </row>
    <row r="73" spans="1:6" s="395" customFormat="1" ht="14.25" x14ac:dyDescent="0.2">
      <c r="C73" s="390" t="s">
        <v>519</v>
      </c>
      <c r="D73" s="391">
        <v>500</v>
      </c>
      <c r="E73" s="391">
        <v>0</v>
      </c>
      <c r="F73" s="391">
        <v>500</v>
      </c>
    </row>
    <row r="74" spans="1:6" ht="15" x14ac:dyDescent="0.2">
      <c r="C74" s="380" t="s">
        <v>521</v>
      </c>
      <c r="D74" s="378">
        <v>500</v>
      </c>
      <c r="E74" s="378">
        <v>0</v>
      </c>
      <c r="F74" s="378">
        <v>500</v>
      </c>
    </row>
    <row r="76" spans="1:6" ht="15.75" customHeight="1" x14ac:dyDescent="0.2">
      <c r="A76" s="410" t="s">
        <v>634</v>
      </c>
      <c r="B76" s="518"/>
      <c r="C76" s="518"/>
      <c r="D76" s="518"/>
      <c r="E76" s="518"/>
      <c r="F76" s="518"/>
    </row>
    <row r="77" spans="1:6" s="395" customFormat="1" ht="14.25" x14ac:dyDescent="0.2">
      <c r="C77" s="390" t="s">
        <v>519</v>
      </c>
      <c r="D77" s="391">
        <v>7063</v>
      </c>
      <c r="E77" s="391">
        <v>0</v>
      </c>
      <c r="F77" s="391">
        <v>7063</v>
      </c>
    </row>
    <row r="78" spans="1:6" ht="15" x14ac:dyDescent="0.2">
      <c r="C78" s="380" t="s">
        <v>521</v>
      </c>
      <c r="D78" s="378">
        <v>7063</v>
      </c>
      <c r="E78" s="378">
        <v>0</v>
      </c>
      <c r="F78" s="378">
        <v>7063</v>
      </c>
    </row>
    <row r="80" spans="1:6" ht="15.75" customHeight="1" x14ac:dyDescent="0.2">
      <c r="A80" s="410" t="s">
        <v>642</v>
      </c>
      <c r="B80" s="518"/>
      <c r="C80" s="518"/>
      <c r="D80" s="518"/>
      <c r="E80" s="518"/>
      <c r="F80" s="518"/>
    </row>
    <row r="81" spans="1:6" ht="14.25" x14ac:dyDescent="0.2">
      <c r="C81" s="390" t="s">
        <v>519</v>
      </c>
      <c r="D81" s="391">
        <v>538613</v>
      </c>
      <c r="E81" s="391">
        <v>16200</v>
      </c>
      <c r="F81" s="391">
        <v>554813</v>
      </c>
    </row>
    <row r="82" spans="1:6" ht="14.25" x14ac:dyDescent="0.2">
      <c r="C82" s="390" t="s">
        <v>520</v>
      </c>
      <c r="D82" s="391">
        <v>3142</v>
      </c>
      <c r="E82" s="391">
        <v>0</v>
      </c>
      <c r="F82" s="391">
        <v>3142</v>
      </c>
    </row>
    <row r="83" spans="1:6" ht="14.25" x14ac:dyDescent="0.2">
      <c r="C83" s="390" t="s">
        <v>521</v>
      </c>
      <c r="D83" s="391">
        <v>32571</v>
      </c>
      <c r="E83" s="391">
        <v>1200</v>
      </c>
      <c r="F83" s="391">
        <v>33771</v>
      </c>
    </row>
    <row r="84" spans="1:6" ht="14.25" x14ac:dyDescent="0.2">
      <c r="C84" s="390" t="s">
        <v>523</v>
      </c>
      <c r="D84" s="391">
        <v>500500</v>
      </c>
      <c r="E84" s="391">
        <v>0</v>
      </c>
      <c r="F84" s="391">
        <v>500500</v>
      </c>
    </row>
    <row r="85" spans="1:6" ht="14.25" x14ac:dyDescent="0.2">
      <c r="C85" s="390" t="s">
        <v>575</v>
      </c>
      <c r="D85" s="391">
        <v>2400</v>
      </c>
      <c r="E85" s="391">
        <v>15000</v>
      </c>
      <c r="F85" s="391">
        <v>17400</v>
      </c>
    </row>
    <row r="86" spans="1:6" x14ac:dyDescent="0.2">
      <c r="F86" s="381"/>
    </row>
    <row r="89" spans="1:6" ht="18.75" x14ac:dyDescent="0.3">
      <c r="A89" s="528" t="s">
        <v>102</v>
      </c>
      <c r="B89" s="15"/>
      <c r="C89" s="7"/>
      <c r="D89" s="7"/>
      <c r="F89" s="529" t="s">
        <v>103</v>
      </c>
    </row>
  </sheetData>
  <mergeCells count="21">
    <mergeCell ref="A5:F5"/>
    <mergeCell ref="A80:F80"/>
    <mergeCell ref="A76:F76"/>
    <mergeCell ref="A72:F72"/>
    <mergeCell ref="A64:F64"/>
    <mergeCell ref="A68:F68"/>
    <mergeCell ref="A59:F59"/>
    <mergeCell ref="A55:F55"/>
    <mergeCell ref="A51:F51"/>
    <mergeCell ref="A46:F46"/>
    <mergeCell ref="A40:F40"/>
    <mergeCell ref="A34:F34"/>
    <mergeCell ref="A30:F30"/>
    <mergeCell ref="A26:F26"/>
    <mergeCell ref="A18:F18"/>
    <mergeCell ref="A22:F22"/>
    <mergeCell ref="A13:F13"/>
    <mergeCell ref="A8:F8"/>
    <mergeCell ref="D2:F2"/>
    <mergeCell ref="D3:F3"/>
    <mergeCell ref="A6:C6"/>
  </mergeCells>
  <pageMargins left="0.78740157480314965" right="0.78740157480314965" top="0.78740157480314965" bottom="0.78740157480314965" header="0.19685039370078741" footer="0.19685039370078741"/>
  <pageSetup paperSize="9" scale="93" fitToHeight="0" pageOrder="overThenDown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'5.pielikums'!Print_Area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Baiba Jēkabsone</cp:lastModifiedBy>
  <cp:lastPrinted>2020-06-02T06:32:51Z</cp:lastPrinted>
  <dcterms:created xsi:type="dcterms:W3CDTF">2016-06-01T06:50:59Z</dcterms:created>
  <dcterms:modified xsi:type="dcterms:W3CDTF">2020-06-17T11:29:18Z</dcterms:modified>
</cp:coreProperties>
</file>