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602" activeTab="5"/>
  </bookViews>
  <sheets>
    <sheet name="1.pielikums" sheetId="1" r:id="rId1"/>
    <sheet name="2.pielikums" sheetId="2" r:id="rId2"/>
    <sheet name="3.pielikums" sheetId="3" r:id="rId3"/>
    <sheet name="4.pielikums" sheetId="26" r:id="rId4"/>
    <sheet name="5.pielikums" sheetId="20" r:id="rId5"/>
    <sheet name="7.pielikums" sheetId="27" r:id="rId6"/>
  </sheets>
  <definedNames>
    <definedName name="_xlnm.Print_Area" localSheetId="4">'5.pielikums'!$A$1:$X$146</definedName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5">'7.pielikums'!$7:$7</definedName>
  </definedNames>
  <calcPr calcId="145621"/>
</workbook>
</file>

<file path=xl/calcChain.xml><?xml version="1.0" encoding="utf-8"?>
<calcChain xmlns="http://schemas.openxmlformats.org/spreadsheetml/2006/main">
  <c r="D56" i="1" l="1"/>
  <c r="E81" i="20" l="1"/>
  <c r="H106" i="20" l="1"/>
  <c r="E105" i="20" l="1"/>
  <c r="W106" i="20"/>
  <c r="W105" i="20"/>
  <c r="H105" i="20"/>
  <c r="I82" i="20" l="1"/>
  <c r="J82" i="20"/>
  <c r="K82" i="20"/>
  <c r="L82" i="20"/>
  <c r="M82" i="20"/>
  <c r="N82" i="20"/>
  <c r="O82" i="20"/>
  <c r="P82" i="20"/>
  <c r="Q82" i="20"/>
  <c r="R82" i="20"/>
  <c r="S82" i="20"/>
  <c r="T82" i="20"/>
  <c r="U82" i="20"/>
  <c r="U106" i="20" s="1"/>
  <c r="V82" i="20"/>
  <c r="W82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I106" i="20"/>
  <c r="J106" i="20"/>
  <c r="K106" i="20"/>
  <c r="L106" i="20"/>
  <c r="M106" i="20"/>
  <c r="N106" i="20"/>
  <c r="O106" i="20"/>
  <c r="P106" i="20"/>
  <c r="Q106" i="20"/>
  <c r="R106" i="20"/>
  <c r="S106" i="20"/>
  <c r="T106" i="20"/>
  <c r="V106" i="20"/>
  <c r="I105" i="20"/>
  <c r="J105" i="20"/>
  <c r="K105" i="20"/>
  <c r="L105" i="20"/>
  <c r="M105" i="20"/>
  <c r="N105" i="20"/>
  <c r="O105" i="20"/>
  <c r="P105" i="20"/>
  <c r="Q105" i="20"/>
  <c r="R105" i="20"/>
  <c r="S105" i="20"/>
  <c r="T105" i="20"/>
  <c r="U105" i="20"/>
  <c r="V105" i="20"/>
  <c r="J35" i="20"/>
  <c r="H35" i="20"/>
  <c r="H111" i="20" l="1"/>
  <c r="X104" i="20"/>
  <c r="X103" i="20"/>
  <c r="X102" i="20"/>
  <c r="X106" i="20" s="1"/>
  <c r="X101" i="20"/>
  <c r="X100" i="20"/>
  <c r="X99" i="20"/>
  <c r="X98" i="20"/>
  <c r="X97" i="20"/>
  <c r="X96" i="20"/>
  <c r="X95" i="20"/>
  <c r="X94" i="20"/>
  <c r="X93" i="20"/>
  <c r="W98" i="20"/>
  <c r="V98" i="20"/>
  <c r="U98" i="20"/>
  <c r="T98" i="20"/>
  <c r="S98" i="20"/>
  <c r="R98" i="20"/>
  <c r="Q98" i="20"/>
  <c r="P98" i="20"/>
  <c r="I98" i="20"/>
  <c r="G98" i="20"/>
  <c r="I96" i="20"/>
  <c r="G96" i="20"/>
  <c r="W94" i="20"/>
  <c r="V94" i="20"/>
  <c r="U94" i="20"/>
  <c r="T94" i="20"/>
  <c r="S94" i="20"/>
  <c r="R94" i="20"/>
  <c r="Q94" i="20"/>
  <c r="P94" i="20"/>
  <c r="O94" i="20"/>
  <c r="N94" i="20"/>
  <c r="M94" i="20"/>
  <c r="L94" i="20"/>
  <c r="K94" i="20"/>
  <c r="J94" i="20"/>
  <c r="I94" i="20"/>
  <c r="G94" i="20"/>
  <c r="G92" i="20"/>
  <c r="G90" i="20"/>
  <c r="G88" i="20"/>
  <c r="G86" i="20"/>
  <c r="E83" i="20"/>
  <c r="H81" i="20"/>
  <c r="G80" i="20"/>
  <c r="E79" i="20"/>
  <c r="E77" i="20"/>
  <c r="H75" i="20"/>
  <c r="E75" i="20"/>
  <c r="J74" i="20"/>
  <c r="I74" i="20"/>
  <c r="H73" i="20"/>
  <c r="H71" i="20"/>
  <c r="E71" i="20"/>
  <c r="H70" i="20"/>
  <c r="H69" i="20"/>
  <c r="E69" i="20"/>
  <c r="V67" i="20"/>
  <c r="E67" i="20"/>
  <c r="H65" i="20"/>
  <c r="I60" i="20"/>
  <c r="J58" i="20"/>
  <c r="I58" i="20"/>
  <c r="H57" i="20"/>
  <c r="E57" i="20"/>
  <c r="W56" i="20"/>
  <c r="I56" i="20"/>
  <c r="W55" i="20"/>
  <c r="E55" i="20"/>
  <c r="W54" i="20"/>
  <c r="E53" i="20"/>
  <c r="H51" i="20"/>
  <c r="E51" i="20"/>
  <c r="W50" i="20"/>
  <c r="E49" i="20"/>
  <c r="E45" i="20"/>
  <c r="E41" i="20"/>
  <c r="H39" i="20"/>
  <c r="E39" i="20"/>
  <c r="W37" i="20"/>
  <c r="U37" i="20"/>
  <c r="E37" i="20"/>
  <c r="J36" i="20"/>
  <c r="I36" i="20"/>
  <c r="E35" i="20"/>
  <c r="W34" i="20"/>
  <c r="W33" i="20"/>
  <c r="E33" i="20"/>
  <c r="W32" i="20"/>
  <c r="I32" i="20"/>
  <c r="I30" i="20"/>
  <c r="U29" i="20"/>
  <c r="W26" i="20"/>
  <c r="U23" i="20"/>
  <c r="W21" i="20"/>
  <c r="E21" i="20"/>
  <c r="H19" i="20"/>
  <c r="E19" i="20"/>
  <c r="U17" i="20"/>
  <c r="U15" i="20"/>
  <c r="E15" i="20"/>
  <c r="W8" i="20"/>
  <c r="V8" i="20"/>
  <c r="X105" i="20" l="1"/>
  <c r="E71" i="3"/>
  <c r="E69" i="3"/>
  <c r="C63" i="3"/>
  <c r="C49" i="3"/>
  <c r="F36" i="3"/>
  <c r="G36" i="3"/>
  <c r="H36" i="3"/>
  <c r="I36" i="3"/>
  <c r="J36" i="3"/>
  <c r="K36" i="3"/>
  <c r="L36" i="3"/>
  <c r="E36" i="3"/>
  <c r="C38" i="3"/>
  <c r="E14" i="3"/>
  <c r="D10" i="1"/>
  <c r="C10" i="1"/>
  <c r="H203" i="3" l="1"/>
  <c r="D210" i="3" l="1"/>
  <c r="D207" i="3"/>
  <c r="H199" i="3"/>
  <c r="D201" i="3"/>
  <c r="D199" i="3"/>
  <c r="D183" i="3"/>
  <c r="H165" i="3"/>
  <c r="D164" i="3"/>
  <c r="F159" i="3"/>
  <c r="D149" i="3"/>
  <c r="H137" i="3"/>
  <c r="D137" i="3"/>
  <c r="H132" i="3"/>
  <c r="D132" i="3"/>
  <c r="H116" i="3"/>
  <c r="H114" i="3"/>
  <c r="H111" i="3"/>
  <c r="H108" i="3"/>
  <c r="D126" i="3"/>
  <c r="D100" i="3"/>
  <c r="D99" i="3"/>
  <c r="D37" i="3"/>
  <c r="D36" i="3" s="1"/>
  <c r="D34" i="3"/>
  <c r="H26" i="3"/>
  <c r="D14" i="3"/>
  <c r="C82" i="1"/>
  <c r="C70" i="1"/>
  <c r="C56" i="1"/>
  <c r="C55" i="1"/>
  <c r="C52" i="1"/>
  <c r="H112" i="20" l="1"/>
  <c r="H126" i="20" l="1"/>
  <c r="E64" i="1" l="1"/>
  <c r="E65" i="1"/>
  <c r="E63" i="1"/>
  <c r="E62" i="1" l="1"/>
  <c r="F141" i="20" l="1"/>
  <c r="W130" i="20"/>
  <c r="V130" i="20"/>
  <c r="U130" i="20"/>
  <c r="T130" i="20"/>
  <c r="S130" i="20"/>
  <c r="R130" i="20"/>
  <c r="Q130" i="20"/>
  <c r="P130" i="20"/>
  <c r="O130" i="20"/>
  <c r="N130" i="20"/>
  <c r="M130" i="20"/>
  <c r="L130" i="20"/>
  <c r="K130" i="20"/>
  <c r="J130" i="20"/>
  <c r="I130" i="20"/>
  <c r="H130" i="20"/>
  <c r="H139" i="20" s="1"/>
  <c r="W129" i="20"/>
  <c r="W131" i="20" s="1"/>
  <c r="V129" i="20"/>
  <c r="V131" i="20" s="1"/>
  <c r="U129" i="20"/>
  <c r="U131" i="20" s="1"/>
  <c r="T129" i="20"/>
  <c r="T131" i="20" s="1"/>
  <c r="S129" i="20"/>
  <c r="S131" i="20" s="1"/>
  <c r="R129" i="20"/>
  <c r="R131" i="20" s="1"/>
  <c r="Q129" i="20"/>
  <c r="Q131" i="20" s="1"/>
  <c r="P129" i="20"/>
  <c r="P131" i="20" s="1"/>
  <c r="O129" i="20"/>
  <c r="O131" i="20" s="1"/>
  <c r="N129" i="20"/>
  <c r="N131" i="20" s="1"/>
  <c r="M129" i="20"/>
  <c r="M131" i="20" s="1"/>
  <c r="L129" i="20"/>
  <c r="L131" i="20" s="1"/>
  <c r="K129" i="20"/>
  <c r="K131" i="20" s="1"/>
  <c r="J129" i="20"/>
  <c r="J131" i="20" s="1"/>
  <c r="I129" i="20"/>
  <c r="I131" i="20" s="1"/>
  <c r="H129" i="20"/>
  <c r="H131" i="20" s="1"/>
  <c r="X128" i="20"/>
  <c r="X127" i="20"/>
  <c r="X126" i="20"/>
  <c r="X125" i="20"/>
  <c r="X124" i="20"/>
  <c r="X123" i="20"/>
  <c r="X122" i="20"/>
  <c r="X121" i="20"/>
  <c r="X129" i="20" s="1"/>
  <c r="R139" i="20"/>
  <c r="N139" i="20"/>
  <c r="R138" i="20"/>
  <c r="N138" i="20"/>
  <c r="J138" i="20"/>
  <c r="X92" i="20"/>
  <c r="X91" i="20"/>
  <c r="X90" i="20"/>
  <c r="X89" i="20"/>
  <c r="X88" i="20"/>
  <c r="X87" i="20"/>
  <c r="X86" i="20"/>
  <c r="X85" i="20"/>
  <c r="X84" i="20"/>
  <c r="X83" i="20"/>
  <c r="X82" i="20"/>
  <c r="X81" i="20"/>
  <c r="X80" i="20"/>
  <c r="X79" i="20"/>
  <c r="X78" i="20"/>
  <c r="X77" i="20"/>
  <c r="X76" i="20"/>
  <c r="X75" i="20"/>
  <c r="X74" i="20"/>
  <c r="X73" i="20"/>
  <c r="X72" i="20"/>
  <c r="X71" i="20"/>
  <c r="X70" i="20"/>
  <c r="X69" i="20"/>
  <c r="X68" i="20"/>
  <c r="X67" i="20"/>
  <c r="X66" i="20"/>
  <c r="X65" i="20"/>
  <c r="X64" i="20"/>
  <c r="X63" i="20"/>
  <c r="X62" i="20"/>
  <c r="X61" i="20"/>
  <c r="X60" i="20"/>
  <c r="X59" i="20"/>
  <c r="X58" i="20"/>
  <c r="X57" i="20"/>
  <c r="X56" i="20"/>
  <c r="X55" i="20"/>
  <c r="X54" i="20"/>
  <c r="X53" i="20"/>
  <c r="X52" i="20"/>
  <c r="X51" i="20"/>
  <c r="X50" i="20"/>
  <c r="X49" i="20"/>
  <c r="X48" i="20"/>
  <c r="X47" i="20"/>
  <c r="X46" i="20"/>
  <c r="X45" i="20"/>
  <c r="X44" i="20"/>
  <c r="X43" i="20"/>
  <c r="X42" i="20"/>
  <c r="X41" i="20"/>
  <c r="X40" i="20"/>
  <c r="X38" i="20"/>
  <c r="X37" i="20"/>
  <c r="X35" i="20"/>
  <c r="X33" i="20"/>
  <c r="X32" i="20"/>
  <c r="X31" i="20"/>
  <c r="X30" i="20"/>
  <c r="X29" i="20"/>
  <c r="X28" i="20"/>
  <c r="X27" i="20"/>
  <c r="X26" i="20"/>
  <c r="X25" i="20"/>
  <c r="X24" i="20"/>
  <c r="X23" i="20"/>
  <c r="X22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V139" i="20"/>
  <c r="X7" i="20"/>
  <c r="I6" i="20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X130" i="20" l="1"/>
  <c r="M139" i="20"/>
  <c r="Q139" i="20"/>
  <c r="U139" i="20"/>
  <c r="I139" i="20"/>
  <c r="R140" i="20"/>
  <c r="R142" i="20" s="1"/>
  <c r="Q107" i="20"/>
  <c r="Q109" i="20" s="1"/>
  <c r="N140" i="20"/>
  <c r="N142" i="20" s="1"/>
  <c r="M107" i="20"/>
  <c r="M109" i="20" s="1"/>
  <c r="L107" i="20"/>
  <c r="L108" i="20" s="1"/>
  <c r="W139" i="20"/>
  <c r="O138" i="20"/>
  <c r="K139" i="20"/>
  <c r="O139" i="20"/>
  <c r="S139" i="20"/>
  <c r="P138" i="20"/>
  <c r="L139" i="20"/>
  <c r="P139" i="20"/>
  <c r="T139" i="20"/>
  <c r="K138" i="20"/>
  <c r="S138" i="20"/>
  <c r="T115" i="20"/>
  <c r="I107" i="20"/>
  <c r="I108" i="20" s="1"/>
  <c r="N107" i="20"/>
  <c r="R107" i="20"/>
  <c r="R109" i="20" s="1"/>
  <c r="W138" i="20"/>
  <c r="W107" i="20"/>
  <c r="J139" i="20"/>
  <c r="J140" i="20" s="1"/>
  <c r="J107" i="20"/>
  <c r="V107" i="20"/>
  <c r="V138" i="20"/>
  <c r="V140" i="20" s="1"/>
  <c r="X131" i="20"/>
  <c r="P115" i="20"/>
  <c r="L138" i="20"/>
  <c r="T138" i="20"/>
  <c r="T140" i="20" s="1"/>
  <c r="X21" i="20"/>
  <c r="X34" i="20"/>
  <c r="X36" i="20"/>
  <c r="X39" i="20"/>
  <c r="K107" i="20"/>
  <c r="O107" i="20"/>
  <c r="S107" i="20"/>
  <c r="M115" i="20"/>
  <c r="Q115" i="20"/>
  <c r="I138" i="20"/>
  <c r="M138" i="20"/>
  <c r="Q138" i="20"/>
  <c r="I115" i="20"/>
  <c r="L115" i="20"/>
  <c r="X8" i="20"/>
  <c r="P107" i="20"/>
  <c r="T107" i="20"/>
  <c r="J115" i="20"/>
  <c r="N115" i="20"/>
  <c r="R115" i="20"/>
  <c r="K115" i="20"/>
  <c r="O115" i="20"/>
  <c r="S115" i="20"/>
  <c r="M140" i="20" l="1"/>
  <c r="S140" i="20"/>
  <c r="S141" i="20" s="1"/>
  <c r="Q140" i="20"/>
  <c r="Q142" i="20" s="1"/>
  <c r="R141" i="20"/>
  <c r="L109" i="20"/>
  <c r="I140" i="20"/>
  <c r="I141" i="20" s="1"/>
  <c r="Q116" i="20"/>
  <c r="Q108" i="20"/>
  <c r="W140" i="20"/>
  <c r="W141" i="20" s="1"/>
  <c r="S142" i="20"/>
  <c r="N141" i="20"/>
  <c r="M116" i="20"/>
  <c r="N116" i="20"/>
  <c r="M108" i="20"/>
  <c r="L140" i="20"/>
  <c r="L142" i="20" s="1"/>
  <c r="N109" i="20"/>
  <c r="N108" i="20"/>
  <c r="I109" i="20"/>
  <c r="K140" i="20"/>
  <c r="P140" i="20"/>
  <c r="O140" i="20"/>
  <c r="R108" i="20"/>
  <c r="R116" i="20"/>
  <c r="X139" i="20"/>
  <c r="J142" i="20"/>
  <c r="J141" i="20"/>
  <c r="I142" i="20"/>
  <c r="O109" i="20"/>
  <c r="O108" i="20"/>
  <c r="O116" i="20"/>
  <c r="V109" i="20"/>
  <c r="V108" i="20"/>
  <c r="W109" i="20"/>
  <c r="W108" i="20"/>
  <c r="H138" i="20"/>
  <c r="H107" i="20"/>
  <c r="K109" i="20"/>
  <c r="K108" i="20"/>
  <c r="K116" i="20"/>
  <c r="J116" i="20"/>
  <c r="J109" i="20"/>
  <c r="J108" i="20"/>
  <c r="M142" i="20"/>
  <c r="M141" i="20"/>
  <c r="S109" i="20"/>
  <c r="S108" i="20"/>
  <c r="S116" i="20"/>
  <c r="T141" i="20"/>
  <c r="T142" i="20"/>
  <c r="V142" i="20"/>
  <c r="V141" i="20"/>
  <c r="T109" i="20"/>
  <c r="T108" i="20"/>
  <c r="T116" i="20"/>
  <c r="P109" i="20"/>
  <c r="P108" i="20"/>
  <c r="P116" i="20"/>
  <c r="U107" i="20"/>
  <c r="U138" i="20"/>
  <c r="U140" i="20" s="1"/>
  <c r="U115" i="20"/>
  <c r="V115" i="20"/>
  <c r="L116" i="20"/>
  <c r="Q141" i="20" l="1"/>
  <c r="W142" i="20"/>
  <c r="X107" i="20"/>
  <c r="L141" i="20"/>
  <c r="O142" i="20"/>
  <c r="O141" i="20"/>
  <c r="P141" i="20"/>
  <c r="P142" i="20"/>
  <c r="K142" i="20"/>
  <c r="K141" i="20"/>
  <c r="U142" i="20"/>
  <c r="U141" i="20"/>
  <c r="U116" i="20"/>
  <c r="U109" i="20"/>
  <c r="U108" i="20"/>
  <c r="V116" i="20"/>
  <c r="H140" i="20"/>
  <c r="X138" i="20"/>
  <c r="X140" i="20" s="1"/>
  <c r="H109" i="20"/>
  <c r="H108" i="20"/>
  <c r="I116" i="20"/>
  <c r="H141" i="20" l="1"/>
  <c r="H142" i="20"/>
  <c r="C142" i="3" l="1"/>
  <c r="D136" i="3"/>
  <c r="E131" i="3"/>
  <c r="F131" i="3"/>
  <c r="G131" i="3"/>
  <c r="H131" i="3"/>
  <c r="I131" i="3"/>
  <c r="J131" i="3"/>
  <c r="K131" i="3"/>
  <c r="L131" i="3"/>
  <c r="D131" i="3"/>
  <c r="C133" i="3"/>
  <c r="C134" i="3"/>
  <c r="C131" i="3" l="1"/>
  <c r="E44" i="3"/>
  <c r="F44" i="3"/>
  <c r="G44" i="3"/>
  <c r="H44" i="3"/>
  <c r="I44" i="3"/>
  <c r="J44" i="3"/>
  <c r="K44" i="3"/>
  <c r="L44" i="3"/>
  <c r="D44" i="3"/>
  <c r="C46" i="3"/>
  <c r="C47" i="3"/>
  <c r="C48" i="3"/>
  <c r="C50" i="3"/>
  <c r="L15" i="3"/>
  <c r="F15" i="3"/>
  <c r="D15" i="3"/>
  <c r="L14" i="3"/>
  <c r="F14" i="3"/>
  <c r="D155" i="3"/>
  <c r="E155" i="3"/>
  <c r="F155" i="3"/>
  <c r="G155" i="3"/>
  <c r="H155" i="3"/>
  <c r="I155" i="3"/>
  <c r="J155" i="3"/>
  <c r="K155" i="3"/>
  <c r="L155" i="3"/>
  <c r="C89" i="1"/>
  <c r="C88" i="1"/>
  <c r="D62" i="1"/>
  <c r="C62" i="1"/>
  <c r="E20" i="1"/>
  <c r="E10" i="1" s="1"/>
  <c r="C44" i="3" l="1"/>
  <c r="L170" i="3" l="1"/>
  <c r="K170" i="3"/>
  <c r="J170" i="3"/>
  <c r="I170" i="3"/>
  <c r="H170" i="3"/>
  <c r="G170" i="3"/>
  <c r="F170" i="3"/>
  <c r="E170" i="3"/>
  <c r="D170" i="3"/>
  <c r="C178" i="3"/>
  <c r="C168" i="3"/>
  <c r="L167" i="3"/>
  <c r="K167" i="3"/>
  <c r="J167" i="3"/>
  <c r="I167" i="3"/>
  <c r="H167" i="3"/>
  <c r="G167" i="3"/>
  <c r="F167" i="3"/>
  <c r="E167" i="3"/>
  <c r="D167" i="3"/>
  <c r="D163" i="3"/>
  <c r="K70" i="3"/>
  <c r="I70" i="3"/>
  <c r="G70" i="3"/>
  <c r="E70" i="3"/>
  <c r="L70" i="3"/>
  <c r="J70" i="3"/>
  <c r="H70" i="3"/>
  <c r="F70" i="3"/>
  <c r="D70" i="3"/>
  <c r="C71" i="3"/>
  <c r="C167" i="3" l="1"/>
  <c r="C70" i="3"/>
  <c r="E13" i="3" l="1"/>
  <c r="C210" i="3" l="1"/>
  <c r="L90" i="3" l="1"/>
  <c r="C194" i="3"/>
  <c r="E188" i="3"/>
  <c r="F188" i="3"/>
  <c r="G188" i="3"/>
  <c r="H188" i="3"/>
  <c r="I188" i="3"/>
  <c r="J188" i="3"/>
  <c r="K188" i="3"/>
  <c r="L188" i="3"/>
  <c r="D188" i="3"/>
  <c r="E186" i="3"/>
  <c r="F186" i="3"/>
  <c r="G186" i="3"/>
  <c r="H186" i="3"/>
  <c r="I186" i="3"/>
  <c r="J186" i="3"/>
  <c r="K186" i="3"/>
  <c r="L186" i="3"/>
  <c r="D186" i="3"/>
  <c r="D98" i="3"/>
  <c r="E123" i="3"/>
  <c r="F123" i="3"/>
  <c r="G123" i="3"/>
  <c r="H123" i="3"/>
  <c r="I123" i="3"/>
  <c r="J123" i="3"/>
  <c r="K123" i="3"/>
  <c r="L123" i="3"/>
  <c r="D123" i="3"/>
  <c r="C108" i="3"/>
  <c r="C103" i="3"/>
  <c r="C102" i="3"/>
  <c r="L79" i="3"/>
  <c r="E79" i="3"/>
  <c r="F79" i="3"/>
  <c r="G79" i="3"/>
  <c r="H79" i="3"/>
  <c r="I79" i="3"/>
  <c r="J79" i="3"/>
  <c r="K79" i="3"/>
  <c r="D79" i="3"/>
  <c r="C80" i="3"/>
  <c r="L77" i="3"/>
  <c r="K77" i="3"/>
  <c r="J77" i="3"/>
  <c r="I77" i="3"/>
  <c r="H77" i="3"/>
  <c r="G77" i="3"/>
  <c r="F77" i="3"/>
  <c r="E77" i="3"/>
  <c r="D77" i="3"/>
  <c r="C74" i="3"/>
  <c r="L68" i="3"/>
  <c r="K68" i="3"/>
  <c r="J68" i="3"/>
  <c r="I68" i="3"/>
  <c r="H68" i="3"/>
  <c r="G68" i="3"/>
  <c r="F68" i="3"/>
  <c r="E68" i="3"/>
  <c r="D68" i="3"/>
  <c r="C62" i="3"/>
  <c r="C58" i="3"/>
  <c r="C57" i="3"/>
  <c r="C54" i="3"/>
  <c r="C41" i="3"/>
  <c r="L33" i="3"/>
  <c r="K33" i="3"/>
  <c r="J33" i="3"/>
  <c r="I33" i="3"/>
  <c r="H33" i="3"/>
  <c r="G33" i="3"/>
  <c r="F33" i="3"/>
  <c r="E33" i="3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E80" i="1"/>
  <c r="E81" i="1"/>
  <c r="E82" i="1"/>
  <c r="E83" i="1"/>
  <c r="D78" i="1"/>
  <c r="C78" i="1"/>
  <c r="D73" i="1"/>
  <c r="C73" i="1"/>
  <c r="D68" i="1"/>
  <c r="C68" i="1"/>
  <c r="E74" i="1"/>
  <c r="E75" i="1"/>
  <c r="E76" i="1"/>
  <c r="E77" i="1"/>
  <c r="D71" i="1"/>
  <c r="C71" i="1"/>
  <c r="E72" i="1"/>
  <c r="E71" i="1" s="1"/>
  <c r="E69" i="1"/>
  <c r="E70" i="1"/>
  <c r="D42" i="1"/>
  <c r="D18" i="1"/>
  <c r="C18" i="1"/>
  <c r="E68" i="1" l="1"/>
  <c r="C66" i="1"/>
  <c r="C33" i="3"/>
  <c r="D66" i="1"/>
  <c r="C188" i="3"/>
  <c r="C68" i="3"/>
  <c r="C36" i="3"/>
  <c r="C27" i="3"/>
  <c r="C186" i="3"/>
  <c r="C123" i="3"/>
  <c r="C77" i="3"/>
  <c r="C79" i="3"/>
  <c r="C25" i="3"/>
  <c r="E73" i="1"/>
  <c r="C143" i="3"/>
  <c r="E43" i="1" l="1"/>
  <c r="E44" i="1"/>
  <c r="C203" i="3" l="1"/>
  <c r="L98" i="3" l="1"/>
  <c r="J98" i="3"/>
  <c r="I98" i="3"/>
  <c r="H98" i="3"/>
  <c r="G98" i="3"/>
  <c r="F98" i="3"/>
  <c r="E98" i="3"/>
  <c r="C22" i="2"/>
  <c r="C42" i="1" l="1"/>
  <c r="D25" i="2" l="1"/>
  <c r="D24" i="2"/>
  <c r="C104" i="3"/>
  <c r="C177" i="3" l="1"/>
  <c r="J90" i="3"/>
  <c r="H90" i="3"/>
  <c r="F90" i="3"/>
  <c r="K90" i="3"/>
  <c r="I90" i="3"/>
  <c r="G90" i="3"/>
  <c r="E90" i="3"/>
  <c r="C96" i="3"/>
  <c r="D90" i="3" l="1"/>
  <c r="D204" i="3" l="1"/>
  <c r="D202" i="3" s="1"/>
  <c r="E45" i="1" l="1"/>
  <c r="E42" i="1" s="1"/>
  <c r="L158" i="3" l="1"/>
  <c r="K158" i="3"/>
  <c r="J158" i="3"/>
  <c r="I158" i="3"/>
  <c r="H158" i="3"/>
  <c r="G158" i="3"/>
  <c r="F158" i="3"/>
  <c r="E158" i="3"/>
  <c r="D158" i="3"/>
  <c r="C162" i="3"/>
  <c r="L51" i="3"/>
  <c r="K51" i="3"/>
  <c r="J51" i="3"/>
  <c r="I51" i="3"/>
  <c r="H51" i="3"/>
  <c r="G51" i="3"/>
  <c r="F51" i="3"/>
  <c r="E51" i="3"/>
  <c r="D51" i="3"/>
  <c r="C55" i="3"/>
  <c r="L144" i="3"/>
  <c r="K144" i="3"/>
  <c r="J144" i="3"/>
  <c r="I144" i="3"/>
  <c r="H144" i="3"/>
  <c r="G144" i="3"/>
  <c r="F144" i="3"/>
  <c r="E144" i="3"/>
  <c r="D144" i="3"/>
  <c r="C147" i="3"/>
  <c r="L148" i="3"/>
  <c r="K148" i="3"/>
  <c r="J148" i="3"/>
  <c r="I148" i="3"/>
  <c r="H148" i="3"/>
  <c r="G148" i="3"/>
  <c r="F148" i="3"/>
  <c r="E148" i="3"/>
  <c r="D148" i="3"/>
  <c r="C154" i="3"/>
  <c r="L56" i="3"/>
  <c r="K56" i="3"/>
  <c r="J56" i="3"/>
  <c r="I56" i="3"/>
  <c r="H56" i="3"/>
  <c r="G56" i="3"/>
  <c r="F56" i="3"/>
  <c r="E56" i="3"/>
  <c r="D56" i="3"/>
  <c r="C59" i="3"/>
  <c r="C56" i="3" l="1"/>
  <c r="C200" i="3"/>
  <c r="C199" i="3"/>
  <c r="E119" i="3"/>
  <c r="F119" i="3"/>
  <c r="G119" i="3"/>
  <c r="H119" i="3"/>
  <c r="I119" i="3"/>
  <c r="J119" i="3"/>
  <c r="K119" i="3"/>
  <c r="L119" i="3"/>
  <c r="D119" i="3"/>
  <c r="C122" i="3"/>
  <c r="K98" i="3"/>
  <c r="E82" i="3" l="1"/>
  <c r="E76" i="3" s="1"/>
  <c r="F82" i="3"/>
  <c r="F76" i="3" s="1"/>
  <c r="G82" i="3"/>
  <c r="G76" i="3" s="1"/>
  <c r="H82" i="3"/>
  <c r="H76" i="3" s="1"/>
  <c r="I82" i="3"/>
  <c r="I76" i="3" s="1"/>
  <c r="J82" i="3"/>
  <c r="J76" i="3" s="1"/>
  <c r="K82" i="3"/>
  <c r="K76" i="3" s="1"/>
  <c r="L82" i="3"/>
  <c r="L76" i="3" s="1"/>
  <c r="D82" i="3"/>
  <c r="D76" i="3" s="1"/>
  <c r="D84" i="1"/>
  <c r="C84" i="1"/>
  <c r="E86" i="1"/>
  <c r="E85" i="1"/>
  <c r="E136" i="3"/>
  <c r="F136" i="3"/>
  <c r="G136" i="3"/>
  <c r="H136" i="3"/>
  <c r="I136" i="3"/>
  <c r="J136" i="3"/>
  <c r="K136" i="3"/>
  <c r="L136" i="3"/>
  <c r="E84" i="1" l="1"/>
  <c r="C89" i="3" l="1"/>
  <c r="D28" i="2" l="1"/>
  <c r="E39" i="3" l="1"/>
  <c r="E35" i="3" s="1"/>
  <c r="F39" i="3"/>
  <c r="F35" i="3" s="1"/>
  <c r="G39" i="3"/>
  <c r="G35" i="3" s="1"/>
  <c r="H39" i="3"/>
  <c r="H35" i="3" s="1"/>
  <c r="I39" i="3"/>
  <c r="I35" i="3" s="1"/>
  <c r="J39" i="3"/>
  <c r="J35" i="3" s="1"/>
  <c r="K39" i="3"/>
  <c r="K35" i="3" s="1"/>
  <c r="L39" i="3"/>
  <c r="L35" i="3" s="1"/>
  <c r="D39" i="3"/>
  <c r="D35" i="3" s="1"/>
  <c r="C42" i="3"/>
  <c r="C35" i="3" l="1"/>
  <c r="E41" i="1"/>
  <c r="E40" i="1" s="1"/>
  <c r="E39" i="1" s="1"/>
  <c r="D40" i="1"/>
  <c r="D39" i="1" s="1"/>
  <c r="C40" i="1"/>
  <c r="C39" i="1" s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6" i="3"/>
  <c r="K106" i="3"/>
  <c r="J106" i="3"/>
  <c r="I106" i="3"/>
  <c r="H106" i="3"/>
  <c r="G106" i="3"/>
  <c r="F106" i="3"/>
  <c r="E106" i="3"/>
  <c r="D106" i="3"/>
  <c r="C109" i="3"/>
  <c r="F16" i="2"/>
  <c r="C95" i="3"/>
  <c r="C53" i="3"/>
  <c r="C153" i="3" l="1"/>
  <c r="C88" i="3"/>
  <c r="C82" i="3" l="1"/>
  <c r="E49" i="1" l="1"/>
  <c r="D46" i="1"/>
  <c r="C46" i="1"/>
  <c r="C51" i="1" l="1"/>
  <c r="D51" i="1"/>
  <c r="C176" i="3" l="1"/>
  <c r="C161" i="3"/>
  <c r="E52" i="1" l="1"/>
  <c r="E51" i="1" s="1"/>
  <c r="C75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204" i="3"/>
  <c r="E202" i="3" s="1"/>
  <c r="F204" i="3"/>
  <c r="F202" i="3" s="1"/>
  <c r="G204" i="3"/>
  <c r="G202" i="3" s="1"/>
  <c r="H204" i="3"/>
  <c r="H202" i="3" s="1"/>
  <c r="I204" i="3"/>
  <c r="I202" i="3" s="1"/>
  <c r="J204" i="3"/>
  <c r="J202" i="3" s="1"/>
  <c r="K204" i="3"/>
  <c r="K202" i="3" s="1"/>
  <c r="L204" i="3"/>
  <c r="L202" i="3" s="1"/>
  <c r="C209" i="3"/>
  <c r="C208" i="3"/>
  <c r="C207" i="3"/>
  <c r="C206" i="3"/>
  <c r="C205" i="3"/>
  <c r="C202" i="3" l="1"/>
  <c r="C204" i="3"/>
  <c r="H28" i="2"/>
  <c r="E197" i="3" l="1"/>
  <c r="F197" i="3"/>
  <c r="G197" i="3"/>
  <c r="H197" i="3"/>
  <c r="I197" i="3"/>
  <c r="J197" i="3"/>
  <c r="K197" i="3"/>
  <c r="L197" i="3"/>
  <c r="D197" i="3"/>
  <c r="C201" i="3"/>
  <c r="C198" i="3"/>
  <c r="E190" i="3"/>
  <c r="F190" i="3"/>
  <c r="G190" i="3"/>
  <c r="H190" i="3"/>
  <c r="I190" i="3"/>
  <c r="J190" i="3"/>
  <c r="K190" i="3"/>
  <c r="L190" i="3"/>
  <c r="D190" i="3"/>
  <c r="C192" i="3"/>
  <c r="C193" i="3"/>
  <c r="C195" i="3"/>
  <c r="C196" i="3"/>
  <c r="C191" i="3"/>
  <c r="C189" i="3"/>
  <c r="C187" i="3"/>
  <c r="E182" i="3"/>
  <c r="F182" i="3"/>
  <c r="G182" i="3"/>
  <c r="H182" i="3"/>
  <c r="I182" i="3"/>
  <c r="J182" i="3"/>
  <c r="K182" i="3"/>
  <c r="L182" i="3"/>
  <c r="D182" i="3"/>
  <c r="C184" i="3"/>
  <c r="C185" i="3"/>
  <c r="C183" i="3"/>
  <c r="E179" i="3"/>
  <c r="F179" i="3"/>
  <c r="G179" i="3"/>
  <c r="H179" i="3"/>
  <c r="I179" i="3"/>
  <c r="J179" i="3"/>
  <c r="K179" i="3"/>
  <c r="L179" i="3"/>
  <c r="D179" i="3"/>
  <c r="C181" i="3"/>
  <c r="C180" i="3"/>
  <c r="C172" i="3"/>
  <c r="C173" i="3"/>
  <c r="C174" i="3"/>
  <c r="C175" i="3"/>
  <c r="C171" i="3"/>
  <c r="D169" i="3" l="1"/>
  <c r="J169" i="3"/>
  <c r="K169" i="3"/>
  <c r="G19" i="2" s="1"/>
  <c r="G169" i="3"/>
  <c r="E19" i="2" s="1"/>
  <c r="E169" i="3"/>
  <c r="D19" i="2" s="1"/>
  <c r="I169" i="3"/>
  <c r="F19" i="2" s="1"/>
  <c r="H169" i="3"/>
  <c r="L169" i="3"/>
  <c r="F169" i="3"/>
  <c r="C197" i="3"/>
  <c r="C190" i="3"/>
  <c r="C182" i="3"/>
  <c r="C179" i="3"/>
  <c r="E163" i="3"/>
  <c r="F163" i="3"/>
  <c r="G163" i="3"/>
  <c r="H163" i="3"/>
  <c r="I163" i="3"/>
  <c r="J163" i="3"/>
  <c r="K163" i="3"/>
  <c r="L163" i="3"/>
  <c r="C166" i="3"/>
  <c r="C165" i="3"/>
  <c r="C164" i="3"/>
  <c r="C160" i="3"/>
  <c r="C159" i="3"/>
  <c r="C157" i="3"/>
  <c r="C156" i="3"/>
  <c r="C152" i="3"/>
  <c r="C151" i="3"/>
  <c r="C150" i="3"/>
  <c r="C149" i="3"/>
  <c r="C146" i="3"/>
  <c r="C145" i="3"/>
  <c r="C138" i="3"/>
  <c r="C139" i="3"/>
  <c r="C140" i="3"/>
  <c r="C141" i="3"/>
  <c r="C137" i="3"/>
  <c r="C132" i="3"/>
  <c r="E125" i="3"/>
  <c r="F125" i="3"/>
  <c r="G125" i="3"/>
  <c r="H125" i="3"/>
  <c r="I125" i="3"/>
  <c r="J125" i="3"/>
  <c r="K125" i="3"/>
  <c r="L125" i="3"/>
  <c r="D125" i="3"/>
  <c r="C127" i="3"/>
  <c r="C128" i="3"/>
  <c r="C129" i="3"/>
  <c r="C126" i="3"/>
  <c r="C124" i="3"/>
  <c r="C121" i="3"/>
  <c r="C120" i="3"/>
  <c r="E115" i="3"/>
  <c r="F115" i="3"/>
  <c r="G115" i="3"/>
  <c r="H115" i="3"/>
  <c r="I115" i="3"/>
  <c r="J115" i="3"/>
  <c r="K115" i="3"/>
  <c r="L115" i="3"/>
  <c r="D115" i="3"/>
  <c r="C118" i="3"/>
  <c r="C117" i="3"/>
  <c r="C116" i="3"/>
  <c r="E112" i="3"/>
  <c r="F112" i="3"/>
  <c r="G112" i="3"/>
  <c r="H112" i="3"/>
  <c r="I112" i="3"/>
  <c r="J112" i="3"/>
  <c r="K112" i="3"/>
  <c r="L112" i="3"/>
  <c r="D112" i="3"/>
  <c r="C114" i="3"/>
  <c r="C113" i="3"/>
  <c r="E110" i="3"/>
  <c r="F110" i="3"/>
  <c r="G110" i="3"/>
  <c r="H110" i="3"/>
  <c r="I110" i="3"/>
  <c r="J110" i="3"/>
  <c r="K110" i="3"/>
  <c r="L110" i="3"/>
  <c r="D110" i="3"/>
  <c r="C111" i="3"/>
  <c r="C107" i="3"/>
  <c r="C101" i="3"/>
  <c r="C100" i="3"/>
  <c r="C99" i="3"/>
  <c r="D105" i="3" l="1"/>
  <c r="D97" i="3" s="1"/>
  <c r="F105" i="3"/>
  <c r="F97" i="3" s="1"/>
  <c r="J135" i="3"/>
  <c r="J130" i="3" s="1"/>
  <c r="F135" i="3"/>
  <c r="F130" i="3" s="1"/>
  <c r="K135" i="3"/>
  <c r="G135" i="3"/>
  <c r="L105" i="3"/>
  <c r="L97" i="3" s="1"/>
  <c r="H105" i="3"/>
  <c r="H97" i="3" s="1"/>
  <c r="J105" i="3"/>
  <c r="J97" i="3" s="1"/>
  <c r="C112" i="3"/>
  <c r="C144" i="3"/>
  <c r="K105" i="3"/>
  <c r="G105" i="3"/>
  <c r="L135" i="3"/>
  <c r="L130" i="3" s="1"/>
  <c r="H135" i="3"/>
  <c r="H130" i="3" s="1"/>
  <c r="D135" i="3"/>
  <c r="D130" i="3" s="1"/>
  <c r="I135" i="3"/>
  <c r="E135" i="3"/>
  <c r="C119" i="3"/>
  <c r="C110" i="3"/>
  <c r="C155" i="3"/>
  <c r="C163" i="3"/>
  <c r="I105" i="3"/>
  <c r="E105" i="3"/>
  <c r="E97" i="3" s="1"/>
  <c r="C158" i="3"/>
  <c r="C148" i="3"/>
  <c r="C136" i="3"/>
  <c r="C98" i="3"/>
  <c r="C115" i="3"/>
  <c r="C125" i="3"/>
  <c r="C106" i="3"/>
  <c r="C92" i="3"/>
  <c r="C93" i="3"/>
  <c r="C94" i="3"/>
  <c r="C91" i="3"/>
  <c r="D16" i="2"/>
  <c r="E16" i="2"/>
  <c r="G16" i="2"/>
  <c r="E15" i="2"/>
  <c r="F15" i="2"/>
  <c r="G15" i="2"/>
  <c r="C84" i="3"/>
  <c r="C85" i="3"/>
  <c r="C86" i="3"/>
  <c r="C87" i="3"/>
  <c r="C83" i="3"/>
  <c r="C81" i="3"/>
  <c r="C78" i="3"/>
  <c r="G130" i="3" l="1"/>
  <c r="E18" i="2" s="1"/>
  <c r="E130" i="3"/>
  <c r="D18" i="2" s="1"/>
  <c r="I130" i="3"/>
  <c r="F18" i="2" s="1"/>
  <c r="K130" i="3"/>
  <c r="K97" i="3"/>
  <c r="G17" i="2" s="1"/>
  <c r="I97" i="3"/>
  <c r="F17" i="2" s="1"/>
  <c r="G97" i="3"/>
  <c r="E17" i="2" s="1"/>
  <c r="D15" i="2"/>
  <c r="C76" i="3"/>
  <c r="C135" i="3"/>
  <c r="C105" i="3"/>
  <c r="C90" i="3"/>
  <c r="C130" i="3" l="1"/>
  <c r="G18" i="2"/>
  <c r="D17" i="2"/>
  <c r="C97" i="3"/>
  <c r="E65" i="3"/>
  <c r="F65" i="3"/>
  <c r="G65" i="3"/>
  <c r="H65" i="3"/>
  <c r="I65" i="3"/>
  <c r="J65" i="3"/>
  <c r="K65" i="3"/>
  <c r="L65" i="3"/>
  <c r="D65" i="3"/>
  <c r="E73" i="3"/>
  <c r="F73" i="3"/>
  <c r="G73" i="3"/>
  <c r="H73" i="3"/>
  <c r="I73" i="3"/>
  <c r="J73" i="3"/>
  <c r="K73" i="3"/>
  <c r="L73" i="3"/>
  <c r="D73" i="3"/>
  <c r="C72" i="3"/>
  <c r="C69" i="3"/>
  <c r="C67" i="3"/>
  <c r="C66" i="3"/>
  <c r="E60" i="3"/>
  <c r="E43" i="3" s="1"/>
  <c r="F60" i="3"/>
  <c r="F43" i="3" s="1"/>
  <c r="G60" i="3"/>
  <c r="G43" i="3" s="1"/>
  <c r="H60" i="3"/>
  <c r="H43" i="3" s="1"/>
  <c r="I60" i="3"/>
  <c r="I43" i="3" s="1"/>
  <c r="F13" i="2" s="1"/>
  <c r="J60" i="3"/>
  <c r="J43" i="3" s="1"/>
  <c r="K60" i="3"/>
  <c r="K43" i="3" s="1"/>
  <c r="L60" i="3"/>
  <c r="L43" i="3" s="1"/>
  <c r="D60" i="3"/>
  <c r="D43" i="3" s="1"/>
  <c r="C61" i="3"/>
  <c r="C52" i="3"/>
  <c r="C45" i="3"/>
  <c r="C40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K18" i="3"/>
  <c r="L18" i="3"/>
  <c r="D18" i="3"/>
  <c r="C20" i="3"/>
  <c r="C21" i="3"/>
  <c r="C19" i="3"/>
  <c r="J12" i="3" l="1"/>
  <c r="E12" i="3"/>
  <c r="E64" i="3"/>
  <c r="D14" i="2" s="1"/>
  <c r="D64" i="3"/>
  <c r="K64" i="3"/>
  <c r="G14" i="2" s="1"/>
  <c r="L64" i="3"/>
  <c r="J64" i="3"/>
  <c r="I64" i="3"/>
  <c r="F14" i="2" s="1"/>
  <c r="H64" i="3"/>
  <c r="G64" i="3"/>
  <c r="E14" i="2" s="1"/>
  <c r="F64" i="3"/>
  <c r="I12" i="3"/>
  <c r="F11" i="2" s="1"/>
  <c r="F12" i="3"/>
  <c r="L12" i="3"/>
  <c r="K12" i="3"/>
  <c r="G11" i="2" s="1"/>
  <c r="H12" i="3"/>
  <c r="G12" i="3"/>
  <c r="E11" i="2" s="1"/>
  <c r="D12" i="3"/>
  <c r="D12" i="2"/>
  <c r="C18" i="3"/>
  <c r="D13" i="2"/>
  <c r="C73" i="3"/>
  <c r="C51" i="3"/>
  <c r="C65" i="3"/>
  <c r="C60" i="3"/>
  <c r="C39" i="3"/>
  <c r="C29" i="3"/>
  <c r="C15" i="3"/>
  <c r="C16" i="3"/>
  <c r="C14" i="3"/>
  <c r="L11" i="3" l="1"/>
  <c r="L211" i="3" s="1"/>
  <c r="J11" i="3"/>
  <c r="J211" i="3" s="1"/>
  <c r="G13" i="2"/>
  <c r="G10" i="2" s="1"/>
  <c r="K11" i="3"/>
  <c r="K211" i="3" s="1"/>
  <c r="F10" i="2"/>
  <c r="I11" i="3"/>
  <c r="I211" i="3" s="1"/>
  <c r="G11" i="3"/>
  <c r="G211" i="3" s="1"/>
  <c r="E13" i="2"/>
  <c r="E10" i="2" s="1"/>
  <c r="H11" i="3"/>
  <c r="H211" i="3" s="1"/>
  <c r="F11" i="3"/>
  <c r="F211" i="3" s="1"/>
  <c r="C43" i="3"/>
  <c r="C64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9" i="1"/>
  <c r="E88" i="1"/>
  <c r="D87" i="1"/>
  <c r="C87" i="1"/>
  <c r="E79" i="1"/>
  <c r="E78" i="1" s="1"/>
  <c r="E67" i="1"/>
  <c r="D61" i="1"/>
  <c r="D60" i="1" s="1"/>
  <c r="E87" i="1" l="1"/>
  <c r="E66" i="1"/>
  <c r="E61" i="1" s="1"/>
  <c r="E60" i="1" s="1"/>
  <c r="E11" i="3"/>
  <c r="E211" i="3" s="1"/>
  <c r="D11" i="2"/>
  <c r="C61" i="1"/>
  <c r="C60" i="1" s="1"/>
  <c r="C29" i="2"/>
  <c r="H13" i="2"/>
  <c r="C12" i="3"/>
  <c r="G29" i="2"/>
  <c r="F29" i="2"/>
  <c r="E29" i="2"/>
  <c r="H22" i="2"/>
  <c r="H20" i="2"/>
  <c r="E56" i="1"/>
  <c r="E57" i="1"/>
  <c r="E55" i="1"/>
  <c r="D54" i="1"/>
  <c r="D53" i="1" s="1"/>
  <c r="C54" i="1"/>
  <c r="C53" i="1" s="1"/>
  <c r="E59" i="1"/>
  <c r="E58" i="1" s="1"/>
  <c r="D58" i="1"/>
  <c r="C58" i="1"/>
  <c r="E48" i="1"/>
  <c r="E47" i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19" i="1"/>
  <c r="E18" i="1" s="1"/>
  <c r="E17" i="1"/>
  <c r="E16" i="1"/>
  <c r="E15" i="1"/>
  <c r="E13" i="1"/>
  <c r="E12" i="1"/>
  <c r="D23" i="1"/>
  <c r="C23" i="1"/>
  <c r="D27" i="1"/>
  <c r="C27" i="1"/>
  <c r="D14" i="1"/>
  <c r="C14" i="1"/>
  <c r="D11" i="1"/>
  <c r="C11" i="1"/>
  <c r="E14" i="1" l="1"/>
  <c r="E46" i="1"/>
  <c r="H11" i="2"/>
  <c r="D10" i="2"/>
  <c r="C50" i="1"/>
  <c r="D50" i="1"/>
  <c r="D22" i="1"/>
  <c r="D21" i="1" s="1"/>
  <c r="E54" i="1"/>
  <c r="E53" i="1" s="1"/>
  <c r="E50" i="1" s="1"/>
  <c r="C22" i="1"/>
  <c r="C21" i="1" s="1"/>
  <c r="E27" i="1"/>
  <c r="E23" i="1"/>
  <c r="E11" i="1"/>
  <c r="E36" i="1"/>
  <c r="E35" i="1" s="1"/>
  <c r="D29" i="2" l="1"/>
  <c r="H29" i="2" s="1"/>
  <c r="H10" i="2"/>
  <c r="D9" i="1"/>
  <c r="D90" i="1" s="1"/>
  <c r="E22" i="1"/>
  <c r="E21" i="1" s="1"/>
  <c r="C9" i="1"/>
  <c r="C90" i="1" s="1"/>
  <c r="E9" i="1" l="1"/>
  <c r="E90" i="1" s="1"/>
  <c r="C170" i="3" l="1"/>
  <c r="C169" i="3" l="1"/>
  <c r="D11" i="3"/>
  <c r="C11" i="3" l="1"/>
  <c r="C211" i="3" s="1"/>
  <c r="D211" i="3"/>
</calcChain>
</file>

<file path=xl/sharedStrings.xml><?xml version="1.0" encoding="utf-8"?>
<sst xmlns="http://schemas.openxmlformats.org/spreadsheetml/2006/main" count="1626" uniqueCount="886">
  <si>
    <t>1.pielikums</t>
  </si>
  <si>
    <t>Pamatbudžeta ieņēmumi</t>
  </si>
  <si>
    <t>Rādītāju nosaukums</t>
  </si>
  <si>
    <t>Grozījumi</t>
  </si>
  <si>
    <t>Klasifikā-cijas kods</t>
  </si>
  <si>
    <t>01.110.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</si>
  <si>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</si>
  <si>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</si>
  <si>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</si>
  <si>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</si>
  <si>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</si>
  <si>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</si>
  <si>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</si>
  <si>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</si>
  <si>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</si>
  <si>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</si>
  <si>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</si>
  <si>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</si>
  <si>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</si>
  <si>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</si>
  <si>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</si>
  <si>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</si>
  <si>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</si>
  <si>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</si>
  <si>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</si>
  <si>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</si>
  <si>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</si>
  <si>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</si>
  <si>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</si>
  <si>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</si>
  <si>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</si>
  <si>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</si>
  <si>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</si>
  <si>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</si>
  <si>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</si>
  <si>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</si>
  <si>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</si>
  <si>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</si>
  <si>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</si>
  <si>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</si>
  <si>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</si>
  <si>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</si>
  <si>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</si>
  <si>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</si>
  <si>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</si>
  <si>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</si>
  <si>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</si>
  <si>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</si>
  <si>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</si>
  <si>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</si>
  <si>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</si>
  <si>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</si>
  <si>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</si>
  <si>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</si>
  <si>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</si>
  <si>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</si>
  <si>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</si>
  <si>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</si>
  <si>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</si>
  <si>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12.390.</t>
  </si>
  <si>
    <t>13.000.</t>
  </si>
  <si>
    <t>13.100.</t>
  </si>
  <si>
    <t>Ieņēmumi no ēku un būvju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</si>
  <si>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</si>
  <si>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</si>
  <si>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</si>
  <si>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</si>
  <si>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</si>
  <si>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</si>
  <si>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</si>
  <si>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</si>
  <si>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Pašvaldību no valsts budžeta iestādēm saņemtie transferti Eiropas Savienības politiku instrumentu un pārējās ārvalstu finanšu palīdzības līdzfinansētajiem projektiem (pasākumiem)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</si>
  <si>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</si>
  <si>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</si>
  <si>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</si>
  <si>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</si>
  <si>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</si>
  <si>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</si>
  <si>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</si>
  <si>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</si>
  <si>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</si>
  <si>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</si>
  <si>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</si>
  <si>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</si>
  <si>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</si>
  <si>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</si>
  <si>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</si>
  <si>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</si>
  <si>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</si>
  <si>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</si>
  <si>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</si>
  <si>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</si>
  <si>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</si>
  <si>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</si>
  <si>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</si>
  <si>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</si>
  <si>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</si>
  <si>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</si>
  <si>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</si>
  <si>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</si>
  <si>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</si>
  <si>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</si>
  <si>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</si>
  <si>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</si>
  <si>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</si>
  <si>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</si>
  <si>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</si>
  <si>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</si>
  <si>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</si>
  <si>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</si>
  <si>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</si>
  <si>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</si>
  <si>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</si>
  <si>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</si>
  <si>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</si>
  <si>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</si>
  <si>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</si>
  <si>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</si>
  <si>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</si>
  <si>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</si>
  <si>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</si>
  <si>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</si>
  <si>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</si>
  <si>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</si>
  <si>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</si>
  <si>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</si>
  <si>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</si>
  <si>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</si>
  <si>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</si>
  <si>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</si>
  <si>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</si>
  <si>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</si>
  <si>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</si>
  <si>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</si>
  <si>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</si>
  <si>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</si>
  <si>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</si>
  <si>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</si>
  <si>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</si>
  <si>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</si>
  <si>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</si>
  <si>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</si>
  <si>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</si>
  <si>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</si>
  <si>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</si>
  <si>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</si>
  <si>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</si>
  <si>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</si>
  <si>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</si>
  <si>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</si>
  <si>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</si>
  <si>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</si>
  <si>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</si>
  <si>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</si>
  <si>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</si>
  <si>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</si>
  <si>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</si>
  <si>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</si>
  <si>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</si>
  <si>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</si>
  <si>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</si>
  <si>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</si>
  <si>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</si>
  <si>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</si>
  <si>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</si>
  <si>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</si>
  <si>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</si>
  <si>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</si>
  <si>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</si>
  <si>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</si>
  <si>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</si>
  <si>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</si>
  <si>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</si>
  <si>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</si>
  <si>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</si>
  <si>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</si>
  <si>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</si>
  <si>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</si>
  <si>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</si>
  <si>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</si>
  <si>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</si>
  <si>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</si>
  <si>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</si>
  <si>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</si>
  <si>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</si>
  <si>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</si>
  <si>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</si>
  <si>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</si>
  <si>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</si>
  <si>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</si>
  <si>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</si>
  <si>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</si>
  <si>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</si>
  <si>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</si>
  <si>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</si>
  <si>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</si>
  <si>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</si>
  <si>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</si>
  <si>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</si>
  <si>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</si>
  <si>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</si>
  <si>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</si>
  <si>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</si>
  <si>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</si>
  <si>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</si>
  <si>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</si>
  <si>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</si>
  <si>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</si>
  <si>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</si>
  <si>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</si>
  <si>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</si>
  <si>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</si>
  <si>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</si>
  <si>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</si>
  <si>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</si>
  <si>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</si>
  <si>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</si>
  <si>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</si>
  <si>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</si>
  <si>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</si>
  <si>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</si>
  <si>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</si>
  <si>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</si>
  <si>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</si>
  <si>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</si>
  <si>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</si>
  <si>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</si>
  <si>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</si>
  <si>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</si>
  <si>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</si>
  <si>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</si>
  <si>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</si>
  <si>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</si>
  <si>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</si>
  <si>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</si>
  <si>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</si>
  <si>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</si>
  <si>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</si>
  <si>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</si>
  <si>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</si>
  <si>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</si>
  <si>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</si>
  <si>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</si>
  <si>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</si>
  <si>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</si>
  <si>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</si>
  <si>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</si>
  <si>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</si>
  <si>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</si>
  <si>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</si>
  <si>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</si>
  <si>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</si>
  <si>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</si>
  <si>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</si>
  <si>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</si>
  <si>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</si>
  <si>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</si>
  <si>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</si>
  <si>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</si>
  <si>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</si>
  <si>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</si>
  <si>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</si>
  <si>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</si>
  <si>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</si>
  <si>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</si>
  <si>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</si>
  <si>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</si>
  <si>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</si>
  <si>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</si>
  <si>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</si>
  <si>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</si>
  <si>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</si>
  <si>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</si>
  <si>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</si>
  <si>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</si>
  <si>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</si>
  <si>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</si>
  <si>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</si>
  <si>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</si>
  <si>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</si>
  <si>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</si>
  <si>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</si>
  <si>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</si>
  <si>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</si>
  <si>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</si>
  <si>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</si>
  <si>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</si>
  <si>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</si>
  <si>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</si>
  <si>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</si>
  <si>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</si>
  <si>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</si>
  <si>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</si>
  <si>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</si>
  <si>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</si>
  <si>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</si>
  <si>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</si>
  <si>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</si>
  <si>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</si>
  <si>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</si>
  <si>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</si>
  <si>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</si>
  <si>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</si>
  <si>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</si>
  <si>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</si>
  <si>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</si>
  <si>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</si>
  <si>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</si>
  <si>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</si>
  <si>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</si>
  <si>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</si>
  <si>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</si>
  <si>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</si>
  <si>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</si>
  <si>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</si>
  <si>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</si>
  <si>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</si>
  <si>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</si>
  <si>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</si>
  <si>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</si>
  <si>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</si>
  <si>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</si>
  <si>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</si>
  <si>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</si>
  <si>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</si>
  <si>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</si>
  <si>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</si>
  <si>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</si>
  <si>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</si>
  <si>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</si>
  <si>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</si>
  <si>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</si>
  <si>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</si>
  <si>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</si>
  <si>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</si>
  <si>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</si>
  <si>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</si>
  <si>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</si>
  <si>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</si>
  <si>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</si>
  <si>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</si>
  <si>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</si>
  <si>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</si>
  <si>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</si>
  <si>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</si>
  <si>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</si>
  <si>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</si>
  <si>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</si>
  <si>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</si>
  <si>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</si>
  <si>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</si>
  <si>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</si>
  <si>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</si>
  <si>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</si>
  <si>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</si>
  <si>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</si>
  <si>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</si>
  <si>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</si>
  <si>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</si>
  <si>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</si>
  <si>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</si>
  <si>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</si>
  <si>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</si>
  <si>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</si>
  <si>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</si>
  <si>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</si>
  <si>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</si>
  <si>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</si>
  <si>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</si>
  <si>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</si>
  <si>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</si>
  <si>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</si>
  <si>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</si>
  <si>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</si>
  <si>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</si>
  <si>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</si>
  <si>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</si>
  <si>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</si>
  <si>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</si>
  <si>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</si>
  <si>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03.206.</t>
  </si>
  <si>
    <t>06.608.</t>
  </si>
  <si>
    <t>21.400.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</si>
  <si>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</si>
  <si>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</si>
  <si>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</si>
  <si>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</si>
  <si>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</si>
  <si>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</si>
  <si>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</si>
  <si>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</si>
  <si>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</si>
  <si>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</si>
  <si>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</si>
  <si>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</si>
  <si>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</si>
  <si>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</si>
  <si>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</si>
  <si>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</si>
  <si>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</si>
  <si>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</si>
  <si>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</si>
  <si>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</si>
  <si>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</si>
  <si>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</si>
  <si>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</si>
  <si>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</si>
  <si>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</si>
  <si>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</si>
  <si>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</si>
  <si>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</si>
  <si>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12.399.</t>
  </si>
  <si>
    <t>Pārējie 21.300.grupā neklasificētie iestāžu ieņēmumi par iestāžu sniegtajiem maksas pakalpojumiem un citu pašu ieņēmumi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</si>
  <si>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</si>
  <si>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</si>
  <si>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</si>
  <si>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</si>
  <si>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</si>
  <si>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Nosaukums</t>
  </si>
  <si>
    <t>Pārējie dažādi nenodokļu ieņēmumi, kas nav iepriekš klasificēti šajā klasifikācijā</t>
  </si>
  <si>
    <t>Nodibinājums "Jelgavnieku veselības veicināšanas fonds"</t>
  </si>
  <si>
    <t>08.109.</t>
  </si>
  <si>
    <t>Dienas centrs "Harmonija"</t>
  </si>
  <si>
    <t>Piedzītie un labprātīgi atmaksātie līdzekļi</t>
  </si>
  <si>
    <t>12.395.</t>
  </si>
  <si>
    <t>04.510.527.</t>
  </si>
  <si>
    <t>ERAF projekts "Tehniskās infrastruktūras sakārtošana uzņēmējdarbības attīstībai degradētajā teritorijā, 1.kārta"</t>
  </si>
  <si>
    <t>09.219.6.</t>
  </si>
  <si>
    <t>ERAF projekts "Jelgavas Amatu vidusskolas infrastruktūras uzlabošana un mācību aprīkojuma modernizācija, 2.kārta"</t>
  </si>
  <si>
    <t>01.100.</t>
  </si>
  <si>
    <t>Ieņēmumi no iedzīvotāju ienākuma nodokļa</t>
  </si>
  <si>
    <t>05.400.</t>
  </si>
  <si>
    <t>Nodokļi atsevišķām precēm un pakalpojumu veidiem</t>
  </si>
  <si>
    <t>Pašvaldības nodeva par būvatļaujas izdošanu vai būvniecības ieceres akceptu</t>
  </si>
  <si>
    <t>Citi dažādi nenodokļu ieņēmumi</t>
  </si>
  <si>
    <t>12.393.</t>
  </si>
  <si>
    <t>Līgumsodi un procentu maksājumi par saistību neizpildi</t>
  </si>
  <si>
    <t>13.210.</t>
  </si>
  <si>
    <t>17.000.</t>
  </si>
  <si>
    <t>17.200.</t>
  </si>
  <si>
    <t>Pašvaldību saņemtie transferti no valsts budžeta</t>
  </si>
  <si>
    <t>Pašvaldību saņemtie valsts budžeta transferti</t>
  </si>
  <si>
    <t>Saņemtie aizņēmumi</t>
  </si>
  <si>
    <t>Ieņēmumi no zemes īpašuma pārdošanas</t>
  </si>
  <si>
    <t>21.194.</t>
  </si>
  <si>
    <t>Ieņēmumi no vadošā partnera partneru grupas īstenotajiem ārvalstu finanšu palīdzības projektiem</t>
  </si>
  <si>
    <t>21.351.</t>
  </si>
  <si>
    <t>Mācību maksa</t>
  </si>
  <si>
    <t>Pārējie ieņēmumi par izglītības pakalpojumiem</t>
  </si>
  <si>
    <t>21.379.</t>
  </si>
  <si>
    <t>21.359.</t>
  </si>
  <si>
    <t>Ieņēmumi par pārējo dokumentu izsniegšanu un pārējiem kancelejas pakalpojumiem</t>
  </si>
  <si>
    <t>21.831.</t>
  </si>
  <si>
    <t>Ieņēmumi par telpu nomu</t>
  </si>
  <si>
    <t>21.383.</t>
  </si>
  <si>
    <t>Ieņēmumi no kustamā īpašuma iznomāšanas</t>
  </si>
  <si>
    <t>Ieņēmumi par zemes nomu</t>
  </si>
  <si>
    <t>21.384.</t>
  </si>
  <si>
    <t>21.389.</t>
  </si>
  <si>
    <t>Pārējie ieņēmumi par nomu un īri</t>
  </si>
  <si>
    <t>21.391.</t>
  </si>
  <si>
    <t>21.393.</t>
  </si>
  <si>
    <t>21.394.</t>
  </si>
  <si>
    <t>21.395.</t>
  </si>
  <si>
    <t>21.399.</t>
  </si>
  <si>
    <t>Maksa par personu uzturēšanos sociālās aprūpes iestādēs</t>
  </si>
  <si>
    <t>Ieņēmumi par biļešu realizāciju</t>
  </si>
  <si>
    <t>Ieņēmumi par komunālajiem pakalpojumiem</t>
  </si>
  <si>
    <t>Ieņēmumi par projektu īstenošanu</t>
  </si>
  <si>
    <t>Citi ieņēmumi par maksas pakalpojumiem</t>
  </si>
  <si>
    <t>21.499.</t>
  </si>
  <si>
    <t>Pārējie iepriekš neklasificētie pašu ieņēmumi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</si>
  <si>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</si>
  <si>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</si>
  <si>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</si>
  <si>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</si>
  <si>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</si>
  <si>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</si>
  <si>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</si>
  <si>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</si>
  <si>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</si>
  <si>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</si>
  <si>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</si>
  <si>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</si>
  <si>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</si>
  <si>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</si>
  <si>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</si>
  <si>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</si>
  <si>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</si>
  <si>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</si>
  <si>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</si>
  <si>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</si>
  <si>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</si>
  <si>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</si>
  <si>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</si>
  <si>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</si>
  <si>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</si>
  <si>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</si>
  <si>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Nodibinājums "Kultūras tālākizglītības atbalsta fonds"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</si>
  <si>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</si>
  <si>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</si>
  <si>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</si>
  <si>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</si>
  <si>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</si>
  <si>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</si>
  <si>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</si>
  <si>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</si>
  <si>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</si>
  <si>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</si>
  <si>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</si>
  <si>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</si>
  <si>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</si>
  <si>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</si>
  <si>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</si>
  <si>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</si>
  <si>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</si>
  <si>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</si>
  <si>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</si>
  <si>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</si>
  <si>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</si>
  <si>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</si>
  <si>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</si>
  <si>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</si>
  <si>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</si>
  <si>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</si>
  <si>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</si>
  <si>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</si>
  <si>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</si>
  <si>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</si>
  <si>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</si>
  <si>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</si>
  <si>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</si>
  <si>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</si>
  <si>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</si>
  <si>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</si>
  <si>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</si>
  <si>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</si>
  <si>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</si>
  <si>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</si>
  <si>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</si>
  <si>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</si>
  <si>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08.292. Pilsētas nozīmes pasākumi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</si>
  <si>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</si>
  <si>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</si>
  <si>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</si>
  <si>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</si>
  <si>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</si>
  <si>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</si>
  <si>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</si>
  <si>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</si>
  <si>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</si>
  <si>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</si>
  <si>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</si>
  <si>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</si>
  <si>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</si>
  <si>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</si>
  <si>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</si>
  <si>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</si>
  <si>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</si>
  <si>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</si>
  <si>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</si>
  <si>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</si>
  <si>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</si>
  <si>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</si>
  <si>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</si>
  <si>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</si>
  <si>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</si>
  <si>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</si>
  <si>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</si>
  <si>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</si>
  <si>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</si>
  <si>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</si>
  <si>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</si>
  <si>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</si>
  <si>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</si>
  <si>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</si>
  <si>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</si>
  <si>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</si>
  <si>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</si>
  <si>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</si>
  <si>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</si>
  <si>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</si>
  <si>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</si>
  <si>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</si>
  <si>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</si>
  <si>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</si>
  <si>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</si>
  <si>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</si>
  <si>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</si>
  <si>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</si>
  <si>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</si>
  <si>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</si>
  <si>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</si>
  <si>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</si>
  <si>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</si>
  <si>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</si>
  <si>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</si>
  <si>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</si>
  <si>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</si>
  <si>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</si>
  <si>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</si>
  <si>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</si>
  <si>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</si>
  <si>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</si>
  <si>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</si>
  <si>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</si>
  <si>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</si>
  <si>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</si>
  <si>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</si>
  <si>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</si>
  <si>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</si>
  <si>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</si>
  <si>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</si>
  <si>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</si>
  <si>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</si>
  <si>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</si>
  <si>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</si>
  <si>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</si>
  <si>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</si>
  <si>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</si>
  <si>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</si>
  <si>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</si>
  <si>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</si>
  <si>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</si>
  <si>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</si>
  <si>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</si>
  <si>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</si>
  <si>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</si>
  <si>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</si>
  <si>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</si>
  <si>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</si>
  <si>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</si>
  <si>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</si>
  <si>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</si>
  <si>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</si>
  <si>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</si>
  <si>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</si>
  <si>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</si>
  <si>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</si>
  <si>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</si>
  <si>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</si>
  <si>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</si>
  <si>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</si>
  <si>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</si>
  <si>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</si>
  <si>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</si>
  <si>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</si>
  <si>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</si>
  <si>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</si>
  <si>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</si>
  <si>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</si>
  <si>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</si>
  <si>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</si>
  <si>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</si>
  <si>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</si>
  <si>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</si>
  <si>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</si>
  <si>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</si>
  <si>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</si>
  <si>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</si>
  <si>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</si>
  <si>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</si>
  <si>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</si>
  <si>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</si>
  <si>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</si>
  <si>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</si>
  <si>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</si>
  <si>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</si>
  <si>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</si>
  <si>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</si>
  <si>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</si>
  <si>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</si>
  <si>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</si>
  <si>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</si>
  <si>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</si>
  <si>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</si>
  <si>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</si>
  <si>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</si>
  <si>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</si>
  <si>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</si>
  <si>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</si>
  <si>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</si>
  <si>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</si>
  <si>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</si>
  <si>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</si>
  <si>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</si>
  <si>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</si>
  <si>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</si>
  <si>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</si>
  <si>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</si>
  <si>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</si>
  <si>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</si>
  <si>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</si>
  <si>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</si>
  <si>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</si>
  <si>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</si>
  <si>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</si>
  <si>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</si>
  <si>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</si>
  <si>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</si>
  <si>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</si>
  <si>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</si>
  <si>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</si>
  <si>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</si>
  <si>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</si>
  <si>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</si>
  <si>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</si>
  <si>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</si>
  <si>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</si>
  <si>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</si>
  <si>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</si>
  <si>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</si>
  <si>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</si>
  <si>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</si>
  <si>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</si>
  <si>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</si>
  <si>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</si>
  <si>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</si>
  <si>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</si>
  <si>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</si>
  <si>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</si>
  <si>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</si>
  <si>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</si>
  <si>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</si>
  <si>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</si>
  <si>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</si>
  <si>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</si>
  <si>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</si>
  <si>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</si>
  <si>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</si>
  <si>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</si>
  <si>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</si>
  <si>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</si>
  <si>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</si>
  <si>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</si>
  <si>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</si>
  <si>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</si>
  <si>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</si>
  <si>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</si>
  <si>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</si>
  <si>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</si>
  <si>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</si>
  <si>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</si>
  <si>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</si>
  <si>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</si>
  <si>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</si>
  <si>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</si>
  <si>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</si>
  <si>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17.05.2019.- 20.03.2049.</t>
  </si>
  <si>
    <t>A2/1/19/156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</si>
  <si>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</si>
  <si>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</si>
  <si>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</si>
  <si>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</si>
  <si>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</si>
  <si>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</si>
  <si>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</si>
  <si>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</si>
  <si>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</si>
  <si>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</si>
  <si>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</si>
  <si>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</si>
  <si>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</si>
  <si>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</si>
  <si>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</si>
  <si>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</si>
  <si>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</si>
  <si>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</si>
  <si>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</si>
  <si>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</si>
  <si>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</si>
  <si>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</si>
  <si>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</si>
  <si>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</si>
  <si>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</si>
  <si>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</si>
  <si>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</si>
  <si>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</si>
  <si>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</si>
  <si>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</si>
  <si>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</si>
  <si>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>Pamatsummu atmaksa pēc grafika</t>
  </si>
  <si>
    <t xml:space="preserve"> Saistību īpatsvars bez priekšfinansējuma atmaksām</t>
  </si>
  <si>
    <t>Jelgavas speciālo skolu un speciālās pirmsskolas izglītības programma</t>
  </si>
  <si>
    <t>21.429.</t>
  </si>
  <si>
    <t>Pārējie iepriekš neklasificētie īpašiem mērķiem noteiktie ieņēmumi</t>
  </si>
  <si>
    <t>05.303.</t>
  </si>
  <si>
    <t>09.534.</t>
  </si>
  <si>
    <t>ESF projekts "Nodarbināto personu profesionālās kompetences pilnveide"</t>
  </si>
  <si>
    <t>09.820.</t>
  </si>
  <si>
    <t>09.821.</t>
  </si>
  <si>
    <t>Projekts "Jelgava jauniešiem II"</t>
  </si>
  <si>
    <t>Pārējie citur neklasificētie izglītības pakalpojumi</t>
  </si>
  <si>
    <t>10.129.</t>
  </si>
  <si>
    <t>ESF projekts "Par individuālā budžeta modeļa aprobāciju pilngadīgām personām ar garīga rakstura traucējumiem sabiedrībā balstītu sociālo pakalpojumu nodrošināšanai"</t>
  </si>
  <si>
    <t>09.821. Projekts 'Jelgava jauniešiem'</t>
  </si>
  <si>
    <t>4000. Procentu izdevumi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</si>
  <si>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</si>
  <si>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</si>
  <si>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JELGAVAS PILSĒTAS PAŠVALDĪBAS 2020.GADA BUDŽETS</t>
  </si>
  <si>
    <t>Plāns 2020.gadam</t>
  </si>
  <si>
    <t>05.530.</t>
  </si>
  <si>
    <t>Dabas resursu nodoklis</t>
  </si>
  <si>
    <t>Pašvaldības nodeva par domes izstrādāto oficiālo dokumentu un apliecinātu to kopiju saņemšanu</t>
  </si>
  <si>
    <t>21.191.</t>
  </si>
  <si>
    <t>Ieņēmumi no citu Eiropas Savienības politiku instrumentu līdzfinansēto projektu un pasākumu īstenošanas, kas nav Eiropas Savienības struktūrfondi</t>
  </si>
  <si>
    <t>Naudas līdzekļu atlikums uz 31.12.2019.</t>
  </si>
  <si>
    <t>04.510.529.</t>
  </si>
  <si>
    <t>ERAF projekts "Tehniskās infrastruktūras sakārtošana uzņēmējdarbības attīstībai degradētajā teritorijā, 2.kārta"</t>
  </si>
  <si>
    <t>Dotācija pašvaldības kapitālsabiedrībām no dabas resursu nodokļa fonda</t>
  </si>
  <si>
    <t>09.111.</t>
  </si>
  <si>
    <t>Projekts "Ēkas pārbūve par pirmskolas izglītības iestādi Brīvības bulvārī 31 A, Jelgavā"</t>
  </si>
  <si>
    <t>09.219.8.</t>
  </si>
  <si>
    <t>ERAF projekts "Jelgavas pilsētas pašvaldības izglītības iestādes "Jelgavas Tehnoloģiju vidusskola" energoefektivitātes paaugstināšana"</t>
  </si>
  <si>
    <t>2035-2050</t>
  </si>
  <si>
    <t>SIA Jelgavas ūdens - Ūdenssaimniecības pakalpojumu attīstība Jelgavā, V kārta</t>
  </si>
  <si>
    <t>Pirmstermiņa atmaksas uz xx.xx.2020.</t>
  </si>
  <si>
    <t>2020.gada plāns</t>
  </si>
  <si>
    <t>JELGAVAS PILSĒTAS PAŠVALDĪBAS 2020.GADA PAMATBUDŽETS ATŠIFRĒJUMĀ PA PROGRAMMĀM UN EKONOMISKĀS KLASIFIKĀCIJAS KODIEM</t>
  </si>
  <si>
    <t>04.510.529. ERAF projekts 'Tehniskās infrastruktūras sakārtošana uzņēmējdarbības attīstībai degradētajā teritorijā, 2.kārta'</t>
  </si>
  <si>
    <t>09.111. Projekts - 'Ēkas pārbūve par pirmskolas izglītības iestādi Brīvības bulvārī 31 A, Jelgavā'</t>
  </si>
  <si>
    <t>09.219.8. ERAF projekts - 'Jelgavas pilsētas pašvaldības izglītības iestādes 'Jelgavas Tehnoloģiju vidusskola' energoefektivitātes paaugstināšana'</t>
  </si>
  <si>
    <t>16.03.2020.-20.02.2050.</t>
  </si>
  <si>
    <t>G/20/86</t>
  </si>
  <si>
    <t>10.923.</t>
  </si>
  <si>
    <t>Ārkārtas pabalstu izmaksa (JIP)</t>
  </si>
  <si>
    <t>Citi interešu izglītības pasākumi, t.sk. Jaunrades nams "Junda"</t>
  </si>
  <si>
    <t>01.601. Vēlēšanu organizēšana</t>
  </si>
  <si>
    <t>01.721. Parāda procentu nomaksa</t>
  </si>
  <si>
    <t>05.303. Dotācija pašvaldības komersantiem</t>
  </si>
  <si>
    <t>06.602. Pašvaldības teritorijas, mežu un kapsētu apsaimniekošana, klaiņojošo dzīvnieku likvidācija</t>
  </si>
  <si>
    <t>13. JELGAVAS PILSĒTAS PAŠVALDĪBAS IESTĀDE 'ZEMGALES REĢIONA KOMPETENČU ATTĪSTĪBAS CENTRS'</t>
  </si>
  <si>
    <t>14. JELGAVAS PILSĒTAS PAŠVALDĪBAS IESTĀDE 'JELGAVAS IZGLĪTĪBAS PĀRVALDE'</t>
  </si>
  <si>
    <t>10.923. Ārkārtas pabalstu izmaksa (JIP)</t>
  </si>
  <si>
    <t>15. JELGAVAS PILSĒTAS PAŠVALDIBAS IESTĀDE 'JELGAVAS PILSĒTAS BĀRIŅTIESA'</t>
  </si>
  <si>
    <t>16. JELGAVAS PILSĒTAS PAŠVALDĪBAS IESTĀDE 'JELGAVAS SOCIĀLO LIETU PĀRVALDE'</t>
  </si>
  <si>
    <t>17. FINANSĒŠANA</t>
  </si>
  <si>
    <t>7.pielikums</t>
  </si>
  <si>
    <t>Precizētais plāns uz 29.10.2020.</t>
  </si>
  <si>
    <t>03.111.</t>
  </si>
  <si>
    <t>03.112.</t>
  </si>
  <si>
    <t xml:space="preserve">ERAF projekts "Jelgavas pilsētas pašvaldības policijas ēkas energoefektivitātes paaugstināšana" </t>
  </si>
  <si>
    <t>04.510.530.</t>
  </si>
  <si>
    <t>ERAF projekts "Tehniskās infrastruktūras sakārtošana uzņēmējdarbības attīstībai degradētajā teritorijā, 3.kārta"</t>
  </si>
  <si>
    <t>04.917.</t>
  </si>
  <si>
    <t>Jelgavas pilsētas pašvaldības grantu programma "Atbalsts komersantiem un saimnieciskās darbības veicējiem"</t>
  </si>
  <si>
    <t>05.604.</t>
  </si>
  <si>
    <t>Projekts "Jelgavas decentralizētās kanalizācijas sistēmas izveide"</t>
  </si>
  <si>
    <t>08.214.</t>
  </si>
  <si>
    <t>Erasmus+ programmas projekts "Lauku un reģionālās bibliotēkas kā vietējie ģimenes uzņēmējdarbības centri"</t>
  </si>
  <si>
    <t>31.07.2020.-20.07.2050.</t>
  </si>
  <si>
    <t>A2/1/20/470</t>
  </si>
  <si>
    <t>Projekts “Romas ielas asfaltbetona seguma izbūve no Turaidas ielas līdz pilsētas administratīvajai robežai”</t>
  </si>
  <si>
    <t>04.08.2020.-20.07.2040.</t>
  </si>
  <si>
    <t>A2/1/20/501</t>
  </si>
  <si>
    <t>Projekts “Satiksmes ielas posma no Meiju ceļa līdz Ganību ielai braucamās daļas seguma atjaunošana”</t>
  </si>
  <si>
    <t>A2/1/20/502</t>
  </si>
  <si>
    <t>EKII projekts "Siltumnīcefekta gāzu emisiju samazināšana ar viedajām pilsētvides tehnoloģijām Jelgavā"</t>
  </si>
  <si>
    <t>20.08.2020.- 20.06.2050.</t>
  </si>
  <si>
    <t>A2/1/20/569</t>
  </si>
  <si>
    <t>Projekts "Pirmsskolas izglītības iestādes Brīvības bulvārī 31A, Jelgavā, būvniecība"</t>
  </si>
  <si>
    <t>02.10.2020.- 20.06.2050.</t>
  </si>
  <si>
    <t>A2/1/20/681</t>
  </si>
  <si>
    <t>Projekts "Asfaltbetona seguma atjaunošana Ruļļu ielas posmā no Salnas ielas līdz Viskaļu ielai"</t>
  </si>
  <si>
    <t>02.10.2020.-20.09.2040.</t>
  </si>
  <si>
    <t>A2/1/20/682</t>
  </si>
  <si>
    <t>Projekts "Gājēju ietves izbūve Kalnciema ceļa posmam no Rīgas ielas līdz Loka maģistrālei"</t>
  </si>
  <si>
    <t>02.10.2020.- 20.06.2040.</t>
  </si>
  <si>
    <t>A2/1/20/683</t>
  </si>
  <si>
    <t>Projekts "Jelgavas decenralizētās kanalizācijas sistēmas izveide" ( POIC )</t>
  </si>
  <si>
    <t>projekts</t>
  </si>
  <si>
    <t>Priekšfinansējuma atmaksas uz 13.10.2020.</t>
  </si>
  <si>
    <t>Grozījumi + vai -</t>
  </si>
  <si>
    <t>03.112. ERAF projekts 'Jelgavas pilsētas pašvaldības ēkas energoefektivitātes paaugstināšana'</t>
  </si>
  <si>
    <t>04.510.530. ERAF projekts 'Tehniskās infrastruktūras sakārtošana uzņēmējdarbības attīstībai degradētajā teritorijā, 3.kārta'</t>
  </si>
  <si>
    <t>04.917. Jelgavas pilsētas pašvaldības grantu programma 'Atbalsts komersantiem un saimnieciskās darbības veicējiem'</t>
  </si>
  <si>
    <t>05.604. Projekts 'Jelgavas decenralizētās kanalizācijas sistēmas izveide'</t>
  </si>
  <si>
    <t>08.214. Erasmus+ programmas projekts 'Lauku un reģionālās bibliotēkas kā vietējie ģimenes uzņēmējdarbības centri'</t>
  </si>
  <si>
    <t>09.511. Pārējie interešu izglītības pasākumi, t.sk. BJIC 'Junda' darbības nodrošināšana</t>
  </si>
  <si>
    <t>Grozījumi 
+ vai -</t>
  </si>
  <si>
    <t>JELGAVAS PILSĒTAS PAŠVALDĪBAS 2020.GADA ZIEDOJUMU UN DĀVINĀJUMU BUDŽETS ATŠIFRĒJUMĀ PA PROGRAMMĀM UN EKONOMISKĀS KLASIFIKĀCIJAS KODIEM</t>
  </si>
  <si>
    <t xml:space="preserve">Precizētais plāns uz 29.10.2020. </t>
  </si>
  <si>
    <t>09.534. ESF projekts - 'Nodarbināto personu profesionālās kompetences pilnveide'</t>
  </si>
  <si>
    <t>SAISTOŠAJIEM NOTEIKUMIEM Nr.20-33</t>
  </si>
  <si>
    <t>29.10.2020.prot.Nr.17/3</t>
  </si>
  <si>
    <t>29.10.2020.prot. Nr.17/3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</si>
</sst>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#,##0.00_ ;\-#,##0.00\ "/>
    <numFmt numFmtId="168" formatCode="0.000%"/>
  </numFmts>
  <fonts count="6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13" fillId="11" borderId="10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164" fontId="14" fillId="0" borderId="0" applyFont="0" applyFill="0" applyBorder="0" applyAlignment="0" applyProtection="0"/>
    <xf numFmtId="0" fontId="14" fillId="0" borderId="0"/>
    <xf numFmtId="0" fontId="60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62" fillId="0" borderId="0"/>
  </cellStyleXfs>
  <cellXfs count="51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2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3" fontId="1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4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2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4" fontId="53" fillId="36" borderId="29" xfId="9" applyNumberFormat="1" applyFont="1" applyFill="1" applyBorder="1"/>
    <xf numFmtId="0" fontId="53" fillId="0" borderId="31" xfId="56" applyFont="1" applyFill="1" applyBorder="1" applyAlignment="1">
      <alignment horizontal="center" vertical="center"/>
    </xf>
    <xf numFmtId="10" fontId="53" fillId="0" borderId="31" xfId="9" applyNumberFormat="1" applyFont="1" applyFill="1" applyBorder="1" applyAlignment="1">
      <alignment horizontal="center" vertical="center"/>
    </xf>
    <xf numFmtId="4" fontId="53" fillId="36" borderId="34" xfId="9" applyNumberFormat="1" applyFont="1" applyFill="1" applyBorder="1"/>
    <xf numFmtId="0" fontId="53" fillId="0" borderId="36" xfId="9" applyFont="1" applyFill="1" applyBorder="1" applyAlignment="1">
      <alignment horizontal="center" wrapText="1"/>
    </xf>
    <xf numFmtId="3" fontId="53" fillId="0" borderId="36" xfId="9" applyNumberFormat="1" applyFont="1" applyFill="1" applyBorder="1"/>
    <xf numFmtId="0" fontId="53" fillId="0" borderId="39" xfId="9" applyFont="1" applyFill="1" applyBorder="1" applyAlignment="1">
      <alignment horizontal="center" wrapText="1"/>
    </xf>
    <xf numFmtId="3" fontId="53" fillId="0" borderId="39" xfId="9" applyNumberFormat="1" applyFont="1" applyFill="1" applyBorder="1"/>
    <xf numFmtId="4" fontId="53" fillId="0" borderId="26" xfId="9" applyNumberFormat="1" applyFont="1" applyFill="1" applyBorder="1"/>
    <xf numFmtId="3" fontId="53" fillId="0" borderId="31" xfId="9" applyNumberFormat="1" applyFont="1" applyFill="1" applyBorder="1"/>
    <xf numFmtId="4" fontId="53" fillId="0" borderId="36" xfId="59" applyNumberFormat="1" applyFont="1" applyFill="1" applyBorder="1" applyAlignment="1">
      <alignment horizontal="right" vertical="center"/>
    </xf>
    <xf numFmtId="3" fontId="53" fillId="0" borderId="37" xfId="59" applyNumberFormat="1" applyFont="1" applyFill="1" applyBorder="1" applyAlignment="1">
      <alignment horizontal="right" vertical="center"/>
    </xf>
    <xf numFmtId="3" fontId="53" fillId="0" borderId="39" xfId="59" applyNumberFormat="1" applyFont="1" applyFill="1" applyBorder="1" applyAlignment="1">
      <alignment horizontal="right" vertical="center"/>
    </xf>
    <xf numFmtId="3" fontId="53" fillId="0" borderId="40" xfId="59" applyNumberFormat="1" applyFont="1" applyFill="1" applyBorder="1" applyAlignment="1">
      <alignment horizontal="right" vertical="center"/>
    </xf>
    <xf numFmtId="4" fontId="53" fillId="0" borderId="26" xfId="59" applyNumberFormat="1" applyFont="1" applyFill="1" applyBorder="1" applyAlignment="1">
      <alignment horizontal="right" vertical="center"/>
    </xf>
    <xf numFmtId="4" fontId="53" fillId="0" borderId="28" xfId="59" applyNumberFormat="1" applyFont="1" applyFill="1" applyBorder="1" applyAlignment="1">
      <alignment horizontal="right" vertical="center"/>
    </xf>
    <xf numFmtId="3" fontId="53" fillId="0" borderId="31" xfId="59" applyNumberFormat="1" applyFont="1" applyFill="1" applyBorder="1" applyAlignment="1">
      <alignment horizontal="right" vertical="center"/>
    </xf>
    <xf numFmtId="3" fontId="53" fillId="0" borderId="33" xfId="59" applyNumberFormat="1" applyFont="1" applyFill="1" applyBorder="1" applyAlignment="1">
      <alignment horizontal="right" vertical="center"/>
    </xf>
    <xf numFmtId="3" fontId="53" fillId="0" borderId="26" xfId="56" applyNumberFormat="1" applyFont="1" applyFill="1" applyBorder="1"/>
    <xf numFmtId="3" fontId="53" fillId="0" borderId="31" xfId="56" applyNumberFormat="1" applyFont="1" applyFill="1" applyBorder="1"/>
    <xf numFmtId="3" fontId="53" fillId="0" borderId="28" xfId="56" applyNumberFormat="1" applyFont="1" applyFill="1" applyBorder="1"/>
    <xf numFmtId="3" fontId="53" fillId="0" borderId="33" xfId="56" applyNumberFormat="1" applyFont="1" applyFill="1" applyBorder="1"/>
    <xf numFmtId="3" fontId="53" fillId="0" borderId="26" xfId="9" applyNumberFormat="1" applyFont="1" applyFill="1" applyBorder="1"/>
    <xf numFmtId="4" fontId="53" fillId="0" borderId="26" xfId="56" applyNumberFormat="1" applyFont="1" applyFill="1" applyBorder="1"/>
    <xf numFmtId="4" fontId="53" fillId="0" borderId="28" xfId="56" applyNumberFormat="1" applyFont="1" applyFill="1" applyBorder="1"/>
    <xf numFmtId="0" fontId="53" fillId="0" borderId="0" xfId="9" applyFont="1" applyFill="1" applyBorder="1" applyAlignment="1"/>
    <xf numFmtId="0" fontId="53" fillId="0" borderId="31" xfId="56" applyFont="1" applyFill="1" applyBorder="1" applyAlignment="1">
      <alignment horizontal="center"/>
    </xf>
    <xf numFmtId="10" fontId="56" fillId="38" borderId="55" xfId="11" applyNumberFormat="1" applyFont="1" applyFill="1" applyBorder="1" applyAlignment="1">
      <alignment horizontal="center"/>
    </xf>
    <xf numFmtId="10" fontId="56" fillId="38" borderId="53" xfId="11" applyNumberFormat="1" applyFont="1" applyFill="1" applyBorder="1" applyAlignment="1">
      <alignment horizontal="center"/>
    </xf>
    <xf numFmtId="10" fontId="56" fillId="39" borderId="56" xfId="11" applyNumberFormat="1" applyFont="1" applyFill="1" applyBorder="1" applyAlignment="1">
      <alignment horizontal="center"/>
    </xf>
    <xf numFmtId="4" fontId="55" fillId="0" borderId="26" xfId="9" applyNumberFormat="1" applyFont="1" applyFill="1" applyBorder="1"/>
    <xf numFmtId="4" fontId="55" fillId="0" borderId="28" xfId="9" applyNumberFormat="1" applyFont="1" applyFill="1" applyBorder="1"/>
    <xf numFmtId="4" fontId="55" fillId="0" borderId="31" xfId="9" applyNumberFormat="1" applyFont="1" applyFill="1" applyBorder="1"/>
    <xf numFmtId="4" fontId="55" fillId="0" borderId="33" xfId="9" applyNumberFormat="1" applyFont="1" applyFill="1" applyBorder="1"/>
    <xf numFmtId="4" fontId="53" fillId="0" borderId="31" xfId="9" applyNumberFormat="1" applyFont="1" applyFill="1" applyBorder="1"/>
    <xf numFmtId="0" fontId="59" fillId="0" borderId="0" xfId="60" applyFont="1" applyProtection="1">
      <protection locked="0"/>
    </xf>
    <xf numFmtId="0" fontId="38" fillId="0" borderId="0" xfId="60" applyFont="1" applyProtection="1">
      <protection locked="0"/>
    </xf>
    <xf numFmtId="0" fontId="38" fillId="0" borderId="0" xfId="60" applyFont="1" applyBorder="1" applyProtection="1">
      <protection locked="0"/>
    </xf>
    <xf numFmtId="14" fontId="37" fillId="0" borderId="0" xfId="60" applyNumberFormat="1" applyFont="1" applyProtection="1"/>
    <xf numFmtId="3" fontId="8" fillId="0" borderId="0" xfId="0" applyNumberFormat="1" applyFont="1"/>
    <xf numFmtId="3" fontId="17" fillId="39" borderId="54" xfId="9" applyNumberFormat="1" applyFont="1" applyFill="1" applyBorder="1" applyAlignment="1">
      <alignment horizontal="center"/>
    </xf>
    <xf numFmtId="0" fontId="53" fillId="0" borderId="31" xfId="56" applyFont="1" applyFill="1" applyBorder="1"/>
    <xf numFmtId="3" fontId="61" fillId="39" borderId="12" xfId="9" applyNumberFormat="1" applyFont="1" applyFill="1" applyBorder="1" applyAlignment="1"/>
    <xf numFmtId="4" fontId="53" fillId="0" borderId="28" xfId="9" applyNumberFormat="1" applyFont="1" applyFill="1" applyBorder="1"/>
    <xf numFmtId="4" fontId="53" fillId="0" borderId="33" xfId="9" applyNumberFormat="1" applyFont="1" applyFill="1" applyBorder="1"/>
    <xf numFmtId="0" fontId="9" fillId="0" borderId="1" xfId="0" applyFont="1" applyBorder="1" applyAlignment="1">
      <alignment horizontal="left" vertical="center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0" fontId="53" fillId="0" borderId="26" xfId="9" applyFont="1" applyFill="1" applyBorder="1" applyAlignment="1">
      <alignment horizontal="center" vertical="center" wrapText="1"/>
    </xf>
    <xf numFmtId="0" fontId="53" fillId="0" borderId="31" xfId="9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 indent="2"/>
    </xf>
    <xf numFmtId="0" fontId="12" fillId="0" borderId="1" xfId="0" applyFont="1" applyFill="1" applyBorder="1" applyAlignment="1">
      <alignment horizontal="left" wrapText="1" indent="2"/>
    </xf>
    <xf numFmtId="0" fontId="12" fillId="0" borderId="1" xfId="0" applyFont="1" applyFill="1" applyBorder="1" applyAlignment="1">
      <alignment horizontal="right" vertical="center" wrapText="1"/>
    </xf>
    <xf numFmtId="0" fontId="46" fillId="0" borderId="1" xfId="0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left" vertical="center" wrapText="1" indent="2"/>
    </xf>
    <xf numFmtId="0" fontId="14" fillId="0" borderId="0" xfId="9"/>
    <xf numFmtId="0" fontId="37" fillId="0" borderId="0" xfId="9" applyFont="1" applyFill="1"/>
    <xf numFmtId="0" fontId="37" fillId="0" borderId="0" xfId="9" applyFont="1" applyAlignment="1">
      <alignment vertical="center"/>
    </xf>
    <xf numFmtId="0" fontId="37" fillId="0" borderId="0" xfId="9" applyFont="1"/>
    <xf numFmtId="0" fontId="37" fillId="0" borderId="0" xfId="9" applyFont="1" applyAlignment="1">
      <alignment horizontal="right"/>
    </xf>
    <xf numFmtId="0" fontId="14" fillId="0" borderId="0" xfId="9" applyFill="1"/>
    <xf numFmtId="0" fontId="14" fillId="0" borderId="0" xfId="9" applyAlignment="1">
      <alignment vertical="center"/>
    </xf>
    <xf numFmtId="0" fontId="53" fillId="0" borderId="0" xfId="9" applyFont="1"/>
    <xf numFmtId="0" fontId="54" fillId="2" borderId="17" xfId="9" applyFont="1" applyFill="1" applyBorder="1" applyAlignment="1">
      <alignment horizontal="center" vertical="center"/>
    </xf>
    <xf numFmtId="0" fontId="54" fillId="2" borderId="17" xfId="9" applyFont="1" applyFill="1" applyBorder="1" applyAlignment="1">
      <alignment vertical="center"/>
    </xf>
    <xf numFmtId="0" fontId="54" fillId="2" borderId="18" xfId="9" applyFont="1" applyFill="1" applyBorder="1" applyAlignment="1">
      <alignment vertical="center"/>
    </xf>
    <xf numFmtId="0" fontId="54" fillId="2" borderId="19" xfId="9" applyFont="1" applyFill="1" applyBorder="1" applyAlignment="1">
      <alignment horizontal="center" vertical="center"/>
    </xf>
    <xf numFmtId="0" fontId="54" fillId="2" borderId="22" xfId="9" applyFont="1" applyFill="1" applyBorder="1" applyAlignment="1">
      <alignment horizontal="center" vertical="center"/>
    </xf>
    <xf numFmtId="0" fontId="54" fillId="2" borderId="23" xfId="9" applyFont="1" applyFill="1" applyBorder="1" applyAlignment="1">
      <alignment horizontal="center" vertical="center"/>
    </xf>
    <xf numFmtId="0" fontId="54" fillId="2" borderId="24" xfId="9" applyFont="1" applyFill="1" applyBorder="1" applyAlignment="1">
      <alignment horizontal="center" vertical="center"/>
    </xf>
    <xf numFmtId="0" fontId="14" fillId="4" borderId="0" xfId="9" applyFill="1"/>
    <xf numFmtId="0" fontId="14" fillId="0" borderId="0" xfId="9" applyFont="1" applyFill="1"/>
    <xf numFmtId="4" fontId="53" fillId="36" borderId="66" xfId="9" applyNumberFormat="1" applyFont="1" applyFill="1" applyBorder="1"/>
    <xf numFmtId="4" fontId="53" fillId="36" borderId="67" xfId="9" applyNumberFormat="1" applyFont="1" applyFill="1" applyBorder="1"/>
    <xf numFmtId="4" fontId="53" fillId="36" borderId="68" xfId="9" applyNumberFormat="1" applyFont="1" applyFill="1" applyBorder="1"/>
    <xf numFmtId="4" fontId="53" fillId="36" borderId="69" xfId="9" applyNumberFormat="1" applyFont="1" applyFill="1" applyBorder="1"/>
    <xf numFmtId="0" fontId="53" fillId="38" borderId="41" xfId="9" applyFont="1" applyFill="1" applyBorder="1" applyAlignment="1"/>
    <xf numFmtId="0" fontId="17" fillId="38" borderId="26" xfId="9" applyFont="1" applyFill="1" applyBorder="1" applyAlignment="1"/>
    <xf numFmtId="0" fontId="17" fillId="38" borderId="45" xfId="9" applyFont="1" applyFill="1" applyBorder="1" applyAlignment="1"/>
    <xf numFmtId="4" fontId="17" fillId="38" borderId="45" xfId="9" applyNumberFormat="1" applyFont="1" applyFill="1" applyBorder="1" applyAlignment="1"/>
    <xf numFmtId="0" fontId="17" fillId="38" borderId="46" xfId="9" applyFont="1" applyFill="1" applyBorder="1" applyAlignment="1"/>
    <xf numFmtId="166" fontId="40" fillId="38" borderId="26" xfId="9" applyNumberFormat="1" applyFont="1" applyFill="1" applyBorder="1" applyAlignment="1">
      <alignment horizontal="center"/>
    </xf>
    <xf numFmtId="4" fontId="40" fillId="38" borderId="27" xfId="9" applyNumberFormat="1" applyFont="1" applyFill="1" applyBorder="1" applyAlignment="1">
      <alignment horizontal="center"/>
    </xf>
    <xf numFmtId="4" fontId="40" fillId="38" borderId="64" xfId="9" applyNumberFormat="1" applyFont="1" applyFill="1" applyBorder="1" applyAlignment="1">
      <alignment horizontal="center"/>
    </xf>
    <xf numFmtId="0" fontId="53" fillId="38" borderId="42" xfId="9" applyFont="1" applyFill="1" applyBorder="1" applyAlignment="1">
      <alignment horizontal="left"/>
    </xf>
    <xf numFmtId="0" fontId="17" fillId="38" borderId="31" xfId="9" applyFont="1" applyFill="1" applyBorder="1" applyAlignment="1">
      <alignment horizontal="right"/>
    </xf>
    <xf numFmtId="4" fontId="40" fillId="38" borderId="31" xfId="9" applyNumberFormat="1" applyFont="1" applyFill="1" applyBorder="1" applyAlignment="1">
      <alignment horizontal="center"/>
    </xf>
    <xf numFmtId="4" fontId="40" fillId="38" borderId="34" xfId="9" applyNumberFormat="1" applyFont="1" applyFill="1" applyBorder="1" applyAlignment="1">
      <alignment horizontal="center"/>
    </xf>
    <xf numFmtId="0" fontId="40" fillId="38" borderId="49" xfId="9" applyFont="1" applyFill="1" applyBorder="1" applyAlignment="1">
      <alignment horizontal="left"/>
    </xf>
    <xf numFmtId="0" fontId="40" fillId="38" borderId="50" xfId="9" applyFont="1" applyFill="1" applyBorder="1" applyAlignment="1">
      <alignment horizontal="center"/>
    </xf>
    <xf numFmtId="4" fontId="40" fillId="38" borderId="50" xfId="9" applyNumberFormat="1" applyFont="1" applyFill="1" applyBorder="1" applyAlignment="1">
      <alignment horizontal="center" vertical="center"/>
    </xf>
    <xf numFmtId="4" fontId="40" fillId="38" borderId="51" xfId="9" applyNumberFormat="1" applyFont="1" applyFill="1" applyBorder="1" applyAlignment="1">
      <alignment horizontal="center" vertical="center"/>
    </xf>
    <xf numFmtId="0" fontId="37" fillId="39" borderId="52" xfId="9" applyFont="1" applyFill="1" applyBorder="1" applyAlignment="1"/>
    <xf numFmtId="0" fontId="17" fillId="39" borderId="12" xfId="9" applyFont="1" applyFill="1" applyBorder="1" applyAlignment="1">
      <alignment horizontal="left"/>
    </xf>
    <xf numFmtId="0" fontId="17" fillId="39" borderId="12" xfId="9" applyFont="1" applyFill="1" applyBorder="1" applyAlignment="1"/>
    <xf numFmtId="0" fontId="17" fillId="38" borderId="55" xfId="9" applyFont="1" applyFill="1" applyBorder="1" applyAlignment="1">
      <alignment horizontal="center"/>
    </xf>
    <xf numFmtId="0" fontId="37" fillId="39" borderId="13" xfId="9" applyFont="1" applyFill="1" applyBorder="1" applyAlignment="1"/>
    <xf numFmtId="0" fontId="17" fillId="38" borderId="14" xfId="9" applyFont="1" applyFill="1" applyBorder="1" applyAlignment="1">
      <alignment horizontal="center"/>
    </xf>
    <xf numFmtId="10" fontId="40" fillId="38" borderId="70" xfId="11" applyNumberFormat="1" applyFont="1" applyFill="1" applyBorder="1" applyAlignment="1">
      <alignment horizontal="center"/>
    </xf>
    <xf numFmtId="10" fontId="40" fillId="38" borderId="71" xfId="11" applyNumberFormat="1" applyFont="1" applyFill="1" applyBorder="1" applyAlignment="1">
      <alignment horizontal="center"/>
    </xf>
    <xf numFmtId="10" fontId="56" fillId="39" borderId="72" xfId="11" applyNumberFormat="1" applyFont="1" applyFill="1" applyBorder="1" applyAlignment="1">
      <alignment horizontal="center"/>
    </xf>
    <xf numFmtId="0" fontId="55" fillId="0" borderId="0" xfId="9" applyFont="1" applyAlignment="1">
      <alignment horizontal="center"/>
    </xf>
    <xf numFmtId="4" fontId="53" fillId="0" borderId="0" xfId="9" applyNumberFormat="1" applyFont="1" applyBorder="1"/>
    <xf numFmtId="4" fontId="58" fillId="0" borderId="0" xfId="9" applyNumberFormat="1" applyFont="1"/>
    <xf numFmtId="0" fontId="55" fillId="0" borderId="0" xfId="9" applyFont="1" applyAlignment="1">
      <alignment vertical="center"/>
    </xf>
    <xf numFmtId="0" fontId="55" fillId="0" borderId="0" xfId="9" applyFont="1" applyAlignment="1">
      <alignment vertical="top"/>
    </xf>
    <xf numFmtId="4" fontId="57" fillId="0" borderId="0" xfId="9" applyNumberFormat="1" applyFont="1"/>
    <xf numFmtId="164" fontId="53" fillId="0" borderId="0" xfId="9" applyNumberFormat="1" applyFont="1"/>
    <xf numFmtId="4" fontId="54" fillId="0" borderId="1" xfId="9" applyNumberFormat="1" applyFont="1" applyBorder="1"/>
    <xf numFmtId="4" fontId="54" fillId="0" borderId="73" xfId="9" applyNumberFormat="1" applyFont="1" applyBorder="1"/>
    <xf numFmtId="0" fontId="14" fillId="0" borderId="0" xfId="9" applyFill="1" applyBorder="1"/>
    <xf numFmtId="0" fontId="14" fillId="0" borderId="0" xfId="9" applyAlignment="1"/>
    <xf numFmtId="0" fontId="51" fillId="0" borderId="0" xfId="9" applyFont="1" applyAlignment="1"/>
    <xf numFmtId="0" fontId="58" fillId="0" borderId="0" xfId="9" applyFont="1"/>
    <xf numFmtId="166" fontId="58" fillId="0" borderId="0" xfId="9" applyNumberFormat="1" applyFont="1"/>
    <xf numFmtId="0" fontId="17" fillId="0" borderId="0" xfId="9" applyFont="1" applyAlignment="1"/>
    <xf numFmtId="10" fontId="53" fillId="0" borderId="26" xfId="9" applyNumberFormat="1" applyFont="1" applyFill="1" applyBorder="1" applyAlignment="1">
      <alignment horizontal="center"/>
    </xf>
    <xf numFmtId="168" fontId="53" fillId="0" borderId="31" xfId="9" applyNumberFormat="1" applyFont="1" applyFill="1" applyBorder="1" applyAlignment="1">
      <alignment horizontal="center"/>
    </xf>
    <xf numFmtId="0" fontId="53" fillId="38" borderId="35" xfId="9" applyFont="1" applyFill="1" applyBorder="1" applyAlignment="1"/>
    <xf numFmtId="166" fontId="40" fillId="38" borderId="36" xfId="9" applyNumberFormat="1" applyFont="1" applyFill="1" applyBorder="1" applyAlignment="1">
      <alignment horizontal="center"/>
    </xf>
    <xf numFmtId="4" fontId="40" fillId="38" borderId="36" xfId="9" applyNumberFormat="1" applyFont="1" applyFill="1" applyBorder="1" applyAlignment="1">
      <alignment horizontal="center" vertical="center"/>
    </xf>
    <xf numFmtId="4" fontId="40" fillId="38" borderId="29" xfId="9" applyNumberFormat="1" applyFont="1" applyFill="1" applyBorder="1" applyAlignment="1">
      <alignment horizontal="center" vertical="center"/>
    </xf>
    <xf numFmtId="0" fontId="53" fillId="38" borderId="59" xfId="9" applyFont="1" applyFill="1" applyBorder="1" applyAlignment="1">
      <alignment horizontal="center"/>
    </xf>
    <xf numFmtId="0" fontId="17" fillId="38" borderId="60" xfId="9" applyFont="1" applyFill="1" applyBorder="1" applyAlignment="1">
      <alignment horizontal="center"/>
    </xf>
    <xf numFmtId="4" fontId="40" fillId="38" borderId="60" xfId="9" applyNumberFormat="1" applyFont="1" applyFill="1" applyBorder="1" applyAlignment="1">
      <alignment horizontal="center" vertical="center"/>
    </xf>
    <xf numFmtId="4" fontId="40" fillId="38" borderId="65" xfId="9" applyNumberFormat="1" applyFont="1" applyFill="1" applyBorder="1" applyAlignment="1">
      <alignment horizontal="center" vertical="center"/>
    </xf>
    <xf numFmtId="0" fontId="40" fillId="38" borderId="61" xfId="9" applyFont="1" applyFill="1" applyBorder="1" applyAlignment="1">
      <alignment horizontal="center"/>
    </xf>
    <xf numFmtId="0" fontId="40" fillId="38" borderId="62" xfId="9" applyFont="1" applyFill="1" applyBorder="1" applyAlignment="1">
      <alignment horizontal="center"/>
    </xf>
    <xf numFmtId="4" fontId="40" fillId="38" borderId="62" xfId="9" applyNumberFormat="1" applyFont="1" applyFill="1" applyBorder="1" applyAlignment="1">
      <alignment horizontal="center" vertical="center"/>
    </xf>
    <xf numFmtId="4" fontId="40" fillId="38" borderId="63" xfId="9" applyNumberFormat="1" applyFont="1" applyFill="1" applyBorder="1" applyAlignment="1">
      <alignment horizontal="center" vertical="center"/>
    </xf>
    <xf numFmtId="0" fontId="40" fillId="0" borderId="0" xfId="9" applyFont="1" applyFill="1" applyBorder="1" applyAlignment="1">
      <alignment horizontal="center"/>
    </xf>
    <xf numFmtId="166" fontId="40" fillId="0" borderId="0" xfId="9" applyNumberFormat="1" applyFont="1" applyFill="1" applyBorder="1" applyAlignment="1">
      <alignment horizontal="left"/>
    </xf>
    <xf numFmtId="0" fontId="40" fillId="0" borderId="0" xfId="9" applyFont="1" applyFill="1" applyBorder="1" applyAlignment="1">
      <alignment horizontal="left"/>
    </xf>
    <xf numFmtId="4" fontId="40" fillId="0" borderId="0" xfId="9" applyNumberFormat="1" applyFont="1" applyFill="1" applyBorder="1" applyAlignment="1">
      <alignment horizontal="center" vertical="center"/>
    </xf>
    <xf numFmtId="0" fontId="56" fillId="0" borderId="0" xfId="9" applyFont="1" applyAlignment="1">
      <alignment horizontal="right"/>
    </xf>
    <xf numFmtId="4" fontId="14" fillId="0" borderId="0" xfId="9" applyNumberFormat="1"/>
    <xf numFmtId="0" fontId="51" fillId="0" borderId="0" xfId="9" applyFont="1" applyAlignment="1">
      <alignment vertical="center"/>
    </xf>
    <xf numFmtId="4" fontId="40" fillId="38" borderId="26" xfId="9" applyNumberFormat="1" applyFont="1" applyFill="1" applyBorder="1" applyAlignment="1">
      <alignment horizontal="center" vertical="center"/>
    </xf>
    <xf numFmtId="4" fontId="40" fillId="38" borderId="64" xfId="9" applyNumberFormat="1" applyFont="1" applyFill="1" applyBorder="1" applyAlignment="1">
      <alignment horizontal="center" vertical="center"/>
    </xf>
    <xf numFmtId="0" fontId="17" fillId="39" borderId="60" xfId="9" applyFont="1" applyFill="1" applyBorder="1" applyAlignment="1">
      <alignment horizontal="center"/>
    </xf>
    <xf numFmtId="0" fontId="40" fillId="38" borderId="49" xfId="9" applyFont="1" applyFill="1" applyBorder="1" applyAlignment="1">
      <alignment horizontal="center"/>
    </xf>
    <xf numFmtId="10" fontId="56" fillId="38" borderId="74" xfId="11" applyNumberFormat="1" applyFont="1" applyFill="1" applyBorder="1" applyAlignment="1">
      <alignment horizontal="center"/>
    </xf>
    <xf numFmtId="10" fontId="40" fillId="39" borderId="70" xfId="63" applyNumberFormat="1" applyFont="1" applyFill="1" applyBorder="1" applyAlignment="1">
      <alignment horizontal="center" vertical="center"/>
    </xf>
    <xf numFmtId="10" fontId="40" fillId="39" borderId="71" xfId="63" applyNumberFormat="1" applyFont="1" applyFill="1" applyBorder="1" applyAlignment="1">
      <alignment horizontal="center" vertical="center"/>
    </xf>
    <xf numFmtId="0" fontId="40" fillId="39" borderId="72" xfId="9" applyFont="1" applyFill="1" applyBorder="1" applyAlignment="1">
      <alignment horizontal="center" vertical="center"/>
    </xf>
    <xf numFmtId="0" fontId="38" fillId="0" borderId="0" xfId="9" applyFont="1" applyBorder="1" applyAlignment="1">
      <alignment wrapText="1"/>
    </xf>
    <xf numFmtId="0" fontId="39" fillId="0" borderId="0" xfId="9" applyFont="1" applyBorder="1"/>
    <xf numFmtId="0" fontId="39" fillId="0" borderId="0" xfId="9" applyFont="1" applyAlignment="1">
      <alignment horizontal="right"/>
    </xf>
    <xf numFmtId="0" fontId="11" fillId="0" borderId="0" xfId="9" applyFont="1"/>
    <xf numFmtId="0" fontId="12" fillId="0" borderId="0" xfId="9" applyFont="1"/>
    <xf numFmtId="3" fontId="11" fillId="0" borderId="0" xfId="9" applyNumberFormat="1" applyFont="1"/>
    <xf numFmtId="4" fontId="53" fillId="40" borderId="0" xfId="9" applyNumberFormat="1" applyFont="1" applyFill="1" applyBorder="1"/>
    <xf numFmtId="3" fontId="9" fillId="0" borderId="1" xfId="0" applyNumberFormat="1" applyFont="1" applyBorder="1" applyAlignment="1">
      <alignment horizontal="center" vertical="center"/>
    </xf>
    <xf numFmtId="4" fontId="53" fillId="41" borderId="26" xfId="57" applyNumberFormat="1" applyFont="1" applyFill="1" applyBorder="1"/>
    <xf numFmtId="4" fontId="53" fillId="0" borderId="31" xfId="57" applyNumberFormat="1" applyFont="1" applyFill="1" applyBorder="1"/>
    <xf numFmtId="4" fontId="53" fillId="40" borderId="26" xfId="57" applyNumberFormat="1" applyFont="1" applyFill="1" applyBorder="1"/>
    <xf numFmtId="3" fontId="53" fillId="0" borderId="26" xfId="57" applyNumberFormat="1" applyFont="1" applyFill="1" applyBorder="1"/>
    <xf numFmtId="3" fontId="53" fillId="0" borderId="28" xfId="57" applyNumberFormat="1" applyFont="1" applyFill="1" applyBorder="1"/>
    <xf numFmtId="4" fontId="53" fillId="0" borderId="28" xfId="57" applyNumberFormat="1" applyFont="1" applyFill="1" applyBorder="1"/>
    <xf numFmtId="3" fontId="53" fillId="0" borderId="31" xfId="57" applyNumberFormat="1" applyFont="1" applyFill="1" applyBorder="1"/>
    <xf numFmtId="3" fontId="53" fillId="0" borderId="33" xfId="57" applyNumberFormat="1" applyFont="1" applyFill="1" applyBorder="1"/>
    <xf numFmtId="4" fontId="53" fillId="0" borderId="26" xfId="57" applyNumberFormat="1" applyFont="1" applyFill="1" applyBorder="1"/>
    <xf numFmtId="3" fontId="53" fillId="0" borderId="39" xfId="1" applyNumberFormat="1" applyFont="1" applyFill="1" applyBorder="1"/>
    <xf numFmtId="3" fontId="53" fillId="0" borderId="31" xfId="1" applyNumberFormat="1" applyFont="1" applyFill="1" applyBorder="1"/>
    <xf numFmtId="0" fontId="53" fillId="0" borderId="26" xfId="1" applyFont="1" applyFill="1" applyBorder="1" applyAlignment="1">
      <alignment horizontal="center" wrapText="1"/>
    </xf>
    <xf numFmtId="0" fontId="53" fillId="0" borderId="26" xfId="1" applyFont="1" applyFill="1" applyBorder="1" applyAlignment="1">
      <alignment horizontal="center" vertical="center" wrapText="1"/>
    </xf>
    <xf numFmtId="10" fontId="53" fillId="0" borderId="26" xfId="1" applyNumberFormat="1" applyFont="1" applyFill="1" applyBorder="1" applyAlignment="1">
      <alignment horizontal="center"/>
    </xf>
    <xf numFmtId="0" fontId="53" fillId="0" borderId="31" xfId="1" applyFont="1" applyFill="1" applyBorder="1" applyAlignment="1">
      <alignment horizontal="center" wrapText="1"/>
    </xf>
    <xf numFmtId="0" fontId="53" fillId="0" borderId="31" xfId="1" applyFont="1" applyFill="1" applyBorder="1" applyAlignment="1">
      <alignment horizontal="center" vertical="center" wrapText="1"/>
    </xf>
    <xf numFmtId="168" fontId="53" fillId="0" borderId="31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 vertical="center"/>
    </xf>
    <xf numFmtId="168" fontId="53" fillId="0" borderId="31" xfId="9" applyNumberFormat="1" applyFont="1" applyFill="1" applyBorder="1" applyAlignment="1">
      <alignment horizontal="center" vertical="center"/>
    </xf>
    <xf numFmtId="3" fontId="17" fillId="39" borderId="54" xfId="9" applyNumberFormat="1" applyFont="1" applyFill="1" applyBorder="1" applyAlignment="1"/>
    <xf numFmtId="0" fontId="14" fillId="0" borderId="0" xfId="1" applyFont="1"/>
    <xf numFmtId="3" fontId="11" fillId="37" borderId="0" xfId="1" applyNumberFormat="1" applyFont="1" applyFill="1" applyAlignment="1">
      <alignment horizontal="right" vertical="top" wrapText="1"/>
    </xf>
    <xf numFmtId="0" fontId="11" fillId="37" borderId="0" xfId="1" applyFont="1" applyFill="1" applyAlignment="1">
      <alignment horizontal="left" vertical="top" wrapText="1"/>
    </xf>
    <xf numFmtId="0" fontId="37" fillId="0" borderId="0" xfId="1" applyFont="1"/>
    <xf numFmtId="0" fontId="45" fillId="42" borderId="0" xfId="1" applyFont="1" applyFill="1" applyAlignment="1">
      <alignment horizontal="left" vertical="top" wrapText="1"/>
    </xf>
    <xf numFmtId="3" fontId="45" fillId="42" borderId="0" xfId="1" applyNumberFormat="1" applyFont="1" applyFill="1" applyAlignment="1">
      <alignment horizontal="right" vertical="top" wrapText="1"/>
    </xf>
    <xf numFmtId="0" fontId="9" fillId="37" borderId="0" xfId="1" applyFont="1" applyFill="1" applyAlignment="1">
      <alignment horizontal="left" vertical="top" wrapText="1"/>
    </xf>
    <xf numFmtId="3" fontId="9" fillId="37" borderId="0" xfId="1" applyNumberFormat="1" applyFont="1" applyFill="1" applyAlignment="1">
      <alignment horizontal="right" vertical="top" wrapText="1"/>
    </xf>
    <xf numFmtId="0" fontId="52" fillId="42" borderId="0" xfId="1" applyFont="1" applyFill="1"/>
    <xf numFmtId="0" fontId="14" fillId="42" borderId="0" xfId="1" applyFont="1" applyFill="1"/>
    <xf numFmtId="0" fontId="51" fillId="0" borderId="0" xfId="1" applyFont="1"/>
    <xf numFmtId="0" fontId="17" fillId="2" borderId="1" xfId="0" applyFont="1" applyFill="1" applyBorder="1" applyAlignment="1">
      <alignment horizontal="center" vertical="center" wrapText="1"/>
    </xf>
    <xf numFmtId="0" fontId="53" fillId="0" borderId="26" xfId="9" applyFont="1" applyFill="1" applyBorder="1" applyAlignment="1">
      <alignment horizontal="center" vertical="center" wrapText="1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0" fontId="53" fillId="0" borderId="26" xfId="9" applyFont="1" applyFill="1" applyBorder="1" applyAlignment="1">
      <alignment horizontal="center" wrapText="1"/>
    </xf>
    <xf numFmtId="10" fontId="53" fillId="0" borderId="26" xfId="57" applyNumberFormat="1" applyFont="1" applyFill="1" applyBorder="1" applyAlignment="1">
      <alignment horizontal="center" vertical="center"/>
    </xf>
    <xf numFmtId="10" fontId="53" fillId="0" borderId="36" xfId="1" applyNumberFormat="1" applyFont="1" applyFill="1" applyBorder="1" applyAlignment="1">
      <alignment horizontal="center" vertical="center"/>
    </xf>
    <xf numFmtId="3" fontId="53" fillId="0" borderId="36" xfId="1" applyNumberFormat="1" applyFont="1" applyFill="1" applyBorder="1"/>
    <xf numFmtId="3" fontId="53" fillId="0" borderId="37" xfId="1" applyNumberFormat="1" applyFont="1" applyFill="1" applyBorder="1"/>
    <xf numFmtId="4" fontId="53" fillId="0" borderId="39" xfId="1" applyNumberFormat="1" applyFont="1" applyFill="1" applyBorder="1"/>
    <xf numFmtId="3" fontId="53" fillId="0" borderId="40" xfId="1" applyNumberFormat="1" applyFont="1" applyFill="1" applyBorder="1"/>
    <xf numFmtId="10" fontId="53" fillId="0" borderId="26" xfId="1" applyNumberFormat="1" applyFont="1" applyFill="1" applyBorder="1" applyAlignment="1">
      <alignment horizontal="center" vertical="center"/>
    </xf>
    <xf numFmtId="4" fontId="53" fillId="0" borderId="26" xfId="1" applyNumberFormat="1" applyFont="1" applyFill="1" applyBorder="1"/>
    <xf numFmtId="4" fontId="53" fillId="0" borderId="28" xfId="1" applyNumberFormat="1" applyFont="1" applyFill="1" applyBorder="1"/>
    <xf numFmtId="4" fontId="53" fillId="0" borderId="31" xfId="1" applyNumberFormat="1" applyFont="1" applyFill="1" applyBorder="1"/>
    <xf numFmtId="3" fontId="53" fillId="0" borderId="33" xfId="1" applyNumberFormat="1" applyFont="1" applyFill="1" applyBorder="1"/>
    <xf numFmtId="4" fontId="53" fillId="0" borderId="36" xfId="1" applyNumberFormat="1" applyFont="1" applyFill="1" applyBorder="1"/>
    <xf numFmtId="4" fontId="53" fillId="0" borderId="37" xfId="1" applyNumberFormat="1" applyFont="1" applyFill="1" applyBorder="1"/>
    <xf numFmtId="4" fontId="53" fillId="41" borderId="26" xfId="56" applyNumberFormat="1" applyFont="1" applyFill="1" applyBorder="1"/>
    <xf numFmtId="4" fontId="53" fillId="0" borderId="31" xfId="56" applyNumberFormat="1" applyFont="1" applyFill="1" applyBorder="1"/>
    <xf numFmtId="3" fontId="53" fillId="0" borderId="26" xfId="1" applyNumberFormat="1" applyFont="1" applyFill="1" applyBorder="1"/>
    <xf numFmtId="3" fontId="53" fillId="0" borderId="28" xfId="1" applyNumberFormat="1" applyFont="1" applyFill="1" applyBorder="1"/>
    <xf numFmtId="3" fontId="65" fillId="0" borderId="26" xfId="57" applyNumberFormat="1" applyFont="1" applyFill="1" applyBorder="1"/>
    <xf numFmtId="4" fontId="65" fillId="0" borderId="26" xfId="57" applyNumberFormat="1" applyFont="1" applyFill="1" applyBorder="1"/>
    <xf numFmtId="3" fontId="65" fillId="0" borderId="31" xfId="57" applyNumberFormat="1" applyFont="1" applyFill="1" applyBorder="1"/>
    <xf numFmtId="3" fontId="65" fillId="0" borderId="28" xfId="57" applyNumberFormat="1" applyFont="1" applyFill="1" applyBorder="1"/>
    <xf numFmtId="4" fontId="65" fillId="0" borderId="28" xfId="57" applyNumberFormat="1" applyFont="1" applyFill="1" applyBorder="1"/>
    <xf numFmtId="3" fontId="65" fillId="0" borderId="33" xfId="57" applyNumberFormat="1" applyFont="1" applyFill="1" applyBorder="1"/>
    <xf numFmtId="168" fontId="53" fillId="0" borderId="26" xfId="57" applyNumberFormat="1" applyFont="1" applyFill="1" applyBorder="1" applyAlignment="1">
      <alignment horizontal="center" vertical="center"/>
    </xf>
    <xf numFmtId="10" fontId="66" fillId="0" borderId="26" xfId="57" applyNumberFormat="1" applyFont="1" applyFill="1" applyBorder="1" applyAlignment="1">
      <alignment horizontal="center" vertical="center"/>
    </xf>
    <xf numFmtId="3" fontId="66" fillId="0" borderId="26" xfId="57" applyNumberFormat="1" applyFont="1" applyFill="1" applyBorder="1"/>
    <xf numFmtId="3" fontId="66" fillId="0" borderId="28" xfId="57" applyNumberFormat="1" applyFont="1" applyFill="1" applyBorder="1"/>
    <xf numFmtId="3" fontId="55" fillId="0" borderId="28" xfId="57" applyNumberFormat="1" applyFont="1" applyFill="1" applyBorder="1"/>
    <xf numFmtId="0" fontId="55" fillId="0" borderId="31" xfId="56" applyFont="1" applyFill="1" applyBorder="1"/>
    <xf numFmtId="10" fontId="66" fillId="0" borderId="31" xfId="9" applyNumberFormat="1" applyFont="1" applyFill="1" applyBorder="1" applyAlignment="1">
      <alignment horizontal="center" vertical="center"/>
    </xf>
    <xf numFmtId="3" fontId="66" fillId="0" borderId="31" xfId="57" applyNumberFormat="1" applyFont="1" applyFill="1" applyBorder="1"/>
    <xf numFmtId="3" fontId="55" fillId="0" borderId="31" xfId="57" applyNumberFormat="1" applyFont="1" applyFill="1" applyBorder="1"/>
    <xf numFmtId="3" fontId="55" fillId="0" borderId="33" xfId="57" applyNumberFormat="1" applyFont="1" applyFill="1" applyBorder="1"/>
    <xf numFmtId="3" fontId="66" fillId="0" borderId="33" xfId="57" applyNumberFormat="1" applyFont="1" applyFill="1" applyBorder="1"/>
    <xf numFmtId="0" fontId="9" fillId="37" borderId="1" xfId="1" applyFont="1" applyFill="1" applyBorder="1" applyAlignment="1">
      <alignment horizontal="center" vertical="center" wrapText="1"/>
    </xf>
    <xf numFmtId="10" fontId="55" fillId="0" borderId="26" xfId="57" applyNumberFormat="1" applyFont="1" applyFill="1" applyBorder="1" applyAlignment="1">
      <alignment horizontal="center" vertical="center"/>
    </xf>
    <xf numFmtId="3" fontId="55" fillId="0" borderId="26" xfId="57" applyNumberFormat="1" applyFont="1" applyFill="1" applyBorder="1"/>
    <xf numFmtId="4" fontId="55" fillId="0" borderId="26" xfId="57" applyNumberFormat="1" applyFont="1" applyFill="1" applyBorder="1"/>
    <xf numFmtId="10" fontId="55" fillId="0" borderId="31" xfId="9" applyNumberFormat="1" applyFont="1" applyFill="1" applyBorder="1" applyAlignment="1">
      <alignment horizontal="center" vertical="center"/>
    </xf>
    <xf numFmtId="4" fontId="55" fillId="0" borderId="28" xfId="57" applyNumberFormat="1" applyFont="1" applyFill="1" applyBorder="1"/>
    <xf numFmtId="4" fontId="55" fillId="41" borderId="26" xfId="1" applyNumberFormat="1" applyFont="1" applyFill="1" applyBorder="1"/>
    <xf numFmtId="4" fontId="55" fillId="0" borderId="26" xfId="1" applyNumberFormat="1" applyFont="1" applyFill="1" applyBorder="1"/>
    <xf numFmtId="0" fontId="9" fillId="37" borderId="79" xfId="1" applyFont="1" applyFill="1" applyBorder="1" applyAlignment="1">
      <alignment horizontal="center" vertical="top" wrapText="1"/>
    </xf>
    <xf numFmtId="0" fontId="9" fillId="37" borderId="1" xfId="1" applyFont="1" applyFill="1" applyBorder="1" applyAlignment="1">
      <alignment horizontal="center" vertical="top" wrapText="1"/>
    </xf>
    <xf numFmtId="0" fontId="9" fillId="42" borderId="0" xfId="1" applyFont="1" applyFill="1" applyAlignment="1">
      <alignment horizontal="left" vertical="top" wrapText="1"/>
    </xf>
    <xf numFmtId="0" fontId="51" fillId="42" borderId="0" xfId="1" applyFont="1" applyFill="1"/>
    <xf numFmtId="0" fontId="37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63" fillId="0" borderId="0" xfId="0" applyFont="1" applyAlignment="1">
      <alignment horizontal="right" vertical="center" wrapText="1"/>
    </xf>
    <xf numFmtId="0" fontId="9" fillId="37" borderId="1" xfId="1" applyFont="1" applyFill="1" applyBorder="1" applyAlignment="1">
      <alignment vertical="center" wrapText="1"/>
    </xf>
    <xf numFmtId="3" fontId="45" fillId="42" borderId="0" xfId="1" applyNumberFormat="1" applyFont="1" applyFill="1" applyAlignment="1">
      <alignment horizontal="right" vertical="center" wrapText="1"/>
    </xf>
    <xf numFmtId="3" fontId="9" fillId="37" borderId="0" xfId="1" applyNumberFormat="1" applyFont="1" applyFill="1" applyAlignment="1">
      <alignment horizontal="right" vertical="center" wrapText="1"/>
    </xf>
    <xf numFmtId="3" fontId="11" fillId="37" borderId="0" xfId="1" applyNumberFormat="1" applyFont="1" applyFill="1" applyAlignment="1">
      <alignment horizontal="right" vertical="center" wrapText="1"/>
    </xf>
    <xf numFmtId="3" fontId="9" fillId="42" borderId="0" xfId="1" applyNumberFormat="1" applyFont="1" applyFill="1" applyAlignment="1">
      <alignment horizontal="right" vertical="center" wrapText="1"/>
    </xf>
    <xf numFmtId="0" fontId="14" fillId="0" borderId="0" xfId="1" applyFont="1" applyAlignment="1">
      <alignment vertical="center"/>
    </xf>
    <xf numFmtId="0" fontId="37" fillId="37" borderId="0" xfId="1" applyFont="1" applyFill="1" applyAlignment="1">
      <alignment horizontal="right" vertical="center" wrapText="1"/>
    </xf>
    <xf numFmtId="0" fontId="11" fillId="0" borderId="0" xfId="1" applyFont="1"/>
    <xf numFmtId="0" fontId="9" fillId="37" borderId="0" xfId="1" applyFont="1" applyFill="1" applyAlignment="1">
      <alignment horizontal="left" vertical="top" wrapText="1"/>
    </xf>
    <xf numFmtId="0" fontId="11" fillId="37" borderId="0" xfId="1" applyFont="1" applyFill="1" applyAlignment="1">
      <alignment horizontal="left" vertical="top" wrapText="1"/>
    </xf>
    <xf numFmtId="0" fontId="11" fillId="37" borderId="0" xfId="1" applyFont="1" applyFill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4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41" fillId="37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1" fillId="42" borderId="0" xfId="1" applyFont="1" applyFill="1" applyAlignment="1">
      <alignment horizontal="left" vertical="top" wrapText="1"/>
    </xf>
    <xf numFmtId="0" fontId="0" fillId="42" borderId="0" xfId="0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6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4" fillId="37" borderId="75" xfId="1" applyFont="1" applyFill="1" applyBorder="1" applyAlignment="1">
      <alignment horizontal="center" vertical="top" wrapText="1"/>
    </xf>
    <xf numFmtId="0" fontId="0" fillId="0" borderId="75" xfId="0" applyBorder="1" applyAlignment="1">
      <alignment horizontal="center" vertical="top" wrapText="1"/>
    </xf>
    <xf numFmtId="0" fontId="9" fillId="37" borderId="13" xfId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8" fillId="42" borderId="0" xfId="0" applyFont="1" applyFill="1" applyAlignment="1">
      <alignment horizontal="left" vertical="top" wrapText="1"/>
    </xf>
    <xf numFmtId="0" fontId="38" fillId="0" borderId="0" xfId="1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7" fillId="39" borderId="53" xfId="9" applyFont="1" applyFill="1" applyBorder="1" applyAlignment="1">
      <alignment horizontal="left"/>
    </xf>
    <xf numFmtId="0" fontId="17" fillId="39" borderId="12" xfId="9" applyFont="1" applyFill="1" applyBorder="1" applyAlignment="1">
      <alignment horizontal="left"/>
    </xf>
    <xf numFmtId="166" fontId="40" fillId="38" borderId="62" xfId="9" applyNumberFormat="1" applyFont="1" applyFill="1" applyBorder="1" applyAlignment="1">
      <alignment horizontal="left"/>
    </xf>
    <xf numFmtId="0" fontId="40" fillId="38" borderId="62" xfId="9" applyFont="1" applyFill="1" applyBorder="1" applyAlignment="1">
      <alignment horizontal="left"/>
    </xf>
    <xf numFmtId="0" fontId="56" fillId="0" borderId="0" xfId="9" applyFont="1" applyAlignment="1">
      <alignment horizontal="right"/>
    </xf>
    <xf numFmtId="0" fontId="17" fillId="38" borderId="26" xfId="9" applyFont="1" applyFill="1" applyBorder="1" applyAlignment="1">
      <alignment horizontal="left"/>
    </xf>
    <xf numFmtId="0" fontId="17" fillId="38" borderId="45" xfId="9" applyFont="1" applyFill="1" applyBorder="1" applyAlignment="1">
      <alignment horizontal="left"/>
    </xf>
    <xf numFmtId="0" fontId="17" fillId="38" borderId="46" xfId="9" applyFont="1" applyFill="1" applyBorder="1" applyAlignment="1">
      <alignment horizontal="left"/>
    </xf>
    <xf numFmtId="166" fontId="17" fillId="38" borderId="60" xfId="9" applyNumberFormat="1" applyFont="1" applyFill="1" applyBorder="1" applyAlignment="1">
      <alignment horizontal="left"/>
    </xf>
    <xf numFmtId="166" fontId="40" fillId="38" borderId="50" xfId="9" applyNumberFormat="1" applyFont="1" applyFill="1" applyBorder="1" applyAlignment="1">
      <alignment horizontal="left"/>
    </xf>
    <xf numFmtId="0" fontId="40" fillId="38" borderId="50" xfId="9" applyFont="1" applyFill="1" applyBorder="1" applyAlignment="1">
      <alignment horizontal="left"/>
    </xf>
    <xf numFmtId="0" fontId="53" fillId="0" borderId="25" xfId="9" applyFont="1" applyFill="1" applyBorder="1" applyAlignment="1">
      <alignment horizontal="center"/>
    </xf>
    <xf numFmtId="0" fontId="53" fillId="0" borderId="30" xfId="9" applyFont="1" applyFill="1" applyBorder="1" applyAlignment="1">
      <alignment horizontal="center"/>
    </xf>
    <xf numFmtId="3" fontId="53" fillId="0" borderId="26" xfId="9" applyNumberFormat="1" applyFont="1" applyFill="1" applyBorder="1" applyAlignment="1">
      <alignment horizontal="center" vertical="center" wrapText="1"/>
    </xf>
    <xf numFmtId="0" fontId="53" fillId="0" borderId="31" xfId="9" applyFont="1" applyFill="1" applyBorder="1" applyAlignment="1">
      <alignment horizontal="center" vertical="center" wrapText="1"/>
    </xf>
    <xf numFmtId="167" fontId="53" fillId="0" borderId="26" xfId="59" applyNumberFormat="1" applyFont="1" applyFill="1" applyBorder="1" applyAlignment="1">
      <alignment horizontal="center" vertical="center"/>
    </xf>
    <xf numFmtId="167" fontId="53" fillId="0" borderId="31" xfId="59" applyNumberFormat="1" applyFont="1" applyFill="1" applyBorder="1" applyAlignment="1">
      <alignment horizontal="center" vertical="center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0" fontId="17" fillId="38" borderId="36" xfId="9" applyFont="1" applyFill="1" applyBorder="1" applyAlignment="1">
      <alignment horizontal="center"/>
    </xf>
    <xf numFmtId="0" fontId="17" fillId="38" borderId="57" xfId="9" applyFont="1" applyFill="1" applyBorder="1" applyAlignment="1">
      <alignment horizontal="center"/>
    </xf>
    <xf numFmtId="0" fontId="17" fillId="38" borderId="58" xfId="9" applyFont="1" applyFill="1" applyBorder="1" applyAlignment="1">
      <alignment horizontal="center"/>
    </xf>
    <xf numFmtId="0" fontId="53" fillId="0" borderId="41" xfId="9" applyFont="1" applyFill="1" applyBorder="1" applyAlignment="1">
      <alignment horizontal="center" vertical="center"/>
    </xf>
    <xf numFmtId="0" fontId="53" fillId="0" borderId="42" xfId="9" applyFont="1" applyFill="1" applyBorder="1" applyAlignment="1">
      <alignment horizontal="center" vertical="center"/>
    </xf>
    <xf numFmtId="0" fontId="53" fillId="0" borderId="26" xfId="9" applyFont="1" applyFill="1" applyBorder="1" applyAlignment="1">
      <alignment horizontal="center" vertical="center" wrapText="1"/>
    </xf>
    <xf numFmtId="0" fontId="55" fillId="0" borderId="25" xfId="9" applyFont="1" applyFill="1" applyBorder="1" applyAlignment="1">
      <alignment horizontal="center" vertical="center"/>
    </xf>
    <xf numFmtId="0" fontId="55" fillId="0" borderId="30" xfId="9" applyFont="1" applyFill="1" applyBorder="1" applyAlignment="1">
      <alignment horizontal="center" vertical="center"/>
    </xf>
    <xf numFmtId="0" fontId="53" fillId="0" borderId="26" xfId="1" applyFont="1" applyFill="1" applyBorder="1" applyAlignment="1">
      <alignment horizontal="center" vertical="center" wrapText="1"/>
    </xf>
    <xf numFmtId="0" fontId="53" fillId="0" borderId="31" xfId="1" applyFont="1" applyFill="1" applyBorder="1" applyAlignment="1">
      <alignment horizontal="center" vertical="center" wrapText="1"/>
    </xf>
    <xf numFmtId="0" fontId="50" fillId="0" borderId="0" xfId="9" applyFont="1" applyAlignment="1">
      <alignment horizontal="center"/>
    </xf>
    <xf numFmtId="0" fontId="54" fillId="0" borderId="0" xfId="9" applyFont="1" applyAlignment="1">
      <alignment horizontal="center"/>
    </xf>
    <xf numFmtId="166" fontId="17" fillId="38" borderId="33" xfId="9" applyNumberFormat="1" applyFont="1" applyFill="1" applyBorder="1" applyAlignment="1">
      <alignment horizontal="left"/>
    </xf>
    <xf numFmtId="166" fontId="17" fillId="38" borderId="47" xfId="9" applyNumberFormat="1" applyFont="1" applyFill="1" applyBorder="1" applyAlignment="1">
      <alignment horizontal="left"/>
    </xf>
    <xf numFmtId="166" fontId="17" fillId="38" borderId="48" xfId="9" applyNumberFormat="1" applyFont="1" applyFill="1" applyBorder="1" applyAlignment="1">
      <alignment horizontal="left"/>
    </xf>
    <xf numFmtId="166" fontId="40" fillId="39" borderId="50" xfId="9" applyNumberFormat="1" applyFont="1" applyFill="1" applyBorder="1" applyAlignment="1">
      <alignment horizontal="left"/>
    </xf>
    <xf numFmtId="0" fontId="40" fillId="39" borderId="50" xfId="9" applyFont="1" applyFill="1" applyBorder="1" applyAlignment="1">
      <alignment horizontal="left"/>
    </xf>
    <xf numFmtId="0" fontId="53" fillId="0" borderId="41" xfId="9" applyFont="1" applyFill="1" applyBorder="1" applyAlignment="1">
      <alignment horizontal="center"/>
    </xf>
    <xf numFmtId="0" fontId="53" fillId="0" borderId="42" xfId="9" applyFont="1" applyFill="1" applyBorder="1" applyAlignment="1">
      <alignment horizontal="center"/>
    </xf>
    <xf numFmtId="0" fontId="53" fillId="0" borderId="26" xfId="56" applyFont="1" applyFill="1" applyBorder="1" applyAlignment="1">
      <alignment horizontal="center" vertical="center" wrapText="1"/>
    </xf>
    <xf numFmtId="0" fontId="53" fillId="0" borderId="31" xfId="56" applyFont="1" applyFill="1" applyBorder="1" applyAlignment="1">
      <alignment horizontal="center" vertical="center" wrapText="1"/>
    </xf>
    <xf numFmtId="4" fontId="53" fillId="0" borderId="26" xfId="59" applyNumberFormat="1" applyFont="1" applyFill="1" applyBorder="1" applyAlignment="1">
      <alignment horizontal="center" vertical="center"/>
    </xf>
    <xf numFmtId="4" fontId="53" fillId="0" borderId="31" xfId="59" applyNumberFormat="1" applyFont="1" applyFill="1" applyBorder="1" applyAlignment="1">
      <alignment horizontal="center" vertical="center"/>
    </xf>
    <xf numFmtId="0" fontId="53" fillId="0" borderId="41" xfId="1" applyFont="1" applyFill="1" applyBorder="1" applyAlignment="1">
      <alignment horizontal="center"/>
    </xf>
    <xf numFmtId="0" fontId="53" fillId="0" borderId="42" xfId="1" applyFont="1" applyFill="1" applyBorder="1" applyAlignment="1">
      <alignment horizontal="center"/>
    </xf>
    <xf numFmtId="0" fontId="55" fillId="0" borderId="26" xfId="56" applyFont="1" applyFill="1" applyBorder="1" applyAlignment="1">
      <alignment horizontal="center" vertical="center" wrapText="1"/>
    </xf>
    <xf numFmtId="0" fontId="55" fillId="0" borderId="31" xfId="56" applyFont="1" applyFill="1" applyBorder="1" applyAlignment="1">
      <alignment horizontal="center" vertical="center" wrapText="1"/>
    </xf>
    <xf numFmtId="4" fontId="55" fillId="0" borderId="26" xfId="59" applyNumberFormat="1" applyFont="1" applyFill="1" applyBorder="1" applyAlignment="1">
      <alignment horizontal="center" vertical="center"/>
    </xf>
    <xf numFmtId="4" fontId="55" fillId="0" borderId="31" xfId="59" applyNumberFormat="1" applyFont="1" applyFill="1" applyBorder="1" applyAlignment="1">
      <alignment horizontal="center" vertical="center"/>
    </xf>
    <xf numFmtId="0" fontId="53" fillId="0" borderId="35" xfId="1" applyFont="1" applyFill="1" applyBorder="1" applyAlignment="1">
      <alignment horizontal="center"/>
    </xf>
    <xf numFmtId="0" fontId="53" fillId="0" borderId="38" xfId="1" applyFont="1" applyFill="1" applyBorder="1" applyAlignment="1">
      <alignment horizontal="center"/>
    </xf>
    <xf numFmtId="0" fontId="53" fillId="0" borderId="35" xfId="9" applyFont="1" applyFill="1" applyBorder="1" applyAlignment="1">
      <alignment horizontal="center"/>
    </xf>
    <xf numFmtId="0" fontId="53" fillId="0" borderId="38" xfId="9" applyFont="1" applyFill="1" applyBorder="1" applyAlignment="1">
      <alignment horizontal="center"/>
    </xf>
    <xf numFmtId="4" fontId="53" fillId="0" borderId="26" xfId="59" applyNumberFormat="1" applyFont="1" applyFill="1" applyBorder="1" applyAlignment="1">
      <alignment horizontal="center" vertical="center" wrapText="1"/>
    </xf>
    <xf numFmtId="4" fontId="53" fillId="0" borderId="31" xfId="59" applyNumberFormat="1" applyFont="1" applyFill="1" applyBorder="1" applyAlignment="1">
      <alignment horizontal="center" vertical="center" wrapText="1"/>
    </xf>
    <xf numFmtId="0" fontId="53" fillId="0" borderId="27" xfId="56" applyFont="1" applyFill="1" applyBorder="1" applyAlignment="1">
      <alignment horizontal="center" vertical="center" wrapText="1"/>
    </xf>
    <xf numFmtId="0" fontId="53" fillId="0" borderId="32" xfId="56" applyFont="1" applyFill="1" applyBorder="1" applyAlignment="1">
      <alignment horizontal="center" vertical="center" wrapText="1"/>
    </xf>
    <xf numFmtId="4" fontId="53" fillId="0" borderId="27" xfId="59" applyNumberFormat="1" applyFont="1" applyFill="1" applyBorder="1" applyAlignment="1">
      <alignment horizontal="center" vertical="center" wrapText="1"/>
    </xf>
    <xf numFmtId="4" fontId="53" fillId="0" borderId="32" xfId="59" applyNumberFormat="1" applyFont="1" applyFill="1" applyBorder="1" applyAlignment="1">
      <alignment horizontal="center" vertical="center" wrapText="1"/>
    </xf>
    <xf numFmtId="0" fontId="53" fillId="0" borderId="27" xfId="9" applyFont="1" applyFill="1" applyBorder="1" applyAlignment="1">
      <alignment horizontal="center" vertical="center" wrapText="1"/>
    </xf>
    <xf numFmtId="0" fontId="53" fillId="0" borderId="32" xfId="9" applyFont="1" applyFill="1" applyBorder="1" applyAlignment="1">
      <alignment horizontal="center" vertical="center" wrapText="1"/>
    </xf>
    <xf numFmtId="4" fontId="53" fillId="0" borderId="27" xfId="59" applyNumberFormat="1" applyFont="1" applyFill="1" applyBorder="1" applyAlignment="1">
      <alignment horizontal="center" vertical="center"/>
    </xf>
    <xf numFmtId="4" fontId="53" fillId="0" borderId="32" xfId="59" applyNumberFormat="1" applyFont="1" applyFill="1" applyBorder="1" applyAlignment="1">
      <alignment horizontal="center" vertical="center"/>
    </xf>
    <xf numFmtId="0" fontId="53" fillId="0" borderId="27" xfId="1" applyFont="1" applyFill="1" applyBorder="1" applyAlignment="1">
      <alignment horizontal="center" vertical="center" wrapText="1"/>
    </xf>
    <xf numFmtId="0" fontId="53" fillId="0" borderId="32" xfId="1" applyFont="1" applyFill="1" applyBorder="1" applyAlignment="1">
      <alignment horizontal="center" vertical="center" wrapText="1"/>
    </xf>
    <xf numFmtId="0" fontId="55" fillId="0" borderId="27" xfId="1" applyFont="1" applyFill="1" applyBorder="1" applyAlignment="1">
      <alignment horizontal="center" vertical="center" wrapText="1"/>
    </xf>
    <xf numFmtId="0" fontId="55" fillId="0" borderId="32" xfId="1" applyFont="1" applyFill="1" applyBorder="1" applyAlignment="1">
      <alignment horizontal="center" vertical="center" wrapText="1"/>
    </xf>
    <xf numFmtId="4" fontId="53" fillId="0" borderId="43" xfId="59" applyNumberFormat="1" applyFont="1" applyFill="1" applyBorder="1" applyAlignment="1">
      <alignment horizontal="center" vertical="center"/>
    </xf>
    <xf numFmtId="4" fontId="53" fillId="0" borderId="44" xfId="59" applyNumberFormat="1" applyFont="1" applyFill="1" applyBorder="1" applyAlignment="1">
      <alignment horizontal="center" vertical="center"/>
    </xf>
    <xf numFmtId="3" fontId="53" fillId="0" borderId="26" xfId="56" applyNumberFormat="1" applyFont="1" applyFill="1" applyBorder="1" applyAlignment="1">
      <alignment horizontal="center" vertical="center" wrapText="1"/>
    </xf>
    <xf numFmtId="0" fontId="53" fillId="0" borderId="36" xfId="1" applyFont="1" applyFill="1" applyBorder="1" applyAlignment="1">
      <alignment horizontal="center" vertical="center" wrapText="1"/>
    </xf>
    <xf numFmtId="0" fontId="53" fillId="0" borderId="39" xfId="1" applyFont="1" applyFill="1" applyBorder="1" applyAlignment="1">
      <alignment horizontal="center" vertical="center" wrapText="1"/>
    </xf>
    <xf numFmtId="4" fontId="53" fillId="0" borderId="36" xfId="59" applyNumberFormat="1" applyFont="1" applyFill="1" applyBorder="1" applyAlignment="1">
      <alignment horizontal="center" vertical="center"/>
    </xf>
    <xf numFmtId="4" fontId="53" fillId="0" borderId="39" xfId="59" applyNumberFormat="1" applyFont="1" applyFill="1" applyBorder="1" applyAlignment="1">
      <alignment horizontal="center" vertical="center"/>
    </xf>
    <xf numFmtId="0" fontId="53" fillId="0" borderId="36" xfId="9" applyFont="1" applyFill="1" applyBorder="1" applyAlignment="1">
      <alignment horizontal="center" vertical="center" wrapText="1"/>
    </xf>
    <xf numFmtId="0" fontId="53" fillId="0" borderId="39" xfId="9" applyFont="1" applyFill="1" applyBorder="1" applyAlignment="1">
      <alignment horizontal="center" vertical="center" wrapText="1"/>
    </xf>
    <xf numFmtId="14" fontId="53" fillId="0" borderId="36" xfId="9" applyNumberFormat="1" applyFont="1" applyFill="1" applyBorder="1" applyAlignment="1">
      <alignment horizontal="center" vertical="center" wrapText="1"/>
    </xf>
    <xf numFmtId="0" fontId="41" fillId="0" borderId="0" xfId="56" applyFont="1" applyBorder="1" applyAlignment="1">
      <alignment horizontal="center"/>
    </xf>
    <xf numFmtId="0" fontId="54" fillId="2" borderId="15" xfId="9" applyFont="1" applyFill="1" applyBorder="1" applyAlignment="1">
      <alignment horizontal="center" vertical="center" wrapText="1"/>
    </xf>
    <xf numFmtId="0" fontId="54" fillId="2" borderId="20" xfId="9" applyFont="1" applyFill="1" applyBorder="1" applyAlignment="1">
      <alignment horizontal="center" vertical="center" wrapText="1"/>
    </xf>
    <xf numFmtId="0" fontId="54" fillId="2" borderId="16" xfId="9" applyFont="1" applyFill="1" applyBorder="1" applyAlignment="1">
      <alignment horizontal="center" vertical="center" wrapText="1"/>
    </xf>
    <xf numFmtId="0" fontId="54" fillId="2" borderId="21" xfId="9" applyFont="1" applyFill="1" applyBorder="1" applyAlignment="1">
      <alignment horizontal="center" vertical="center" wrapText="1"/>
    </xf>
    <xf numFmtId="0" fontId="54" fillId="2" borderId="17" xfId="9" applyFont="1" applyFill="1" applyBorder="1" applyAlignment="1">
      <alignment horizontal="center" vertical="center"/>
    </xf>
    <xf numFmtId="0" fontId="54" fillId="2" borderId="22" xfId="9" applyFont="1" applyFill="1" applyBorder="1" applyAlignment="1">
      <alignment horizontal="center" vertical="center"/>
    </xf>
    <xf numFmtId="0" fontId="55" fillId="0" borderId="26" xfId="9" applyFont="1" applyFill="1" applyBorder="1" applyAlignment="1">
      <alignment horizontal="center" vertical="center" wrapText="1"/>
    </xf>
    <xf numFmtId="0" fontId="55" fillId="0" borderId="31" xfId="9" applyFont="1" applyFill="1" applyBorder="1" applyAlignment="1">
      <alignment horizontal="center" vertical="center" wrapText="1"/>
    </xf>
    <xf numFmtId="0" fontId="66" fillId="0" borderId="26" xfId="56" applyFont="1" applyFill="1" applyBorder="1" applyAlignment="1">
      <alignment horizontal="center" vertical="center" wrapText="1"/>
    </xf>
    <xf numFmtId="0" fontId="66" fillId="0" borderId="31" xfId="56" applyFont="1" applyFill="1" applyBorder="1" applyAlignment="1">
      <alignment horizontal="center" vertical="center" wrapText="1"/>
    </xf>
    <xf numFmtId="4" fontId="66" fillId="0" borderId="26" xfId="59" applyNumberFormat="1" applyFont="1" applyFill="1" applyBorder="1" applyAlignment="1">
      <alignment horizontal="center" vertical="center"/>
    </xf>
    <xf numFmtId="4" fontId="66" fillId="0" borderId="31" xfId="59" applyNumberFormat="1" applyFont="1" applyFill="1" applyBorder="1" applyAlignment="1">
      <alignment horizontal="center" vertical="center"/>
    </xf>
    <xf numFmtId="0" fontId="66" fillId="0" borderId="26" xfId="9" applyFont="1" applyFill="1" applyBorder="1" applyAlignment="1">
      <alignment horizontal="center" vertical="center" wrapText="1"/>
    </xf>
    <xf numFmtId="0" fontId="66" fillId="0" borderId="31" xfId="9" applyFont="1" applyFill="1" applyBorder="1" applyAlignment="1">
      <alignment horizontal="center" vertical="center" wrapText="1"/>
    </xf>
    <xf numFmtId="0" fontId="38" fillId="37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4" fillId="37" borderId="76" xfId="1" applyFont="1" applyFill="1" applyBorder="1" applyAlignment="1">
      <alignment horizontal="center" vertical="top" wrapText="1"/>
    </xf>
    <xf numFmtId="0" fontId="0" fillId="0" borderId="7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1" fillId="37" borderId="77" xfId="1" applyFont="1" applyFill="1" applyBorder="1" applyAlignment="1">
      <alignment horizontal="center" vertical="top" wrapText="1"/>
    </xf>
    <xf numFmtId="0" fontId="0" fillId="0" borderId="78" xfId="0" applyBorder="1" applyAlignment="1">
      <alignment horizontal="center" vertical="top" wrapText="1"/>
    </xf>
    <xf numFmtId="0" fontId="0" fillId="0" borderId="79" xfId="0" applyBorder="1" applyAlignment="1">
      <alignment horizontal="center" vertical="top" wrapText="1"/>
    </xf>
    <xf numFmtId="0" fontId="9" fillId="37" borderId="77" xfId="1" applyFont="1" applyFill="1" applyBorder="1" applyAlignment="1">
      <alignment horizontal="center" vertical="top" wrapText="1"/>
    </xf>
    <xf numFmtId="0" fontId="9" fillId="37" borderId="0" xfId="1" applyFont="1" applyFill="1" applyAlignment="1">
      <alignment horizontal="left" vertical="top" wrapText="1"/>
    </xf>
    <xf numFmtId="3" fontId="9" fillId="37" borderId="0" xfId="1" applyNumberFormat="1" applyFont="1" applyFill="1" applyAlignment="1">
      <alignment horizontal="right" vertical="top" wrapText="1"/>
    </xf>
    <xf numFmtId="0" fontId="11" fillId="37" borderId="0" xfId="1" applyFont="1" applyFill="1" applyAlignment="1">
      <alignment horizontal="left" vertical="top" wrapText="1"/>
    </xf>
    <xf numFmtId="3" fontId="11" fillId="37" borderId="0" xfId="1" applyNumberFormat="1" applyFont="1" applyFill="1" applyAlignment="1">
      <alignment horizontal="right" vertical="top" wrapText="1"/>
    </xf>
    <xf numFmtId="0" fontId="45" fillId="42" borderId="0" xfId="1" applyFont="1" applyFill="1" applyAlignment="1">
      <alignment horizontal="left" vertical="top" wrapText="1"/>
    </xf>
    <xf numFmtId="0" fontId="64" fillId="42" borderId="0" xfId="0" applyFont="1" applyFill="1" applyAlignment="1">
      <alignment horizontal="left" vertical="top" wrapText="1"/>
    </xf>
    <xf numFmtId="3" fontId="45" fillId="42" borderId="0" xfId="1" applyNumberFormat="1" applyFont="1" applyFill="1" applyAlignment="1">
      <alignment horizontal="right" vertical="top" wrapText="1"/>
    </xf>
    <xf numFmtId="0" fontId="64" fillId="42" borderId="0" xfId="0" applyFont="1" applyFill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37" fillId="37" borderId="0" xfId="1" applyFont="1" applyFill="1" applyAlignment="1">
      <alignment horizontal="right" vertical="top" wrapText="1"/>
    </xf>
  </cellXfs>
  <cellStyles count="6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11" xfId="65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6 2 2" xfId="62"/>
    <cellStyle name="Normal 7" xfId="7"/>
    <cellStyle name="Normal 8" xfId="55"/>
    <cellStyle name="Normal 9" xfId="58"/>
    <cellStyle name="Normal 9 2" xfId="64"/>
    <cellStyle name="Normal_Pamatformas 2" xfId="60"/>
    <cellStyle name="Note" xfId="27" builtinId="10" customBuiltin="1"/>
    <cellStyle name="Output" xfId="22" builtinId="21" customBuiltin="1"/>
    <cellStyle name="Percent 2 3" xfId="63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C1" sqref="C1"/>
    </sheetView>
  </sheetViews>
  <sheetFormatPr defaultColWidth="9.140625" defaultRowHeight="15" x14ac:dyDescent="0.25"/>
  <cols>
    <col min="1" max="1" width="9.85546875" style="13" customWidth="1"/>
    <col min="2" max="2" width="37.42578125" style="14" customWidth="1"/>
    <col min="3" max="3" width="12.5703125" style="1" customWidth="1"/>
    <col min="4" max="4" width="11.7109375" style="1" customWidth="1"/>
    <col min="5" max="5" width="12.5703125" style="1" customWidth="1"/>
    <col min="6" max="6" width="9.140625" style="1"/>
    <col min="7" max="7" width="10.28515625" style="1" bestFit="1" customWidth="1"/>
    <col min="8" max="16384" width="9.140625" style="1"/>
  </cols>
  <sheetData>
    <row r="1" spans="1:9" x14ac:dyDescent="0.25">
      <c r="A1" s="43"/>
      <c r="B1" s="118"/>
      <c r="C1" s="19"/>
      <c r="D1" s="374" t="s">
        <v>0</v>
      </c>
      <c r="E1" s="374"/>
      <c r="I1" s="2"/>
    </row>
    <row r="2" spans="1:9" x14ac:dyDescent="0.25">
      <c r="A2" s="41"/>
      <c r="B2" s="374" t="s">
        <v>883</v>
      </c>
      <c r="C2" s="374"/>
      <c r="D2" s="374"/>
      <c r="E2" s="374"/>
    </row>
    <row r="3" spans="1:9" x14ac:dyDescent="0.25">
      <c r="A3" s="41"/>
      <c r="B3" s="118"/>
      <c r="C3" s="375" t="s">
        <v>884</v>
      </c>
      <c r="D3" s="375"/>
      <c r="E3" s="375"/>
    </row>
    <row r="4" spans="1:9" x14ac:dyDescent="0.25">
      <c r="A4" s="41"/>
      <c r="B4" s="42"/>
      <c r="C4" s="20"/>
      <c r="D4" s="20"/>
      <c r="E4" s="20"/>
    </row>
    <row r="5" spans="1:9" ht="18.75" x14ac:dyDescent="0.25">
      <c r="A5" s="376" t="s">
        <v>799</v>
      </c>
      <c r="B5" s="376"/>
      <c r="C5" s="376"/>
      <c r="D5" s="376"/>
      <c r="E5" s="376"/>
    </row>
    <row r="6" spans="1:9" x14ac:dyDescent="0.25">
      <c r="A6" s="377" t="s">
        <v>1</v>
      </c>
      <c r="B6" s="377"/>
      <c r="C6" s="377"/>
      <c r="D6" s="377"/>
      <c r="E6" s="377"/>
    </row>
    <row r="7" spans="1:9" x14ac:dyDescent="0.25">
      <c r="A7" s="41"/>
      <c r="B7" s="42"/>
      <c r="C7" s="20"/>
      <c r="D7" s="20"/>
      <c r="E7" s="34" t="s">
        <v>10</v>
      </c>
    </row>
    <row r="8" spans="1:9" ht="38.25" x14ac:dyDescent="0.25">
      <c r="A8" s="40" t="s">
        <v>4</v>
      </c>
      <c r="B8" s="40" t="s">
        <v>2</v>
      </c>
      <c r="C8" s="40" t="s">
        <v>800</v>
      </c>
      <c r="D8" s="40" t="s">
        <v>97</v>
      </c>
      <c r="E8" s="309" t="s">
        <v>838</v>
      </c>
    </row>
    <row r="9" spans="1:9" ht="21.75" customHeight="1" x14ac:dyDescent="0.25">
      <c r="A9" s="77"/>
      <c r="B9" s="78" t="s">
        <v>21</v>
      </c>
      <c r="C9" s="79">
        <f>C10+C21+C50+C60</f>
        <v>75917549</v>
      </c>
      <c r="D9" s="79">
        <f>D10+D21+D50+D60</f>
        <v>5861668</v>
      </c>
      <c r="E9" s="79">
        <f>E10+E21+E50+E60</f>
        <v>81779217</v>
      </c>
      <c r="G9" s="38"/>
    </row>
    <row r="10" spans="1:9" x14ac:dyDescent="0.25">
      <c r="A10" s="30"/>
      <c r="B10" s="45" t="s">
        <v>22</v>
      </c>
      <c r="C10" s="29">
        <f>C11+C14+C19+C20</f>
        <v>43909571</v>
      </c>
      <c r="D10" s="29">
        <f>D11+D14+D19+D20</f>
        <v>-19092</v>
      </c>
      <c r="E10" s="29">
        <f>E11+E14+E19+E20</f>
        <v>43890479</v>
      </c>
    </row>
    <row r="11" spans="1:9" ht="17.25" customHeight="1" x14ac:dyDescent="0.25">
      <c r="A11" s="63" t="s">
        <v>429</v>
      </c>
      <c r="B11" s="64" t="s">
        <v>430</v>
      </c>
      <c r="C11" s="23">
        <f>C12+C13</f>
        <v>40040183</v>
      </c>
      <c r="D11" s="23">
        <f t="shared" ref="D11:E11" si="0">D12+D13</f>
        <v>0</v>
      </c>
      <c r="E11" s="23">
        <f t="shared" si="0"/>
        <v>40040183</v>
      </c>
    </row>
    <row r="12" spans="1:9" ht="38.25" x14ac:dyDescent="0.25">
      <c r="A12" s="65" t="s">
        <v>6</v>
      </c>
      <c r="B12" s="66" t="s">
        <v>7</v>
      </c>
      <c r="C12" s="67">
        <v>656993</v>
      </c>
      <c r="D12" s="67">
        <v>0</v>
      </c>
      <c r="E12" s="67">
        <f>C12+D12</f>
        <v>656993</v>
      </c>
    </row>
    <row r="13" spans="1:9" ht="38.25" x14ac:dyDescent="0.25">
      <c r="A13" s="68" t="s">
        <v>8</v>
      </c>
      <c r="B13" s="26" t="s">
        <v>9</v>
      </c>
      <c r="C13" s="69">
        <v>39383190</v>
      </c>
      <c r="D13" s="67">
        <v>0</v>
      </c>
      <c r="E13" s="69">
        <f>C13+D13</f>
        <v>39383190</v>
      </c>
    </row>
    <row r="14" spans="1:9" x14ac:dyDescent="0.25">
      <c r="A14" s="63" t="s">
        <v>11</v>
      </c>
      <c r="B14" s="64" t="s">
        <v>12</v>
      </c>
      <c r="C14" s="23">
        <f>C15+C16+C17</f>
        <v>3720000</v>
      </c>
      <c r="D14" s="23">
        <f t="shared" ref="D14" si="1">D15+D16+D17</f>
        <v>0</v>
      </c>
      <c r="E14" s="23">
        <f>E15+E16+E17</f>
        <v>3720000</v>
      </c>
    </row>
    <row r="15" spans="1:9" x14ac:dyDescent="0.25">
      <c r="A15" s="68" t="s">
        <v>13</v>
      </c>
      <c r="B15" s="26" t="s">
        <v>14</v>
      </c>
      <c r="C15" s="69">
        <v>1433561</v>
      </c>
      <c r="D15" s="69">
        <v>0</v>
      </c>
      <c r="E15" s="69">
        <f>C15+D15</f>
        <v>1433561</v>
      </c>
    </row>
    <row r="16" spans="1:9" x14ac:dyDescent="0.25">
      <c r="A16" s="68" t="s">
        <v>15</v>
      </c>
      <c r="B16" s="26" t="s">
        <v>16</v>
      </c>
      <c r="C16" s="69">
        <v>1435393</v>
      </c>
      <c r="D16" s="69">
        <v>0</v>
      </c>
      <c r="E16" s="69">
        <f>C16+D16</f>
        <v>1435393</v>
      </c>
    </row>
    <row r="17" spans="1:5" ht="25.5" x14ac:dyDescent="0.25">
      <c r="A17" s="68" t="s">
        <v>17</v>
      </c>
      <c r="B17" s="26" t="s">
        <v>18</v>
      </c>
      <c r="C17" s="69">
        <v>851046</v>
      </c>
      <c r="D17" s="69">
        <v>0</v>
      </c>
      <c r="E17" s="69">
        <f>C17+D17</f>
        <v>851046</v>
      </c>
    </row>
    <row r="18" spans="1:5" ht="25.5" x14ac:dyDescent="0.25">
      <c r="A18" s="63" t="s">
        <v>431</v>
      </c>
      <c r="B18" s="64" t="s">
        <v>432</v>
      </c>
      <c r="C18" s="23">
        <f>C19</f>
        <v>109388</v>
      </c>
      <c r="D18" s="23">
        <f>D19</f>
        <v>0</v>
      </c>
      <c r="E18" s="23">
        <f>E19</f>
        <v>109388</v>
      </c>
    </row>
    <row r="19" spans="1:5" x14ac:dyDescent="0.25">
      <c r="A19" s="68" t="s">
        <v>19</v>
      </c>
      <c r="B19" s="26" t="s">
        <v>20</v>
      </c>
      <c r="C19" s="69">
        <v>109388</v>
      </c>
      <c r="D19" s="69">
        <v>0</v>
      </c>
      <c r="E19" s="69">
        <f>C19+D19</f>
        <v>109388</v>
      </c>
    </row>
    <row r="20" spans="1:5" x14ac:dyDescent="0.25">
      <c r="A20" s="169" t="s">
        <v>801</v>
      </c>
      <c r="B20" s="174" t="s">
        <v>802</v>
      </c>
      <c r="C20" s="23">
        <v>40000</v>
      </c>
      <c r="D20" s="23">
        <v>-19092</v>
      </c>
      <c r="E20" s="23">
        <f>C20+D20</f>
        <v>20908</v>
      </c>
    </row>
    <row r="21" spans="1:5" x14ac:dyDescent="0.25">
      <c r="A21" s="30"/>
      <c r="B21" s="45" t="s">
        <v>23</v>
      </c>
      <c r="C21" s="29">
        <f>C22+C35+C39+C46</f>
        <v>324935</v>
      </c>
      <c r="D21" s="29">
        <f>D22+D35+D39+D46</f>
        <v>1806</v>
      </c>
      <c r="E21" s="29">
        <f>E22+E35+E39+E46</f>
        <v>326741</v>
      </c>
    </row>
    <row r="22" spans="1:5" ht="25.5" x14ac:dyDescent="0.25">
      <c r="A22" s="63" t="s">
        <v>25</v>
      </c>
      <c r="B22" s="64" t="s">
        <v>26</v>
      </c>
      <c r="C22" s="23">
        <f>C23+C27</f>
        <v>67500</v>
      </c>
      <c r="D22" s="23">
        <f>D23+D27</f>
        <v>-2164</v>
      </c>
      <c r="E22" s="23">
        <f>E23+E27</f>
        <v>65336</v>
      </c>
    </row>
    <row r="23" spans="1:5" ht="25.5" x14ac:dyDescent="0.25">
      <c r="A23" s="70" t="s">
        <v>27</v>
      </c>
      <c r="B23" s="64" t="s">
        <v>28</v>
      </c>
      <c r="C23" s="23">
        <f>SUM(C24:C26)</f>
        <v>17500</v>
      </c>
      <c r="D23" s="23">
        <f>SUM(D24:D26)</f>
        <v>0</v>
      </c>
      <c r="E23" s="23">
        <f>SUM(E24:E26)</f>
        <v>17500</v>
      </c>
    </row>
    <row r="24" spans="1:5" ht="38.25" x14ac:dyDescent="0.25">
      <c r="A24" s="68" t="s">
        <v>29</v>
      </c>
      <c r="B24" s="26" t="s">
        <v>30</v>
      </c>
      <c r="C24" s="69">
        <v>3000</v>
      </c>
      <c r="D24" s="69">
        <v>0</v>
      </c>
      <c r="E24" s="69">
        <f>C24+D24</f>
        <v>3000</v>
      </c>
    </row>
    <row r="25" spans="1:5" ht="63.75" x14ac:dyDescent="0.25">
      <c r="A25" s="68" t="s">
        <v>31</v>
      </c>
      <c r="B25" s="26" t="s">
        <v>32</v>
      </c>
      <c r="C25" s="69">
        <v>9500</v>
      </c>
      <c r="D25" s="69">
        <v>0</v>
      </c>
      <c r="E25" s="69">
        <f t="shared" ref="E25:E34" si="2">C25+D25</f>
        <v>9500</v>
      </c>
    </row>
    <row r="26" spans="1:5" ht="25.5" x14ac:dyDescent="0.25">
      <c r="A26" s="68" t="s">
        <v>33</v>
      </c>
      <c r="B26" s="26" t="s">
        <v>34</v>
      </c>
      <c r="C26" s="69">
        <v>5000</v>
      </c>
      <c r="D26" s="69">
        <v>0</v>
      </c>
      <c r="E26" s="69">
        <f t="shared" si="2"/>
        <v>5000</v>
      </c>
    </row>
    <row r="27" spans="1:5" x14ac:dyDescent="0.25">
      <c r="A27" s="70" t="s">
        <v>35</v>
      </c>
      <c r="B27" s="64" t="s">
        <v>36</v>
      </c>
      <c r="C27" s="23">
        <f>SUM(C28:C34)</f>
        <v>50000</v>
      </c>
      <c r="D27" s="23">
        <f t="shared" ref="D27:E27" si="3">SUM(D28:D34)</f>
        <v>-2164</v>
      </c>
      <c r="E27" s="23">
        <f t="shared" si="3"/>
        <v>47836</v>
      </c>
    </row>
    <row r="28" spans="1:5" ht="39" x14ac:dyDescent="0.25">
      <c r="A28" s="68" t="s">
        <v>37</v>
      </c>
      <c r="B28" s="175" t="s">
        <v>803</v>
      </c>
      <c r="C28" s="69">
        <v>8500</v>
      </c>
      <c r="D28" s="67">
        <v>-1112</v>
      </c>
      <c r="E28" s="69">
        <f t="shared" si="2"/>
        <v>7388</v>
      </c>
    </row>
    <row r="29" spans="1:5" ht="39" x14ac:dyDescent="0.25">
      <c r="A29" s="68" t="s">
        <v>38</v>
      </c>
      <c r="B29" s="175" t="s">
        <v>44</v>
      </c>
      <c r="C29" s="69">
        <v>500</v>
      </c>
      <c r="D29" s="67">
        <v>0</v>
      </c>
      <c r="E29" s="69">
        <f t="shared" si="2"/>
        <v>500</v>
      </c>
    </row>
    <row r="30" spans="1:5" ht="26.25" x14ac:dyDescent="0.25">
      <c r="A30" s="68" t="s">
        <v>39</v>
      </c>
      <c r="B30" s="175" t="s">
        <v>45</v>
      </c>
      <c r="C30" s="69">
        <v>2000</v>
      </c>
      <c r="D30" s="67">
        <v>-224</v>
      </c>
      <c r="E30" s="69">
        <f t="shared" si="2"/>
        <v>1776</v>
      </c>
    </row>
    <row r="31" spans="1:5" ht="26.25" x14ac:dyDescent="0.25">
      <c r="A31" s="68" t="s">
        <v>40</v>
      </c>
      <c r="B31" s="175" t="s">
        <v>46</v>
      </c>
      <c r="C31" s="69">
        <v>5000</v>
      </c>
      <c r="D31" s="67">
        <v>-828</v>
      </c>
      <c r="E31" s="69">
        <f t="shared" si="2"/>
        <v>4172</v>
      </c>
    </row>
    <row r="32" spans="1:5" ht="28.5" customHeight="1" x14ac:dyDescent="0.25">
      <c r="A32" s="68" t="s">
        <v>41</v>
      </c>
      <c r="B32" s="175" t="s">
        <v>47</v>
      </c>
      <c r="C32" s="69">
        <v>9000</v>
      </c>
      <c r="D32" s="69">
        <v>0</v>
      </c>
      <c r="E32" s="69">
        <f t="shared" si="2"/>
        <v>9000</v>
      </c>
    </row>
    <row r="33" spans="1:5" ht="26.25" x14ac:dyDescent="0.25">
      <c r="A33" s="68" t="s">
        <v>42</v>
      </c>
      <c r="B33" s="175" t="s">
        <v>433</v>
      </c>
      <c r="C33" s="69">
        <v>19000</v>
      </c>
      <c r="D33" s="69">
        <v>0</v>
      </c>
      <c r="E33" s="69">
        <f t="shared" si="2"/>
        <v>19000</v>
      </c>
    </row>
    <row r="34" spans="1:5" x14ac:dyDescent="0.25">
      <c r="A34" s="68" t="s">
        <v>43</v>
      </c>
      <c r="B34" s="175" t="s">
        <v>48</v>
      </c>
      <c r="C34" s="69">
        <v>6000</v>
      </c>
      <c r="D34" s="69">
        <v>0</v>
      </c>
      <c r="E34" s="69">
        <f t="shared" si="2"/>
        <v>6000</v>
      </c>
    </row>
    <row r="35" spans="1:5" x14ac:dyDescent="0.25">
      <c r="A35" s="63" t="s">
        <v>49</v>
      </c>
      <c r="B35" s="64" t="s">
        <v>50</v>
      </c>
      <c r="C35" s="23">
        <f>C36</f>
        <v>150000</v>
      </c>
      <c r="D35" s="23">
        <f t="shared" ref="D35:E35" si="4">D36</f>
        <v>0</v>
      </c>
      <c r="E35" s="23">
        <f t="shared" si="4"/>
        <v>150000</v>
      </c>
    </row>
    <row r="36" spans="1:5" x14ac:dyDescent="0.25">
      <c r="A36" s="70" t="s">
        <v>53</v>
      </c>
      <c r="B36" s="64" t="s">
        <v>54</v>
      </c>
      <c r="C36" s="23">
        <f>SUM(C37:C38)</f>
        <v>150000</v>
      </c>
      <c r="D36" s="23">
        <f t="shared" ref="D36:E36" si="5">SUM(D37:D38)</f>
        <v>0</v>
      </c>
      <c r="E36" s="23">
        <f t="shared" si="5"/>
        <v>150000</v>
      </c>
    </row>
    <row r="37" spans="1:5" x14ac:dyDescent="0.25">
      <c r="A37" s="68" t="s">
        <v>51</v>
      </c>
      <c r="B37" s="26" t="s">
        <v>52</v>
      </c>
      <c r="C37" s="69">
        <v>77000</v>
      </c>
      <c r="D37" s="69">
        <v>0</v>
      </c>
      <c r="E37" s="69">
        <f>C37+D37</f>
        <v>77000</v>
      </c>
    </row>
    <row r="38" spans="1:5" ht="24.75" customHeight="1" x14ac:dyDescent="0.25">
      <c r="A38" s="68" t="s">
        <v>55</v>
      </c>
      <c r="B38" s="26" t="s">
        <v>56</v>
      </c>
      <c r="C38" s="69">
        <v>73000</v>
      </c>
      <c r="D38" s="69">
        <v>0</v>
      </c>
      <c r="E38" s="69">
        <f>C38+D38</f>
        <v>73000</v>
      </c>
    </row>
    <row r="39" spans="1:5" x14ac:dyDescent="0.25">
      <c r="A39" s="71" t="s">
        <v>57</v>
      </c>
      <c r="B39" s="72" t="s">
        <v>58</v>
      </c>
      <c r="C39" s="27">
        <f>C40+C42</f>
        <v>0</v>
      </c>
      <c r="D39" s="27">
        <f t="shared" ref="D39:E39" si="6">D40+D42</f>
        <v>3970</v>
      </c>
      <c r="E39" s="27">
        <f t="shared" si="6"/>
        <v>3970</v>
      </c>
    </row>
    <row r="40" spans="1:5" ht="38.25" hidden="1" x14ac:dyDescent="0.25">
      <c r="A40" s="73" t="s">
        <v>376</v>
      </c>
      <c r="B40" s="72" t="s">
        <v>379</v>
      </c>
      <c r="C40" s="27">
        <f>C41</f>
        <v>0</v>
      </c>
      <c r="D40" s="27">
        <f>D41</f>
        <v>0</v>
      </c>
      <c r="E40" s="27">
        <f>E41</f>
        <v>0</v>
      </c>
    </row>
    <row r="41" spans="1:5" ht="25.5" hidden="1" x14ac:dyDescent="0.25">
      <c r="A41" s="65" t="s">
        <v>377</v>
      </c>
      <c r="B41" s="66" t="s">
        <v>378</v>
      </c>
      <c r="C41" s="67">
        <v>0</v>
      </c>
      <c r="D41" s="67">
        <v>0</v>
      </c>
      <c r="E41" s="67">
        <f>C41+D41</f>
        <v>0</v>
      </c>
    </row>
    <row r="42" spans="1:5" x14ac:dyDescent="0.25">
      <c r="A42" s="73" t="s">
        <v>59</v>
      </c>
      <c r="B42" s="72" t="s">
        <v>434</v>
      </c>
      <c r="C42" s="27">
        <f>C45+C43+C44</f>
        <v>0</v>
      </c>
      <c r="D42" s="27">
        <f t="shared" ref="D42:E42" si="7">D45+D43+D44</f>
        <v>3970</v>
      </c>
      <c r="E42" s="27">
        <f t="shared" si="7"/>
        <v>3970</v>
      </c>
    </row>
    <row r="43" spans="1:5" ht="15.75" hidden="1" customHeight="1" x14ac:dyDescent="0.25">
      <c r="A43" s="65" t="s">
        <v>435</v>
      </c>
      <c r="B43" s="66" t="s">
        <v>423</v>
      </c>
      <c r="C43" s="67">
        <v>0</v>
      </c>
      <c r="D43" s="67"/>
      <c r="E43" s="67">
        <f t="shared" ref="E43:E44" si="8">C43+D43</f>
        <v>0</v>
      </c>
    </row>
    <row r="44" spans="1:5" ht="25.5" hidden="1" x14ac:dyDescent="0.25">
      <c r="A44" s="81" t="s">
        <v>424</v>
      </c>
      <c r="B44" s="82" t="s">
        <v>436</v>
      </c>
      <c r="C44" s="83">
        <v>0</v>
      </c>
      <c r="D44" s="83">
        <v>0</v>
      </c>
      <c r="E44" s="83">
        <f t="shared" si="8"/>
        <v>0</v>
      </c>
    </row>
    <row r="45" spans="1:5" ht="31.5" customHeight="1" x14ac:dyDescent="0.25">
      <c r="A45" s="65" t="s">
        <v>411</v>
      </c>
      <c r="B45" s="66" t="s">
        <v>419</v>
      </c>
      <c r="C45" s="67">
        <v>0</v>
      </c>
      <c r="D45" s="67">
        <v>3970</v>
      </c>
      <c r="E45" s="67">
        <f>C45+D45</f>
        <v>3970</v>
      </c>
    </row>
    <row r="46" spans="1:5" ht="42.75" customHeight="1" x14ac:dyDescent="0.25">
      <c r="A46" s="63" t="s">
        <v>60</v>
      </c>
      <c r="B46" s="64" t="s">
        <v>63</v>
      </c>
      <c r="C46" s="23">
        <f>SUM(C47:C49)</f>
        <v>107435</v>
      </c>
      <c r="D46" s="23">
        <f>SUM(D47:D49)</f>
        <v>0</v>
      </c>
      <c r="E46" s="23">
        <f>SUM(E47:E49)</f>
        <v>107435</v>
      </c>
    </row>
    <row r="47" spans="1:5" ht="25.5" x14ac:dyDescent="0.25">
      <c r="A47" s="68" t="s">
        <v>61</v>
      </c>
      <c r="B47" s="26" t="s">
        <v>62</v>
      </c>
      <c r="C47" s="69">
        <v>82253</v>
      </c>
      <c r="D47" s="69">
        <v>0</v>
      </c>
      <c r="E47" s="69">
        <f>C47+D47</f>
        <v>82253</v>
      </c>
    </row>
    <row r="48" spans="1:5" ht="18" customHeight="1" x14ac:dyDescent="0.25">
      <c r="A48" s="68" t="s">
        <v>437</v>
      </c>
      <c r="B48" s="26" t="s">
        <v>443</v>
      </c>
      <c r="C48" s="69">
        <v>25182</v>
      </c>
      <c r="D48" s="69">
        <v>0</v>
      </c>
      <c r="E48" s="69">
        <f>C48+D48</f>
        <v>25182</v>
      </c>
    </row>
    <row r="49" spans="1:5" ht="30" hidden="1" customHeight="1" x14ac:dyDescent="0.25">
      <c r="A49" s="81" t="s">
        <v>332</v>
      </c>
      <c r="B49" s="82" t="s">
        <v>333</v>
      </c>
      <c r="C49" s="83">
        <v>0</v>
      </c>
      <c r="D49" s="83">
        <v>0</v>
      </c>
      <c r="E49" s="83">
        <f>C49+D49</f>
        <v>0</v>
      </c>
    </row>
    <row r="50" spans="1:5" x14ac:dyDescent="0.25">
      <c r="A50" s="46"/>
      <c r="B50" s="45" t="s">
        <v>64</v>
      </c>
      <c r="C50" s="47">
        <f>C53+C58+C51</f>
        <v>29973247</v>
      </c>
      <c r="D50" s="47">
        <f>D53+D58+D51</f>
        <v>5898742</v>
      </c>
      <c r="E50" s="47">
        <f>E53+E58+E51</f>
        <v>35871989</v>
      </c>
    </row>
    <row r="51" spans="1:5" s="18" customFormat="1" ht="38.25" x14ac:dyDescent="0.25">
      <c r="A51" s="113" t="s">
        <v>438</v>
      </c>
      <c r="B51" s="114" t="s">
        <v>328</v>
      </c>
      <c r="C51" s="115">
        <f>C52</f>
        <v>129795</v>
      </c>
      <c r="D51" s="27">
        <f>D52</f>
        <v>2500</v>
      </c>
      <c r="E51" s="27">
        <f>E52</f>
        <v>132295</v>
      </c>
    </row>
    <row r="52" spans="1:5" s="18" customFormat="1" ht="51" x14ac:dyDescent="0.25">
      <c r="A52" s="116" t="s">
        <v>439</v>
      </c>
      <c r="B52" s="117" t="s">
        <v>329</v>
      </c>
      <c r="C52" s="74">
        <f>118711+11084</f>
        <v>129795</v>
      </c>
      <c r="D52" s="67">
        <v>2500</v>
      </c>
      <c r="E52" s="67">
        <f>C52+D52</f>
        <v>132295</v>
      </c>
    </row>
    <row r="53" spans="1:5" x14ac:dyDescent="0.25">
      <c r="A53" s="63" t="s">
        <v>65</v>
      </c>
      <c r="B53" s="64" t="s">
        <v>66</v>
      </c>
      <c r="C53" s="23">
        <f>C54</f>
        <v>29152553</v>
      </c>
      <c r="D53" s="23">
        <f t="shared" ref="D53:E53" si="9">D54</f>
        <v>5978994</v>
      </c>
      <c r="E53" s="23">
        <f t="shared" si="9"/>
        <v>35131547</v>
      </c>
    </row>
    <row r="54" spans="1:5" ht="25.5" x14ac:dyDescent="0.25">
      <c r="A54" s="70" t="s">
        <v>67</v>
      </c>
      <c r="B54" s="64" t="s">
        <v>440</v>
      </c>
      <c r="C54" s="23">
        <f>SUM(C55:C57)</f>
        <v>29152553</v>
      </c>
      <c r="D54" s="27">
        <f>SUM(D55:D57)</f>
        <v>5978994</v>
      </c>
      <c r="E54" s="23">
        <f>SUM(E55:E57)</f>
        <v>35131547</v>
      </c>
    </row>
    <row r="55" spans="1:5" ht="25.5" x14ac:dyDescent="0.25">
      <c r="A55" s="68" t="s">
        <v>68</v>
      </c>
      <c r="B55" s="26" t="s">
        <v>441</v>
      </c>
      <c r="C55" s="69">
        <f>11975226+80138</f>
        <v>12055364</v>
      </c>
      <c r="D55" s="67">
        <v>4482907</v>
      </c>
      <c r="E55" s="69">
        <f>C55+D55</f>
        <v>16538271</v>
      </c>
    </row>
    <row r="56" spans="1:5" ht="65.25" customHeight="1" x14ac:dyDescent="0.25">
      <c r="A56" s="68" t="s">
        <v>69</v>
      </c>
      <c r="B56" s="26" t="s">
        <v>71</v>
      </c>
      <c r="C56" s="69">
        <f>8468564+390973</f>
        <v>8859537</v>
      </c>
      <c r="D56" s="67">
        <f>1495993+94</f>
        <v>1496087</v>
      </c>
      <c r="E56" s="69">
        <f t="shared" ref="E56:E57" si="10">C56+D56</f>
        <v>10355624</v>
      </c>
    </row>
    <row r="57" spans="1:5" ht="27.75" customHeight="1" x14ac:dyDescent="0.25">
      <c r="A57" s="68" t="s">
        <v>70</v>
      </c>
      <c r="B57" s="26" t="s">
        <v>72</v>
      </c>
      <c r="C57" s="69">
        <v>8237652</v>
      </c>
      <c r="D57" s="67">
        <v>0</v>
      </c>
      <c r="E57" s="69">
        <f t="shared" si="10"/>
        <v>8237652</v>
      </c>
    </row>
    <row r="58" spans="1:5" x14ac:dyDescent="0.25">
      <c r="A58" s="63" t="s">
        <v>73</v>
      </c>
      <c r="B58" s="64" t="s">
        <v>318</v>
      </c>
      <c r="C58" s="23">
        <f>C59</f>
        <v>690899</v>
      </c>
      <c r="D58" s="27">
        <f t="shared" ref="D58:E58" si="11">D59</f>
        <v>-82752</v>
      </c>
      <c r="E58" s="23">
        <f t="shared" si="11"/>
        <v>608147</v>
      </c>
    </row>
    <row r="59" spans="1:5" ht="25.5" x14ac:dyDescent="0.25">
      <c r="A59" s="68" t="s">
        <v>74</v>
      </c>
      <c r="B59" s="26" t="s">
        <v>75</v>
      </c>
      <c r="C59" s="69">
        <v>690899</v>
      </c>
      <c r="D59" s="67">
        <v>-82752</v>
      </c>
      <c r="E59" s="69">
        <f>C59+D59</f>
        <v>608147</v>
      </c>
    </row>
    <row r="60" spans="1:5" ht="28.5" x14ac:dyDescent="0.25">
      <c r="A60" s="30"/>
      <c r="B60" s="45" t="s">
        <v>76</v>
      </c>
      <c r="C60" s="29">
        <f>C61</f>
        <v>1709796</v>
      </c>
      <c r="D60" s="29">
        <f t="shared" ref="D60:E60" si="12">D61</f>
        <v>-19788</v>
      </c>
      <c r="E60" s="29">
        <f t="shared" si="12"/>
        <v>1690008</v>
      </c>
    </row>
    <row r="61" spans="1:5" x14ac:dyDescent="0.25">
      <c r="A61" s="63" t="s">
        <v>77</v>
      </c>
      <c r="B61" s="64" t="s">
        <v>78</v>
      </c>
      <c r="C61" s="23">
        <f>C62+C66+C84</f>
        <v>1709796</v>
      </c>
      <c r="D61" s="23">
        <f>D62+D66+D84</f>
        <v>-19788</v>
      </c>
      <c r="E61" s="23">
        <f>E62+E66+E84</f>
        <v>1690008</v>
      </c>
    </row>
    <row r="62" spans="1:5" ht="25.5" x14ac:dyDescent="0.25">
      <c r="A62" s="73" t="s">
        <v>79</v>
      </c>
      <c r="B62" s="72" t="s">
        <v>80</v>
      </c>
      <c r="C62" s="27">
        <f>C63+C65+C64</f>
        <v>53352</v>
      </c>
      <c r="D62" s="27">
        <f t="shared" ref="D62" si="13">D63+D65+D64</f>
        <v>28377</v>
      </c>
      <c r="E62" s="27">
        <f>E63+E65+E64</f>
        <v>81729</v>
      </c>
    </row>
    <row r="63" spans="1:5" ht="38.25" hidden="1" x14ac:dyDescent="0.25">
      <c r="A63" s="81" t="s">
        <v>341</v>
      </c>
      <c r="B63" s="82" t="s">
        <v>342</v>
      </c>
      <c r="C63" s="83">
        <v>0</v>
      </c>
      <c r="D63" s="83">
        <v>0</v>
      </c>
      <c r="E63" s="83">
        <f>C63+D63</f>
        <v>0</v>
      </c>
    </row>
    <row r="64" spans="1:5" ht="51.75" x14ac:dyDescent="0.25">
      <c r="A64" s="177" t="s">
        <v>804</v>
      </c>
      <c r="B64" s="176" t="s">
        <v>805</v>
      </c>
      <c r="C64" s="67">
        <v>40472</v>
      </c>
      <c r="D64" s="67">
        <v>0</v>
      </c>
      <c r="E64" s="67">
        <f>C64+D64</f>
        <v>40472</v>
      </c>
    </row>
    <row r="65" spans="1:5" ht="38.25" x14ac:dyDescent="0.25">
      <c r="A65" s="65" t="s">
        <v>444</v>
      </c>
      <c r="B65" s="66" t="s">
        <v>445</v>
      </c>
      <c r="C65" s="67">
        <v>12880</v>
      </c>
      <c r="D65" s="67">
        <v>28377</v>
      </c>
      <c r="E65" s="67">
        <f>C65+D65</f>
        <v>41257</v>
      </c>
    </row>
    <row r="66" spans="1:5" ht="25.5" x14ac:dyDescent="0.25">
      <c r="A66" s="70" t="s">
        <v>81</v>
      </c>
      <c r="B66" s="64" t="s">
        <v>82</v>
      </c>
      <c r="C66" s="27">
        <f>C67+C68+C71+C73+C78</f>
        <v>1600314</v>
      </c>
      <c r="D66" s="27">
        <f t="shared" ref="D66:E66" si="14">D67+D68+D71+D73+D78</f>
        <v>-54309</v>
      </c>
      <c r="E66" s="27">
        <f t="shared" si="14"/>
        <v>1546005</v>
      </c>
    </row>
    <row r="67" spans="1:5" ht="56.25" hidden="1" customHeight="1" x14ac:dyDescent="0.25">
      <c r="A67" s="81" t="s">
        <v>83</v>
      </c>
      <c r="B67" s="82" t="s">
        <v>88</v>
      </c>
      <c r="C67" s="83">
        <v>0</v>
      </c>
      <c r="D67" s="83">
        <v>0</v>
      </c>
      <c r="E67" s="83">
        <f>C67+D67</f>
        <v>0</v>
      </c>
    </row>
    <row r="68" spans="1:5" x14ac:dyDescent="0.25">
      <c r="A68" s="70" t="s">
        <v>84</v>
      </c>
      <c r="B68" s="84" t="s">
        <v>89</v>
      </c>
      <c r="C68" s="23">
        <f>SUM(C69:C70)</f>
        <v>395095</v>
      </c>
      <c r="D68" s="23">
        <f t="shared" ref="D68:E68" si="15">SUM(D69:D70)</f>
        <v>-7500</v>
      </c>
      <c r="E68" s="23">
        <f t="shared" si="15"/>
        <v>387595</v>
      </c>
    </row>
    <row r="69" spans="1:5" x14ac:dyDescent="0.25">
      <c r="A69" s="68" t="s">
        <v>446</v>
      </c>
      <c r="B69" s="26" t="s">
        <v>447</v>
      </c>
      <c r="C69" s="69">
        <v>133500</v>
      </c>
      <c r="D69" s="67">
        <v>-7500</v>
      </c>
      <c r="E69" s="69">
        <f t="shared" ref="E69:E70" si="16">C69+D69</f>
        <v>126000</v>
      </c>
    </row>
    <row r="70" spans="1:5" ht="25.5" x14ac:dyDescent="0.25">
      <c r="A70" s="68" t="s">
        <v>450</v>
      </c>
      <c r="B70" s="26" t="s">
        <v>448</v>
      </c>
      <c r="C70" s="69">
        <f>204593+57002</f>
        <v>261595</v>
      </c>
      <c r="D70" s="67"/>
      <c r="E70" s="69">
        <f t="shared" si="16"/>
        <v>261595</v>
      </c>
    </row>
    <row r="71" spans="1:5" ht="25.5" x14ac:dyDescent="0.25">
      <c r="A71" s="70" t="s">
        <v>85</v>
      </c>
      <c r="B71" s="84" t="s">
        <v>91</v>
      </c>
      <c r="C71" s="23">
        <f>C72</f>
        <v>550</v>
      </c>
      <c r="D71" s="23">
        <f t="shared" ref="D71:E71" si="17">D72</f>
        <v>320</v>
      </c>
      <c r="E71" s="23">
        <f t="shared" si="17"/>
        <v>870</v>
      </c>
    </row>
    <row r="72" spans="1:5" ht="38.25" x14ac:dyDescent="0.25">
      <c r="A72" s="68" t="s">
        <v>449</v>
      </c>
      <c r="B72" s="26" t="s">
        <v>451</v>
      </c>
      <c r="C72" s="69">
        <v>550</v>
      </c>
      <c r="D72" s="67">
        <v>320</v>
      </c>
      <c r="E72" s="69">
        <f t="shared" ref="E72:E83" si="18">C72+D72</f>
        <v>870</v>
      </c>
    </row>
    <row r="73" spans="1:5" x14ac:dyDescent="0.25">
      <c r="A73" s="70" t="s">
        <v>86</v>
      </c>
      <c r="B73" s="84" t="s">
        <v>90</v>
      </c>
      <c r="C73" s="23">
        <f>SUM(C74:C77)</f>
        <v>504658</v>
      </c>
      <c r="D73" s="23">
        <f t="shared" ref="D73:E73" si="19">SUM(D74:D77)</f>
        <v>-10000</v>
      </c>
      <c r="E73" s="23">
        <f t="shared" si="19"/>
        <v>494658</v>
      </c>
    </row>
    <row r="74" spans="1:5" x14ac:dyDescent="0.25">
      <c r="A74" s="68" t="s">
        <v>452</v>
      </c>
      <c r="B74" s="26" t="s">
        <v>453</v>
      </c>
      <c r="C74" s="69">
        <v>366584</v>
      </c>
      <c r="D74" s="67">
        <v>-40000</v>
      </c>
      <c r="E74" s="69">
        <f t="shared" ref="E74:E77" si="20">C74+D74</f>
        <v>326584</v>
      </c>
    </row>
    <row r="75" spans="1:5" ht="25.5" x14ac:dyDescent="0.25">
      <c r="A75" s="68" t="s">
        <v>454</v>
      </c>
      <c r="B75" s="26" t="s">
        <v>455</v>
      </c>
      <c r="C75" s="69">
        <v>45132</v>
      </c>
      <c r="D75" s="67">
        <v>0</v>
      </c>
      <c r="E75" s="69">
        <f t="shared" si="20"/>
        <v>45132</v>
      </c>
    </row>
    <row r="76" spans="1:5" x14ac:dyDescent="0.25">
      <c r="A76" s="68" t="s">
        <v>457</v>
      </c>
      <c r="B76" s="26" t="s">
        <v>456</v>
      </c>
      <c r="C76" s="69">
        <v>60355</v>
      </c>
      <c r="D76" s="67">
        <v>0</v>
      </c>
      <c r="E76" s="69">
        <f t="shared" si="20"/>
        <v>60355</v>
      </c>
    </row>
    <row r="77" spans="1:5" x14ac:dyDescent="0.25">
      <c r="A77" s="68" t="s">
        <v>458</v>
      </c>
      <c r="B77" s="26" t="s">
        <v>459</v>
      </c>
      <c r="C77" s="69">
        <v>32587</v>
      </c>
      <c r="D77" s="67">
        <v>30000</v>
      </c>
      <c r="E77" s="69">
        <f t="shared" si="20"/>
        <v>62587</v>
      </c>
    </row>
    <row r="78" spans="1:5" ht="25.5" x14ac:dyDescent="0.25">
      <c r="A78" s="70" t="s">
        <v>87</v>
      </c>
      <c r="B78" s="84" t="s">
        <v>319</v>
      </c>
      <c r="C78" s="23">
        <f>SUM(C79:C83)</f>
        <v>700011</v>
      </c>
      <c r="D78" s="23">
        <f t="shared" ref="D78:E78" si="21">SUM(D79:D83)</f>
        <v>-37129</v>
      </c>
      <c r="E78" s="23">
        <f t="shared" si="21"/>
        <v>662882</v>
      </c>
    </row>
    <row r="79" spans="1:5" ht="25.5" x14ac:dyDescent="0.25">
      <c r="A79" s="68" t="s">
        <v>460</v>
      </c>
      <c r="B79" s="26" t="s">
        <v>465</v>
      </c>
      <c r="C79" s="69">
        <v>16015</v>
      </c>
      <c r="D79" s="67">
        <v>0</v>
      </c>
      <c r="E79" s="69">
        <f t="shared" si="18"/>
        <v>16015</v>
      </c>
    </row>
    <row r="80" spans="1:5" x14ac:dyDescent="0.25">
      <c r="A80" s="68" t="s">
        <v>461</v>
      </c>
      <c r="B80" s="26" t="s">
        <v>466</v>
      </c>
      <c r="C80" s="69">
        <v>401922</v>
      </c>
      <c r="D80" s="67">
        <v>-40000</v>
      </c>
      <c r="E80" s="69">
        <f t="shared" si="18"/>
        <v>361922</v>
      </c>
    </row>
    <row r="81" spans="1:5" ht="25.5" hidden="1" x14ac:dyDescent="0.25">
      <c r="A81" s="68" t="s">
        <v>462</v>
      </c>
      <c r="B81" s="26" t="s">
        <v>467</v>
      </c>
      <c r="C81" s="69">
        <v>0</v>
      </c>
      <c r="D81" s="67"/>
      <c r="E81" s="69">
        <f t="shared" si="18"/>
        <v>0</v>
      </c>
    </row>
    <row r="82" spans="1:5" x14ac:dyDescent="0.25">
      <c r="A82" s="68" t="s">
        <v>463</v>
      </c>
      <c r="B82" s="26" t="s">
        <v>468</v>
      </c>
      <c r="C82" s="69">
        <f>53180+14121</f>
        <v>67301</v>
      </c>
      <c r="D82" s="67">
        <v>7500</v>
      </c>
      <c r="E82" s="69">
        <f t="shared" si="18"/>
        <v>74801</v>
      </c>
    </row>
    <row r="83" spans="1:5" x14ac:dyDescent="0.25">
      <c r="A83" s="68" t="s">
        <v>464</v>
      </c>
      <c r="B83" s="26" t="s">
        <v>469</v>
      </c>
      <c r="C83" s="69">
        <v>214773</v>
      </c>
      <c r="D83" s="67">
        <v>-4629</v>
      </c>
      <c r="E83" s="69">
        <f t="shared" si="18"/>
        <v>210144</v>
      </c>
    </row>
    <row r="84" spans="1:5" ht="42" customHeight="1" x14ac:dyDescent="0.25">
      <c r="A84" s="70" t="s">
        <v>382</v>
      </c>
      <c r="B84" s="64" t="s">
        <v>412</v>
      </c>
      <c r="C84" s="23">
        <f>C85+C86</f>
        <v>56130</v>
      </c>
      <c r="D84" s="23">
        <f>D85+D86</f>
        <v>6144</v>
      </c>
      <c r="E84" s="23">
        <f>E85+E86</f>
        <v>62274</v>
      </c>
    </row>
    <row r="85" spans="1:5" ht="25.5" x14ac:dyDescent="0.25">
      <c r="A85" s="65" t="s">
        <v>784</v>
      </c>
      <c r="B85" s="66" t="s">
        <v>785</v>
      </c>
      <c r="C85" s="67">
        <v>0</v>
      </c>
      <c r="D85" s="67">
        <v>1890</v>
      </c>
      <c r="E85" s="67">
        <f t="shared" ref="E85:E86" si="22">C85+D85</f>
        <v>1890</v>
      </c>
    </row>
    <row r="86" spans="1:5" ht="25.5" x14ac:dyDescent="0.25">
      <c r="A86" s="68" t="s">
        <v>470</v>
      </c>
      <c r="B86" s="26" t="s">
        <v>471</v>
      </c>
      <c r="C86" s="69">
        <v>56130</v>
      </c>
      <c r="D86" s="67">
        <v>4254</v>
      </c>
      <c r="E86" s="69">
        <f t="shared" si="22"/>
        <v>60384</v>
      </c>
    </row>
    <row r="87" spans="1:5" ht="15.75" x14ac:dyDescent="0.25">
      <c r="A87" s="77"/>
      <c r="B87" s="78" t="s">
        <v>92</v>
      </c>
      <c r="C87" s="79">
        <f>C88+C89</f>
        <v>29512461</v>
      </c>
      <c r="D87" s="79">
        <f t="shared" ref="D87" si="23">D88+D89</f>
        <v>-1029361</v>
      </c>
      <c r="E87" s="79">
        <f>E88+E89</f>
        <v>28483100</v>
      </c>
    </row>
    <row r="88" spans="1:5" x14ac:dyDescent="0.25">
      <c r="A88" s="75" t="s">
        <v>93</v>
      </c>
      <c r="B88" s="76" t="s">
        <v>95</v>
      </c>
      <c r="C88" s="69">
        <f>13295055</f>
        <v>13295055</v>
      </c>
      <c r="D88" s="69">
        <v>0</v>
      </c>
      <c r="E88" s="69">
        <f>C88+D88</f>
        <v>13295055</v>
      </c>
    </row>
    <row r="89" spans="1:5" x14ac:dyDescent="0.25">
      <c r="A89" s="75" t="s">
        <v>94</v>
      </c>
      <c r="B89" s="76" t="s">
        <v>442</v>
      </c>
      <c r="C89" s="69">
        <f>16217406</f>
        <v>16217406</v>
      </c>
      <c r="D89" s="67">
        <v>-1029361</v>
      </c>
      <c r="E89" s="69">
        <f>C89+D89</f>
        <v>15188045</v>
      </c>
    </row>
    <row r="90" spans="1:5" ht="15.75" x14ac:dyDescent="0.25">
      <c r="A90" s="85"/>
      <c r="B90" s="78" t="s">
        <v>96</v>
      </c>
      <c r="C90" s="79">
        <f>C9+C87</f>
        <v>105430010</v>
      </c>
      <c r="D90" s="79">
        <f>D9+D87</f>
        <v>4832307</v>
      </c>
      <c r="E90" s="79">
        <f>E9+E87</f>
        <v>110262317</v>
      </c>
    </row>
    <row r="93" spans="1:5" ht="18.75" x14ac:dyDescent="0.3">
      <c r="A93" s="15" t="s">
        <v>102</v>
      </c>
      <c r="B93" s="16"/>
      <c r="C93" s="7"/>
      <c r="D93" s="7"/>
      <c r="E93" s="7" t="s">
        <v>103</v>
      </c>
    </row>
  </sheetData>
  <mergeCells count="5">
    <mergeCell ref="D1:E1"/>
    <mergeCell ref="C3:E3"/>
    <mergeCell ref="A5:E5"/>
    <mergeCell ref="A6:E6"/>
    <mergeCell ref="B2:E2"/>
  </mergeCells>
  <printOptions horizontalCentered="1"/>
  <pageMargins left="0.78740157480314965" right="0.78740157480314965" top="0.59055118110236227" bottom="0.59055118110236227" header="0.19685039370078741" footer="0.19685039370078741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90" zoomScaleNormal="90" workbookViewId="0">
      <selection activeCell="C3" sqref="C3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4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9"/>
      <c r="B1" s="20"/>
      <c r="C1" s="20"/>
      <c r="D1" s="20"/>
      <c r="E1" s="20"/>
      <c r="F1" s="19"/>
      <c r="G1" s="378" t="s">
        <v>128</v>
      </c>
      <c r="H1" s="378"/>
      <c r="J1" s="2"/>
    </row>
    <row r="2" spans="1:10" x14ac:dyDescent="0.25">
      <c r="A2" s="20"/>
      <c r="B2" s="20"/>
      <c r="C2" s="20"/>
      <c r="D2" s="20"/>
      <c r="E2" s="20"/>
      <c r="F2" s="378" t="s">
        <v>883</v>
      </c>
      <c r="G2" s="378"/>
      <c r="H2" s="378"/>
      <c r="I2" s="5"/>
      <c r="J2" s="2"/>
    </row>
    <row r="3" spans="1:10" x14ac:dyDescent="0.25">
      <c r="A3" s="20"/>
      <c r="B3" s="20"/>
      <c r="C3" s="20"/>
      <c r="D3" s="20"/>
      <c r="E3" s="20"/>
      <c r="F3" s="19"/>
      <c r="G3" s="19"/>
      <c r="H3" s="295" t="s">
        <v>884</v>
      </c>
      <c r="I3" s="6"/>
      <c r="J3" s="6"/>
    </row>
    <row r="4" spans="1:10" x14ac:dyDescent="0.25">
      <c r="A4" s="20"/>
      <c r="B4" s="20"/>
      <c r="C4" s="20"/>
      <c r="D4" s="20"/>
      <c r="E4" s="20"/>
      <c r="F4" s="20"/>
      <c r="G4" s="20"/>
      <c r="H4" s="20"/>
    </row>
    <row r="5" spans="1:10" ht="18.75" x14ac:dyDescent="0.3">
      <c r="A5" s="381" t="s">
        <v>799</v>
      </c>
      <c r="B5" s="381"/>
      <c r="C5" s="381"/>
      <c r="D5" s="381"/>
      <c r="E5" s="381"/>
      <c r="F5" s="381"/>
      <c r="G5" s="381"/>
      <c r="H5" s="381"/>
    </row>
    <row r="6" spans="1:10" x14ac:dyDescent="0.25">
      <c r="A6" s="382" t="s">
        <v>105</v>
      </c>
      <c r="B6" s="382"/>
      <c r="C6" s="382"/>
      <c r="D6" s="382"/>
      <c r="E6" s="382"/>
      <c r="F6" s="382"/>
      <c r="G6" s="382"/>
      <c r="H6" s="382"/>
    </row>
    <row r="7" spans="1:10" x14ac:dyDescent="0.25">
      <c r="A7" s="20"/>
      <c r="B7" s="20"/>
      <c r="C7" s="20"/>
      <c r="D7" s="20"/>
      <c r="E7" s="20"/>
      <c r="F7" s="20"/>
      <c r="G7" s="20"/>
      <c r="H7" s="34" t="s">
        <v>10</v>
      </c>
    </row>
    <row r="8" spans="1:10" s="3" customFormat="1" ht="15" customHeight="1" x14ac:dyDescent="0.2">
      <c r="A8" s="380" t="s">
        <v>4</v>
      </c>
      <c r="B8" s="380" t="s">
        <v>98</v>
      </c>
      <c r="C8" s="380" t="s">
        <v>800</v>
      </c>
      <c r="D8" s="379" t="s">
        <v>3</v>
      </c>
      <c r="E8" s="379"/>
      <c r="F8" s="379"/>
      <c r="G8" s="379"/>
      <c r="H8" s="380" t="s">
        <v>838</v>
      </c>
    </row>
    <row r="9" spans="1:10" s="3" customFormat="1" ht="42.75" x14ac:dyDescent="0.2">
      <c r="A9" s="380"/>
      <c r="B9" s="380"/>
      <c r="C9" s="380"/>
      <c r="D9" s="39" t="s">
        <v>100</v>
      </c>
      <c r="E9" s="39" t="s">
        <v>101</v>
      </c>
      <c r="F9" s="39" t="s">
        <v>66</v>
      </c>
      <c r="G9" s="39" t="s">
        <v>132</v>
      </c>
      <c r="H9" s="380"/>
    </row>
    <row r="10" spans="1:10" ht="37.5" x14ac:dyDescent="0.3">
      <c r="A10" s="50"/>
      <c r="B10" s="44" t="s">
        <v>104</v>
      </c>
      <c r="C10" s="55">
        <f>SUM(C11:C19)</f>
        <v>96256851</v>
      </c>
      <c r="D10" s="55">
        <f t="shared" ref="D10:G10" si="0">SUM(D11:D19)</f>
        <v>-186092</v>
      </c>
      <c r="E10" s="55">
        <f t="shared" si="0"/>
        <v>-46359</v>
      </c>
      <c r="F10" s="55">
        <f t="shared" si="0"/>
        <v>5413471</v>
      </c>
      <c r="G10" s="55">
        <f t="shared" si="0"/>
        <v>-82752</v>
      </c>
      <c r="H10" s="55">
        <f>C10+D10+E10+F10+G10</f>
        <v>101355119</v>
      </c>
    </row>
    <row r="11" spans="1:10" x14ac:dyDescent="0.25">
      <c r="A11" s="25" t="s">
        <v>106</v>
      </c>
      <c r="B11" s="22" t="s">
        <v>115</v>
      </c>
      <c r="C11" s="277">
        <v>8109151</v>
      </c>
      <c r="D11" s="35">
        <f>'3.pielikums'!E12</f>
        <v>27393</v>
      </c>
      <c r="E11" s="35">
        <f>'3.pielikums'!G12</f>
        <v>0</v>
      </c>
      <c r="F11" s="35">
        <f>'3.pielikums'!I12</f>
        <v>0</v>
      </c>
      <c r="G11" s="35">
        <f>'3.pielikums'!K12</f>
        <v>-82752</v>
      </c>
      <c r="H11" s="56">
        <f t="shared" ref="H11:H29" si="1">C11+D11+E11+F11+G11</f>
        <v>8053792</v>
      </c>
    </row>
    <row r="12" spans="1:10" x14ac:dyDescent="0.25">
      <c r="A12" s="25" t="s">
        <v>107</v>
      </c>
      <c r="B12" s="22" t="s">
        <v>116</v>
      </c>
      <c r="C12" s="277">
        <v>3522804</v>
      </c>
      <c r="D12" s="35">
        <f>'3.pielikums'!E35</f>
        <v>245362</v>
      </c>
      <c r="E12" s="35">
        <f>'3.pielikums'!G35</f>
        <v>0</v>
      </c>
      <c r="F12" s="35">
        <f>'3.pielikums'!I35</f>
        <v>173431</v>
      </c>
      <c r="G12" s="35">
        <f>'3.pielikums'!K35</f>
        <v>0</v>
      </c>
      <c r="H12" s="56">
        <f t="shared" si="1"/>
        <v>3941597</v>
      </c>
    </row>
    <row r="13" spans="1:10" x14ac:dyDescent="0.25">
      <c r="A13" s="25" t="s">
        <v>108</v>
      </c>
      <c r="B13" s="22" t="s">
        <v>117</v>
      </c>
      <c r="C13" s="277">
        <v>26205954</v>
      </c>
      <c r="D13" s="35">
        <f>'3.pielikums'!E43</f>
        <v>-66421</v>
      </c>
      <c r="E13" s="35">
        <f>'3.pielikums'!G43</f>
        <v>0</v>
      </c>
      <c r="F13" s="35">
        <f>'3.pielikums'!I43</f>
        <v>313296</v>
      </c>
      <c r="G13" s="35">
        <f>'3.pielikums'!K43</f>
        <v>0</v>
      </c>
      <c r="H13" s="56">
        <f t="shared" si="1"/>
        <v>26452829</v>
      </c>
    </row>
    <row r="14" spans="1:10" x14ac:dyDescent="0.25">
      <c r="A14" s="25" t="s">
        <v>109</v>
      </c>
      <c r="B14" s="22" t="s">
        <v>118</v>
      </c>
      <c r="C14" s="277">
        <v>5047550</v>
      </c>
      <c r="D14" s="35">
        <f>'3.pielikums'!E64</f>
        <v>69413</v>
      </c>
      <c r="E14" s="35">
        <f>'3.pielikums'!G64</f>
        <v>0</v>
      </c>
      <c r="F14" s="35">
        <f>'3.pielikums'!I64</f>
        <v>0</v>
      </c>
      <c r="G14" s="35">
        <f>'3.pielikums'!K64</f>
        <v>0</v>
      </c>
      <c r="H14" s="56">
        <f t="shared" si="1"/>
        <v>5116963</v>
      </c>
    </row>
    <row r="15" spans="1:10" x14ac:dyDescent="0.25">
      <c r="A15" s="25" t="s">
        <v>110</v>
      </c>
      <c r="B15" s="22" t="s">
        <v>119</v>
      </c>
      <c r="C15" s="277">
        <v>5150781</v>
      </c>
      <c r="D15" s="35">
        <f>'3.pielikums'!E76</f>
        <v>410269</v>
      </c>
      <c r="E15" s="35">
        <f>'3.pielikums'!G76</f>
        <v>26536</v>
      </c>
      <c r="F15" s="35">
        <f>'3.pielikums'!I76</f>
        <v>0</v>
      </c>
      <c r="G15" s="35">
        <f>'3.pielikums'!K76</f>
        <v>0</v>
      </c>
      <c r="H15" s="56">
        <f t="shared" si="1"/>
        <v>5587586</v>
      </c>
    </row>
    <row r="16" spans="1:10" x14ac:dyDescent="0.25">
      <c r="A16" s="25" t="s">
        <v>111</v>
      </c>
      <c r="B16" s="22" t="s">
        <v>120</v>
      </c>
      <c r="C16" s="277">
        <v>226240</v>
      </c>
      <c r="D16" s="35">
        <f>'3.pielikums'!E90</f>
        <v>20000</v>
      </c>
      <c r="E16" s="35">
        <f>'3.pielikums'!G90</f>
        <v>0</v>
      </c>
      <c r="F16" s="35">
        <f>'3.pielikums'!I90</f>
        <v>21193</v>
      </c>
      <c r="G16" s="35">
        <f>'3.pielikums'!K90</f>
        <v>0</v>
      </c>
      <c r="H16" s="56">
        <f t="shared" si="1"/>
        <v>267433</v>
      </c>
    </row>
    <row r="17" spans="1:8" x14ac:dyDescent="0.25">
      <c r="A17" s="25" t="s">
        <v>24</v>
      </c>
      <c r="B17" s="22" t="s">
        <v>121</v>
      </c>
      <c r="C17" s="277">
        <v>6923356</v>
      </c>
      <c r="D17" s="35">
        <f>'3.pielikums'!E97</f>
        <v>9000</v>
      </c>
      <c r="E17" s="35">
        <f>'3.pielikums'!G97</f>
        <v>-88110</v>
      </c>
      <c r="F17" s="35">
        <f>'3.pielikums'!I97</f>
        <v>15851</v>
      </c>
      <c r="G17" s="35">
        <f>'3.pielikums'!K97</f>
        <v>0</v>
      </c>
      <c r="H17" s="56">
        <f t="shared" si="1"/>
        <v>6860097</v>
      </c>
    </row>
    <row r="18" spans="1:8" x14ac:dyDescent="0.25">
      <c r="A18" s="25" t="s">
        <v>25</v>
      </c>
      <c r="B18" s="22" t="s">
        <v>122</v>
      </c>
      <c r="C18" s="277">
        <v>33166883</v>
      </c>
      <c r="D18" s="35">
        <f>'3.pielikums'!E130</f>
        <v>204715</v>
      </c>
      <c r="E18" s="35">
        <f>'3.pielikums'!G130</f>
        <v>14745</v>
      </c>
      <c r="F18" s="35">
        <f>'3.pielikums'!I130</f>
        <v>4887034</v>
      </c>
      <c r="G18" s="35">
        <f>'3.pielikums'!K130</f>
        <v>0</v>
      </c>
      <c r="H18" s="56">
        <f t="shared" si="1"/>
        <v>38273377</v>
      </c>
    </row>
    <row r="19" spans="1:8" x14ac:dyDescent="0.25">
      <c r="A19" s="25" t="s">
        <v>49</v>
      </c>
      <c r="B19" s="22" t="s">
        <v>123</v>
      </c>
      <c r="C19" s="277">
        <v>7904132</v>
      </c>
      <c r="D19" s="35">
        <f>'3.pielikums'!E169</f>
        <v>-1105823</v>
      </c>
      <c r="E19" s="35">
        <f>'3.pielikums'!G169</f>
        <v>470</v>
      </c>
      <c r="F19" s="35">
        <f>'3.pielikums'!I169</f>
        <v>2666</v>
      </c>
      <c r="G19" s="35">
        <f>'3.pielikums'!K169</f>
        <v>0</v>
      </c>
      <c r="H19" s="56">
        <f t="shared" si="1"/>
        <v>6801445</v>
      </c>
    </row>
    <row r="20" spans="1:8" ht="18.75" x14ac:dyDescent="0.3">
      <c r="A20" s="49"/>
      <c r="B20" s="51" t="s">
        <v>112</v>
      </c>
      <c r="C20" s="55">
        <f>C21+C22+C28</f>
        <v>9173159</v>
      </c>
      <c r="D20" s="55">
        <f>D21+D22+D28</f>
        <v>-862361</v>
      </c>
      <c r="E20" s="55">
        <f>E21+E22+E28</f>
        <v>28377</v>
      </c>
      <c r="F20" s="55">
        <f>F21+F22+F28</f>
        <v>568023</v>
      </c>
      <c r="G20" s="55">
        <f>G21+G22+G28</f>
        <v>0</v>
      </c>
      <c r="H20" s="55">
        <f t="shared" si="1"/>
        <v>8907198</v>
      </c>
    </row>
    <row r="21" spans="1:8" x14ac:dyDescent="0.25">
      <c r="A21" s="25" t="s">
        <v>113</v>
      </c>
      <c r="B21" s="25" t="s">
        <v>124</v>
      </c>
      <c r="C21" s="277">
        <v>7234119</v>
      </c>
      <c r="D21" s="35">
        <f>'3.pielikums'!E203</f>
        <v>0</v>
      </c>
      <c r="E21" s="35">
        <f>'3.pielikums'!G203</f>
        <v>28377</v>
      </c>
      <c r="F21" s="35">
        <f>'3.pielikums'!I203</f>
        <v>568023</v>
      </c>
      <c r="G21" s="35">
        <f>'3.pielikums'!K203</f>
        <v>0</v>
      </c>
      <c r="H21" s="56">
        <f t="shared" si="1"/>
        <v>7830519</v>
      </c>
    </row>
    <row r="22" spans="1:8" x14ac:dyDescent="0.25">
      <c r="A22" s="25" t="s">
        <v>114</v>
      </c>
      <c r="B22" s="48" t="s">
        <v>125</v>
      </c>
      <c r="C22" s="277">
        <f>SUM(C23:C27)</f>
        <v>807335</v>
      </c>
      <c r="D22" s="35">
        <f>SUM(D23:D27)</f>
        <v>43923</v>
      </c>
      <c r="E22" s="35">
        <f>SUM(E23:E27)</f>
        <v>0</v>
      </c>
      <c r="F22" s="35">
        <f>SUM(F23:F27)</f>
        <v>0</v>
      </c>
      <c r="G22" s="35">
        <f>SUM(G23:G27)</f>
        <v>0</v>
      </c>
      <c r="H22" s="56">
        <f t="shared" si="1"/>
        <v>851258</v>
      </c>
    </row>
    <row r="23" spans="1:8" hidden="1" x14ac:dyDescent="0.25">
      <c r="A23" s="25"/>
      <c r="B23" s="52" t="s">
        <v>362</v>
      </c>
      <c r="C23" s="28">
        <v>0</v>
      </c>
      <c r="D23" s="36">
        <f>'3.pielikums'!E205</f>
        <v>0</v>
      </c>
      <c r="E23" s="36">
        <f>'3.pielikums'!G205</f>
        <v>0</v>
      </c>
      <c r="F23" s="36">
        <f>'3.pielikums'!I205</f>
        <v>0</v>
      </c>
      <c r="G23" s="36">
        <f>'3.pielikums'!K205</f>
        <v>0</v>
      </c>
      <c r="H23" s="57">
        <f t="shared" si="1"/>
        <v>0</v>
      </c>
    </row>
    <row r="24" spans="1:8" x14ac:dyDescent="0.25">
      <c r="A24" s="25"/>
      <c r="B24" s="52" t="s">
        <v>337</v>
      </c>
      <c r="C24" s="36">
        <v>25000</v>
      </c>
      <c r="D24" s="36">
        <f>'3.pielikums'!E206</f>
        <v>-826</v>
      </c>
      <c r="E24" s="36">
        <f>'3.pielikums'!G206</f>
        <v>0</v>
      </c>
      <c r="F24" s="36">
        <f>'3.pielikums'!I206</f>
        <v>0</v>
      </c>
      <c r="G24" s="36">
        <f>'3.pielikums'!K206</f>
        <v>0</v>
      </c>
      <c r="H24" s="57">
        <f t="shared" si="1"/>
        <v>24174</v>
      </c>
    </row>
    <row r="25" spans="1:8" x14ac:dyDescent="0.25">
      <c r="A25" s="25"/>
      <c r="B25" s="52" t="s">
        <v>336</v>
      </c>
      <c r="C25" s="36">
        <v>682335</v>
      </c>
      <c r="D25" s="36">
        <f>'3.pielikums'!E207</f>
        <v>19057</v>
      </c>
      <c r="E25" s="36">
        <f>'3.pielikums'!G207</f>
        <v>0</v>
      </c>
      <c r="F25" s="36">
        <f>'3.pielikums'!I207</f>
        <v>0</v>
      </c>
      <c r="G25" s="36">
        <f>'3.pielikums'!K207</f>
        <v>0</v>
      </c>
      <c r="H25" s="57">
        <f t="shared" si="1"/>
        <v>701392</v>
      </c>
    </row>
    <row r="26" spans="1:8" x14ac:dyDescent="0.25">
      <c r="A26" s="25"/>
      <c r="B26" s="52" t="s">
        <v>335</v>
      </c>
      <c r="C26" s="28">
        <v>100000</v>
      </c>
      <c r="D26" s="36">
        <f>'3.pielikums'!E208</f>
        <v>25692</v>
      </c>
      <c r="E26" s="36">
        <f>'3.pielikums'!G208</f>
        <v>0</v>
      </c>
      <c r="F26" s="36">
        <f>'3.pielikums'!I208</f>
        <v>0</v>
      </c>
      <c r="G26" s="36">
        <f>'3.pielikums'!K208</f>
        <v>0</v>
      </c>
      <c r="H26" s="57">
        <f t="shared" si="1"/>
        <v>125692</v>
      </c>
    </row>
    <row r="27" spans="1:8" hidden="1" x14ac:dyDescent="0.25">
      <c r="A27" s="25"/>
      <c r="B27" s="52" t="s">
        <v>334</v>
      </c>
      <c r="C27" s="28">
        <v>0</v>
      </c>
      <c r="D27" s="36">
        <f>'3.pielikums'!E209</f>
        <v>0</v>
      </c>
      <c r="E27" s="36">
        <f>'3.pielikums'!G209</f>
        <v>0</v>
      </c>
      <c r="F27" s="36">
        <f>'3.pielikums'!I209</f>
        <v>0</v>
      </c>
      <c r="G27" s="36">
        <f>'3.pielikums'!K209</f>
        <v>0</v>
      </c>
      <c r="H27" s="57">
        <f t="shared" si="1"/>
        <v>0</v>
      </c>
    </row>
    <row r="28" spans="1:8" x14ac:dyDescent="0.25">
      <c r="A28" s="25" t="s">
        <v>93</v>
      </c>
      <c r="B28" s="53" t="s">
        <v>127</v>
      </c>
      <c r="C28" s="277">
        <v>1131705</v>
      </c>
      <c r="D28" s="35">
        <f>'3.pielikums'!E210</f>
        <v>-906284</v>
      </c>
      <c r="E28" s="35">
        <f>'3.pielikums'!G210</f>
        <v>0</v>
      </c>
      <c r="F28" s="35">
        <f>'3.pielikums'!I210</f>
        <v>0</v>
      </c>
      <c r="G28" s="35">
        <f>'3.pielikums'!K210</f>
        <v>0</v>
      </c>
      <c r="H28" s="56">
        <f t="shared" si="1"/>
        <v>225421</v>
      </c>
    </row>
    <row r="29" spans="1:8" ht="18.75" x14ac:dyDescent="0.3">
      <c r="A29" s="54"/>
      <c r="B29" s="51" t="s">
        <v>126</v>
      </c>
      <c r="C29" s="55">
        <f>C10+C20</f>
        <v>105430010</v>
      </c>
      <c r="D29" s="55">
        <f t="shared" ref="D29:G29" si="2">D10+D20</f>
        <v>-1048453</v>
      </c>
      <c r="E29" s="55">
        <f t="shared" si="2"/>
        <v>-17982</v>
      </c>
      <c r="F29" s="55">
        <f t="shared" si="2"/>
        <v>5981494</v>
      </c>
      <c r="G29" s="55">
        <f t="shared" si="2"/>
        <v>-82752</v>
      </c>
      <c r="H29" s="55">
        <f t="shared" si="1"/>
        <v>110262317</v>
      </c>
    </row>
    <row r="31" spans="1:8" ht="18.75" x14ac:dyDescent="0.3">
      <c r="A31" s="7" t="s">
        <v>102</v>
      </c>
      <c r="H31" s="7" t="s">
        <v>103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3"/>
  <sheetViews>
    <sheetView zoomScale="90" zoomScaleNormal="90" workbookViewId="0">
      <pane ySplit="10" topLeftCell="A44" activePane="bottomLeft" state="frozen"/>
      <selection pane="bottomLeft" activeCell="M5" sqref="M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87" customWidth="1"/>
    <col min="6" max="6" width="10.140625" style="1" customWidth="1"/>
    <col min="7" max="7" width="10.85546875" style="87" customWidth="1"/>
    <col min="8" max="8" width="11.85546875" style="1" customWidth="1"/>
    <col min="9" max="9" width="11.42578125" style="87" customWidth="1"/>
    <col min="10" max="10" width="10.85546875" style="1" customWidth="1"/>
    <col min="11" max="11" width="11" style="87" customWidth="1"/>
    <col min="12" max="12" width="11.140625" style="1" customWidth="1"/>
    <col min="13" max="16384" width="9.140625" style="1"/>
  </cols>
  <sheetData>
    <row r="1" spans="1:12" x14ac:dyDescent="0.25">
      <c r="H1" s="19"/>
      <c r="I1" s="119"/>
      <c r="J1" s="19"/>
      <c r="K1" s="378" t="s">
        <v>133</v>
      </c>
      <c r="L1" s="378"/>
    </row>
    <row r="2" spans="1:12" x14ac:dyDescent="0.25">
      <c r="H2" s="378" t="s">
        <v>883</v>
      </c>
      <c r="I2" s="378"/>
      <c r="J2" s="378"/>
      <c r="K2" s="378"/>
      <c r="L2" s="378"/>
    </row>
    <row r="3" spans="1:12" x14ac:dyDescent="0.25">
      <c r="H3" s="19"/>
      <c r="I3" s="119"/>
      <c r="J3" s="19"/>
      <c r="K3" s="119"/>
      <c r="L3" s="295" t="s">
        <v>885</v>
      </c>
    </row>
    <row r="5" spans="1:12" ht="18.75" x14ac:dyDescent="0.3">
      <c r="A5" s="385" t="s">
        <v>799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6" spans="1:12" x14ac:dyDescent="0.25">
      <c r="A6" s="386" t="s">
        <v>129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</row>
    <row r="7" spans="1:12" x14ac:dyDescent="0.25">
      <c r="L7" s="10" t="s">
        <v>10</v>
      </c>
    </row>
    <row r="8" spans="1:12" s="4" customFormat="1" x14ac:dyDescent="0.25">
      <c r="A8" s="387" t="s">
        <v>4</v>
      </c>
      <c r="B8" s="387" t="s">
        <v>98</v>
      </c>
      <c r="C8" s="387" t="s">
        <v>838</v>
      </c>
      <c r="D8" s="387" t="s">
        <v>99</v>
      </c>
      <c r="E8" s="387"/>
      <c r="F8" s="387"/>
      <c r="G8" s="387"/>
      <c r="H8" s="387"/>
      <c r="I8" s="387"/>
      <c r="J8" s="387"/>
      <c r="K8" s="387"/>
      <c r="L8" s="387"/>
    </row>
    <row r="9" spans="1:12" s="4" customFormat="1" ht="58.5" customHeight="1" x14ac:dyDescent="0.25">
      <c r="A9" s="387"/>
      <c r="B9" s="387"/>
      <c r="C9" s="387"/>
      <c r="D9" s="61" t="s">
        <v>100</v>
      </c>
      <c r="E9" s="62" t="s">
        <v>130</v>
      </c>
      <c r="F9" s="61" t="s">
        <v>101</v>
      </c>
      <c r="G9" s="62" t="s">
        <v>135</v>
      </c>
      <c r="H9" s="61" t="s">
        <v>66</v>
      </c>
      <c r="I9" s="62" t="s">
        <v>131</v>
      </c>
      <c r="J9" s="61" t="s">
        <v>132</v>
      </c>
      <c r="K9" s="62" t="s">
        <v>134</v>
      </c>
      <c r="L9" s="61" t="s">
        <v>806</v>
      </c>
    </row>
    <row r="10" spans="1:12" x14ac:dyDescent="0.25">
      <c r="A10" s="97">
        <v>1</v>
      </c>
      <c r="B10" s="98">
        <v>2</v>
      </c>
      <c r="C10" s="99"/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100">
        <v>10</v>
      </c>
      <c r="K10" s="100">
        <v>11</v>
      </c>
      <c r="L10" s="100">
        <v>12</v>
      </c>
    </row>
    <row r="11" spans="1:12" ht="28.5" x14ac:dyDescent="0.25">
      <c r="A11" s="86"/>
      <c r="B11" s="45" t="s">
        <v>104</v>
      </c>
      <c r="C11" s="29">
        <f>SUM(D11:L11)</f>
        <v>101355119</v>
      </c>
      <c r="D11" s="29">
        <f>D12+D35+D43+D64+D76+D90+D97+D130+D169</f>
        <v>66674824</v>
      </c>
      <c r="E11" s="112">
        <f>E12+E35+E43+E64+E76+E90+E97+E130+E169</f>
        <v>-186092</v>
      </c>
      <c r="F11" s="29">
        <f t="shared" ref="F11:L11" si="0">F12+F35+F43+F64+F76+F90+F97+F130+F169</f>
        <v>1785496</v>
      </c>
      <c r="G11" s="112">
        <f t="shared" si="0"/>
        <v>-46359</v>
      </c>
      <c r="H11" s="29">
        <f t="shared" si="0"/>
        <v>20655726</v>
      </c>
      <c r="I11" s="112">
        <f t="shared" si="0"/>
        <v>5413471</v>
      </c>
      <c r="J11" s="29">
        <f t="shared" si="0"/>
        <v>690899</v>
      </c>
      <c r="K11" s="112">
        <f t="shared" si="0"/>
        <v>-82752</v>
      </c>
      <c r="L11" s="29">
        <f t="shared" si="0"/>
        <v>6449906</v>
      </c>
    </row>
    <row r="12" spans="1:12" x14ac:dyDescent="0.25">
      <c r="A12" s="93" t="s">
        <v>106</v>
      </c>
      <c r="B12" s="94" t="s">
        <v>115</v>
      </c>
      <c r="C12" s="101">
        <f>SUM(D12:L12)</f>
        <v>8053792</v>
      </c>
      <c r="D12" s="101">
        <f>D13+D18+D22+D25+D27+D29+D33</f>
        <v>7109258</v>
      </c>
      <c r="E12" s="102">
        <f>E13+E18+E22+E25+E27+E29+E33</f>
        <v>27393</v>
      </c>
      <c r="F12" s="101">
        <f t="shared" ref="F12:L12" si="1">F13+F18+F22+F25+F27+F29+F33</f>
        <v>136917</v>
      </c>
      <c r="G12" s="102">
        <f t="shared" si="1"/>
        <v>0</v>
      </c>
      <c r="H12" s="101">
        <f t="shared" si="1"/>
        <v>47811</v>
      </c>
      <c r="I12" s="102">
        <f t="shared" si="1"/>
        <v>0</v>
      </c>
      <c r="J12" s="101">
        <f t="shared" si="1"/>
        <v>637767</v>
      </c>
      <c r="K12" s="102">
        <f t="shared" si="1"/>
        <v>-82752</v>
      </c>
      <c r="L12" s="101">
        <f t="shared" si="1"/>
        <v>177398</v>
      </c>
    </row>
    <row r="13" spans="1:12" ht="25.5" x14ac:dyDescent="0.25">
      <c r="A13" s="63" t="s">
        <v>5</v>
      </c>
      <c r="B13" s="64" t="s">
        <v>136</v>
      </c>
      <c r="C13" s="23">
        <f>SUM(D13:L13)</f>
        <v>4883423</v>
      </c>
      <c r="D13" s="23">
        <f>SUM(D14:D17)</f>
        <v>4658669</v>
      </c>
      <c r="E13" s="24">
        <f t="shared" ref="E13:L13" si="2">SUM(E14:E17)</f>
        <v>15363</v>
      </c>
      <c r="F13" s="23">
        <f t="shared" si="2"/>
        <v>136917</v>
      </c>
      <c r="G13" s="24">
        <f t="shared" si="2"/>
        <v>0</v>
      </c>
      <c r="H13" s="23">
        <f t="shared" si="2"/>
        <v>26424</v>
      </c>
      <c r="I13" s="24">
        <f t="shared" si="2"/>
        <v>0</v>
      </c>
      <c r="J13" s="23">
        <f t="shared" si="2"/>
        <v>0</v>
      </c>
      <c r="K13" s="24">
        <f t="shared" si="2"/>
        <v>0</v>
      </c>
      <c r="L13" s="23">
        <f t="shared" si="2"/>
        <v>46050</v>
      </c>
    </row>
    <row r="14" spans="1:12" x14ac:dyDescent="0.25">
      <c r="A14" s="65" t="s">
        <v>6</v>
      </c>
      <c r="B14" s="66" t="s">
        <v>137</v>
      </c>
      <c r="C14" s="27">
        <f>SUM(D14:L14)</f>
        <v>4789794</v>
      </c>
      <c r="D14" s="67">
        <f>4451669+200000</f>
        <v>4651669</v>
      </c>
      <c r="E14" s="11">
        <f>15543-180</f>
        <v>15363</v>
      </c>
      <c r="F14" s="67">
        <f>99500</f>
        <v>99500</v>
      </c>
      <c r="G14" s="11">
        <v>0</v>
      </c>
      <c r="H14" s="67">
        <v>0</v>
      </c>
      <c r="I14" s="11">
        <v>0</v>
      </c>
      <c r="J14" s="67">
        <v>0</v>
      </c>
      <c r="K14" s="11">
        <v>0</v>
      </c>
      <c r="L14" s="67">
        <f>23262</f>
        <v>23262</v>
      </c>
    </row>
    <row r="15" spans="1:12" ht="38.25" x14ac:dyDescent="0.25">
      <c r="A15" s="68" t="s">
        <v>138</v>
      </c>
      <c r="B15" s="26" t="s">
        <v>152</v>
      </c>
      <c r="C15" s="23">
        <f t="shared" ref="C15:C17" si="3">SUM(D15:L15)</f>
        <v>50876</v>
      </c>
      <c r="D15" s="69">
        <f>7000</f>
        <v>7000</v>
      </c>
      <c r="E15" s="11">
        <v>0</v>
      </c>
      <c r="F15" s="67">
        <f>37417</f>
        <v>37417</v>
      </c>
      <c r="G15" s="11">
        <v>0</v>
      </c>
      <c r="H15" s="67">
        <v>0</v>
      </c>
      <c r="I15" s="11">
        <v>0</v>
      </c>
      <c r="J15" s="67">
        <v>0</v>
      </c>
      <c r="K15" s="11">
        <v>0</v>
      </c>
      <c r="L15" s="69">
        <f>6459</f>
        <v>6459</v>
      </c>
    </row>
    <row r="16" spans="1:12" ht="55.5" hidden="1" customHeight="1" x14ac:dyDescent="0.25">
      <c r="A16" s="81" t="s">
        <v>139</v>
      </c>
      <c r="B16" s="82" t="s">
        <v>472</v>
      </c>
      <c r="C16" s="80">
        <f t="shared" si="3"/>
        <v>0</v>
      </c>
      <c r="D16" s="83"/>
      <c r="E16" s="92"/>
      <c r="F16" s="83"/>
      <c r="G16" s="92"/>
      <c r="H16" s="83"/>
      <c r="I16" s="92"/>
      <c r="J16" s="83"/>
      <c r="K16" s="92"/>
      <c r="L16" s="83"/>
    </row>
    <row r="17" spans="1:12" ht="63.75" x14ac:dyDescent="0.25">
      <c r="A17" s="68" t="s">
        <v>512</v>
      </c>
      <c r="B17" s="26" t="s">
        <v>473</v>
      </c>
      <c r="C17" s="23">
        <f t="shared" si="3"/>
        <v>42753</v>
      </c>
      <c r="D17" s="69">
        <v>0</v>
      </c>
      <c r="E17" s="11">
        <v>0</v>
      </c>
      <c r="F17" s="67">
        <v>0</v>
      </c>
      <c r="G17" s="11">
        <v>0</v>
      </c>
      <c r="H17" s="67">
        <v>26424</v>
      </c>
      <c r="I17" s="11">
        <v>0</v>
      </c>
      <c r="J17" s="67">
        <v>0</v>
      </c>
      <c r="K17" s="11">
        <v>0</v>
      </c>
      <c r="L17" s="69">
        <v>16329</v>
      </c>
    </row>
    <row r="18" spans="1:12" x14ac:dyDescent="0.25">
      <c r="A18" s="63" t="s">
        <v>140</v>
      </c>
      <c r="B18" s="64" t="s">
        <v>474</v>
      </c>
      <c r="C18" s="23">
        <f>SUM(D18:L18)</f>
        <v>434876</v>
      </c>
      <c r="D18" s="23">
        <f>SUM(D19:D21)</f>
        <v>434876</v>
      </c>
      <c r="E18" s="32">
        <f t="shared" ref="E18:L18" si="4">SUM(E19:E21)</f>
        <v>0</v>
      </c>
      <c r="F18" s="27">
        <f t="shared" si="4"/>
        <v>0</v>
      </c>
      <c r="G18" s="32">
        <f t="shared" si="4"/>
        <v>0</v>
      </c>
      <c r="H18" s="27">
        <f t="shared" si="4"/>
        <v>0</v>
      </c>
      <c r="I18" s="32">
        <f t="shared" si="4"/>
        <v>0</v>
      </c>
      <c r="J18" s="27">
        <f t="shared" si="4"/>
        <v>0</v>
      </c>
      <c r="K18" s="24">
        <f t="shared" si="4"/>
        <v>0</v>
      </c>
      <c r="L18" s="23">
        <f t="shared" si="4"/>
        <v>0</v>
      </c>
    </row>
    <row r="19" spans="1:12" ht="38.25" x14ac:dyDescent="0.25">
      <c r="A19" s="68" t="s">
        <v>141</v>
      </c>
      <c r="B19" s="26" t="s">
        <v>153</v>
      </c>
      <c r="C19" s="23">
        <f>SUM(D19:L19)</f>
        <v>45250</v>
      </c>
      <c r="D19" s="67">
        <v>45250</v>
      </c>
      <c r="E19" s="11">
        <v>0</v>
      </c>
      <c r="F19" s="67">
        <v>0</v>
      </c>
      <c r="G19" s="11">
        <v>0</v>
      </c>
      <c r="H19" s="67">
        <v>0</v>
      </c>
      <c r="I19" s="11">
        <v>0</v>
      </c>
      <c r="J19" s="67">
        <v>0</v>
      </c>
      <c r="K19" s="11">
        <v>0</v>
      </c>
      <c r="L19" s="67">
        <v>0</v>
      </c>
    </row>
    <row r="20" spans="1:12" ht="39" customHeight="1" x14ac:dyDescent="0.25">
      <c r="A20" s="68" t="s">
        <v>142</v>
      </c>
      <c r="B20" s="26" t="s">
        <v>343</v>
      </c>
      <c r="C20" s="23">
        <f t="shared" ref="C20:C21" si="5">SUM(D20:L20)</f>
        <v>293041</v>
      </c>
      <c r="D20" s="67">
        <v>293041</v>
      </c>
      <c r="E20" s="11">
        <v>0</v>
      </c>
      <c r="F20" s="67">
        <v>0</v>
      </c>
      <c r="G20" s="11">
        <v>0</v>
      </c>
      <c r="H20" s="67">
        <v>0</v>
      </c>
      <c r="I20" s="11">
        <v>0</v>
      </c>
      <c r="J20" s="67">
        <v>0</v>
      </c>
      <c r="K20" s="11">
        <v>0</v>
      </c>
      <c r="L20" s="67">
        <v>0</v>
      </c>
    </row>
    <row r="21" spans="1:12" ht="38.25" x14ac:dyDescent="0.25">
      <c r="A21" s="68" t="s">
        <v>143</v>
      </c>
      <c r="B21" s="26" t="s">
        <v>475</v>
      </c>
      <c r="C21" s="23">
        <f t="shared" si="5"/>
        <v>96585</v>
      </c>
      <c r="D21" s="67">
        <v>96585</v>
      </c>
      <c r="E21" s="11">
        <v>0</v>
      </c>
      <c r="F21" s="67">
        <v>0</v>
      </c>
      <c r="G21" s="11">
        <v>0</v>
      </c>
      <c r="H21" s="67">
        <v>0</v>
      </c>
      <c r="I21" s="11">
        <v>0</v>
      </c>
      <c r="J21" s="67">
        <v>0</v>
      </c>
      <c r="K21" s="11">
        <v>0</v>
      </c>
      <c r="L21" s="67">
        <v>0</v>
      </c>
    </row>
    <row r="22" spans="1:12" ht="26.25" x14ac:dyDescent="0.25">
      <c r="A22" s="63" t="s">
        <v>144</v>
      </c>
      <c r="B22" s="21" t="s">
        <v>373</v>
      </c>
      <c r="C22" s="23">
        <f>SUM(D22:L22)</f>
        <v>650979</v>
      </c>
      <c r="D22" s="27">
        <f t="shared" ref="D22:L22" si="6">SUM(D23:D24)</f>
        <v>503392</v>
      </c>
      <c r="E22" s="32">
        <f t="shared" si="6"/>
        <v>0</v>
      </c>
      <c r="F22" s="27">
        <f t="shared" si="6"/>
        <v>0</v>
      </c>
      <c r="G22" s="32">
        <f t="shared" si="6"/>
        <v>0</v>
      </c>
      <c r="H22" s="27">
        <f t="shared" si="6"/>
        <v>17862</v>
      </c>
      <c r="I22" s="32">
        <f t="shared" si="6"/>
        <v>0</v>
      </c>
      <c r="J22" s="27">
        <f t="shared" si="6"/>
        <v>0</v>
      </c>
      <c r="K22" s="32">
        <f t="shared" si="6"/>
        <v>0</v>
      </c>
      <c r="L22" s="27">
        <f t="shared" si="6"/>
        <v>129725</v>
      </c>
    </row>
    <row r="23" spans="1:12" ht="25.5" x14ac:dyDescent="0.25">
      <c r="A23" s="68" t="s">
        <v>372</v>
      </c>
      <c r="B23" s="26" t="s">
        <v>159</v>
      </c>
      <c r="C23" s="23">
        <f>SUM(D23:L23)</f>
        <v>493980</v>
      </c>
      <c r="D23" s="67">
        <v>493980</v>
      </c>
      <c r="E23" s="11">
        <v>0</v>
      </c>
      <c r="F23" s="67">
        <v>0</v>
      </c>
      <c r="G23" s="11">
        <v>0</v>
      </c>
      <c r="H23" s="67">
        <v>0</v>
      </c>
      <c r="I23" s="11">
        <v>0</v>
      </c>
      <c r="J23" s="67">
        <v>0</v>
      </c>
      <c r="K23" s="11">
        <v>0</v>
      </c>
      <c r="L23" s="67">
        <v>0</v>
      </c>
    </row>
    <row r="24" spans="1:12" ht="63.75" x14ac:dyDescent="0.25">
      <c r="A24" s="68" t="s">
        <v>374</v>
      </c>
      <c r="B24" s="26" t="s">
        <v>406</v>
      </c>
      <c r="C24" s="23">
        <f>SUM(D24:L24)</f>
        <v>156999</v>
      </c>
      <c r="D24" s="67">
        <v>9412</v>
      </c>
      <c r="E24" s="11">
        <v>0</v>
      </c>
      <c r="F24" s="67">
        <v>0</v>
      </c>
      <c r="G24" s="11">
        <v>0</v>
      </c>
      <c r="H24" s="67">
        <v>17862</v>
      </c>
      <c r="I24" s="11">
        <v>0</v>
      </c>
      <c r="J24" s="67">
        <v>0</v>
      </c>
      <c r="K24" s="11">
        <v>0</v>
      </c>
      <c r="L24" s="69">
        <v>129725</v>
      </c>
    </row>
    <row r="25" spans="1:12" s="18" customFormat="1" ht="25.5" x14ac:dyDescent="0.25">
      <c r="A25" s="120" t="s">
        <v>145</v>
      </c>
      <c r="B25" s="114" t="s">
        <v>476</v>
      </c>
      <c r="C25" s="27">
        <f>SUM(D25:L25)</f>
        <v>3525</v>
      </c>
      <c r="D25" s="27">
        <f>D26</f>
        <v>0</v>
      </c>
      <c r="E25" s="32">
        <f t="shared" ref="E25:L25" si="7">E26</f>
        <v>0</v>
      </c>
      <c r="F25" s="27">
        <f t="shared" si="7"/>
        <v>0</v>
      </c>
      <c r="G25" s="32">
        <f t="shared" si="7"/>
        <v>0</v>
      </c>
      <c r="H25" s="27">
        <f t="shared" si="7"/>
        <v>3525</v>
      </c>
      <c r="I25" s="32">
        <f t="shared" si="7"/>
        <v>0</v>
      </c>
      <c r="J25" s="27">
        <f t="shared" si="7"/>
        <v>0</v>
      </c>
      <c r="K25" s="32">
        <f t="shared" si="7"/>
        <v>0</v>
      </c>
      <c r="L25" s="27">
        <f t="shared" si="7"/>
        <v>0</v>
      </c>
    </row>
    <row r="26" spans="1:12" s="18" customFormat="1" x14ac:dyDescent="0.25">
      <c r="A26" s="65" t="s">
        <v>477</v>
      </c>
      <c r="B26" s="66" t="s">
        <v>154</v>
      </c>
      <c r="C26" s="27">
        <f t="shared" ref="C26:C29" si="8">SUM(D26:L26)</f>
        <v>3525</v>
      </c>
      <c r="D26" s="67">
        <v>0</v>
      </c>
      <c r="E26" s="11">
        <v>0</v>
      </c>
      <c r="F26" s="67">
        <v>0</v>
      </c>
      <c r="G26" s="11">
        <v>0</v>
      </c>
      <c r="H26" s="67">
        <f>3525</f>
        <v>3525</v>
      </c>
      <c r="I26" s="11">
        <v>0</v>
      </c>
      <c r="J26" s="67">
        <v>0</v>
      </c>
      <c r="K26" s="11">
        <v>0</v>
      </c>
      <c r="L26" s="67">
        <v>0</v>
      </c>
    </row>
    <row r="27" spans="1:12" ht="24" customHeight="1" x14ac:dyDescent="0.25">
      <c r="A27" s="71" t="s">
        <v>146</v>
      </c>
      <c r="B27" s="72" t="s">
        <v>479</v>
      </c>
      <c r="C27" s="23">
        <f>SUM(D27:L27)</f>
        <v>270000</v>
      </c>
      <c r="D27" s="27">
        <f>D28</f>
        <v>270000</v>
      </c>
      <c r="E27" s="32">
        <f t="shared" ref="E27" si="9">E28</f>
        <v>0</v>
      </c>
      <c r="F27" s="27">
        <f t="shared" ref="F27" si="10">F28</f>
        <v>0</v>
      </c>
      <c r="G27" s="32">
        <f t="shared" ref="G27" si="11">G28</f>
        <v>0</v>
      </c>
      <c r="H27" s="27">
        <f t="shared" ref="H27" si="12">H28</f>
        <v>0</v>
      </c>
      <c r="I27" s="32">
        <f t="shared" ref="I27" si="13">I28</f>
        <v>0</v>
      </c>
      <c r="J27" s="27">
        <f t="shared" ref="J27" si="14">J28</f>
        <v>0</v>
      </c>
      <c r="K27" s="32">
        <f t="shared" ref="K27" si="15">K28</f>
        <v>0</v>
      </c>
      <c r="L27" s="27">
        <f t="shared" ref="L27" si="16">L28</f>
        <v>0</v>
      </c>
    </row>
    <row r="28" spans="1:12" x14ac:dyDescent="0.25">
      <c r="A28" s="68" t="s">
        <v>478</v>
      </c>
      <c r="B28" s="26" t="s">
        <v>155</v>
      </c>
      <c r="C28" s="23">
        <f t="shared" si="8"/>
        <v>270000</v>
      </c>
      <c r="D28" s="27">
        <v>270000</v>
      </c>
      <c r="E28" s="11">
        <v>0</v>
      </c>
      <c r="F28" s="67">
        <v>0</v>
      </c>
      <c r="G28" s="11">
        <v>0</v>
      </c>
      <c r="H28" s="67">
        <v>0</v>
      </c>
      <c r="I28" s="11">
        <v>0</v>
      </c>
      <c r="J28" s="67">
        <v>0</v>
      </c>
      <c r="K28" s="11">
        <v>0</v>
      </c>
      <c r="L28" s="67">
        <v>0</v>
      </c>
    </row>
    <row r="29" spans="1:12" ht="38.25" x14ac:dyDescent="0.25">
      <c r="A29" s="63" t="s">
        <v>147</v>
      </c>
      <c r="B29" s="64" t="s">
        <v>156</v>
      </c>
      <c r="C29" s="23">
        <f t="shared" si="8"/>
        <v>1640597</v>
      </c>
      <c r="D29" s="27">
        <f>SUM(D30:D32)</f>
        <v>869676</v>
      </c>
      <c r="E29" s="32">
        <f t="shared" ref="E29:L29" si="17">SUM(E30:E32)</f>
        <v>214283</v>
      </c>
      <c r="F29" s="27">
        <f t="shared" si="17"/>
        <v>0</v>
      </c>
      <c r="G29" s="32">
        <f t="shared" si="17"/>
        <v>0</v>
      </c>
      <c r="H29" s="27">
        <f t="shared" si="17"/>
        <v>0</v>
      </c>
      <c r="I29" s="32">
        <f t="shared" si="17"/>
        <v>0</v>
      </c>
      <c r="J29" s="27">
        <f t="shared" si="17"/>
        <v>637767</v>
      </c>
      <c r="K29" s="24">
        <f t="shared" si="17"/>
        <v>-82752</v>
      </c>
      <c r="L29" s="23">
        <f t="shared" si="17"/>
        <v>1623</v>
      </c>
    </row>
    <row r="30" spans="1:12" ht="29.25" customHeight="1" x14ac:dyDescent="0.25">
      <c r="A30" s="68" t="s">
        <v>148</v>
      </c>
      <c r="B30" s="26" t="s">
        <v>320</v>
      </c>
      <c r="C30" s="23">
        <f>SUM(D30:L30)</f>
        <v>990440</v>
      </c>
      <c r="D30" s="67">
        <v>219519</v>
      </c>
      <c r="E30" s="11">
        <v>214283</v>
      </c>
      <c r="F30" s="67">
        <v>0</v>
      </c>
      <c r="G30" s="11">
        <v>0</v>
      </c>
      <c r="H30" s="67">
        <v>0</v>
      </c>
      <c r="I30" s="11">
        <v>0</v>
      </c>
      <c r="J30" s="67">
        <v>637767</v>
      </c>
      <c r="K30" s="11">
        <v>-82752</v>
      </c>
      <c r="L30" s="69">
        <v>1623</v>
      </c>
    </row>
    <row r="31" spans="1:12" ht="38.25" x14ac:dyDescent="0.25">
      <c r="A31" s="68" t="s">
        <v>149</v>
      </c>
      <c r="B31" s="26" t="s">
        <v>321</v>
      </c>
      <c r="C31" s="23">
        <f t="shared" ref="C31:C32" si="18">SUM(D31:L31)</f>
        <v>650157</v>
      </c>
      <c r="D31" s="67">
        <v>650157</v>
      </c>
      <c r="E31" s="11">
        <v>0</v>
      </c>
      <c r="F31" s="67">
        <v>0</v>
      </c>
      <c r="G31" s="11">
        <v>0</v>
      </c>
      <c r="H31" s="67">
        <v>0</v>
      </c>
      <c r="I31" s="11">
        <v>0</v>
      </c>
      <c r="J31" s="67">
        <v>0</v>
      </c>
      <c r="K31" s="11">
        <v>0</v>
      </c>
      <c r="L31" s="67">
        <v>0</v>
      </c>
    </row>
    <row r="32" spans="1:12" ht="25.5" hidden="1" x14ac:dyDescent="0.25">
      <c r="A32" s="81" t="s">
        <v>150</v>
      </c>
      <c r="B32" s="82" t="s">
        <v>157</v>
      </c>
      <c r="C32" s="80">
        <f t="shared" si="18"/>
        <v>0</v>
      </c>
      <c r="D32" s="83">
        <v>0</v>
      </c>
      <c r="E32" s="92">
        <v>0</v>
      </c>
      <c r="F32" s="83">
        <v>0</v>
      </c>
      <c r="G32" s="92">
        <v>0</v>
      </c>
      <c r="H32" s="83">
        <v>0</v>
      </c>
      <c r="I32" s="92">
        <v>0</v>
      </c>
      <c r="J32" s="83">
        <v>0</v>
      </c>
      <c r="K32" s="92">
        <v>0</v>
      </c>
      <c r="L32" s="83">
        <v>0</v>
      </c>
    </row>
    <row r="33" spans="1:12" ht="38.25" x14ac:dyDescent="0.25">
      <c r="A33" s="63" t="s">
        <v>151</v>
      </c>
      <c r="B33" s="64" t="s">
        <v>481</v>
      </c>
      <c r="C33" s="27">
        <f>SUM(D33:L33)</f>
        <v>170392</v>
      </c>
      <c r="D33" s="27">
        <f>D34</f>
        <v>372645</v>
      </c>
      <c r="E33" s="32">
        <f t="shared" ref="E33" si="19">E34</f>
        <v>-202253</v>
      </c>
      <c r="F33" s="27">
        <f t="shared" ref="F33" si="20">F34</f>
        <v>0</v>
      </c>
      <c r="G33" s="32">
        <f t="shared" ref="G33" si="21">G34</f>
        <v>0</v>
      </c>
      <c r="H33" s="27">
        <f t="shared" ref="H33" si="22">H34</f>
        <v>0</v>
      </c>
      <c r="I33" s="32">
        <f t="shared" ref="I33" si="23">I34</f>
        <v>0</v>
      </c>
      <c r="J33" s="27">
        <f t="shared" ref="J33" si="24">J34</f>
        <v>0</v>
      </c>
      <c r="K33" s="32">
        <f t="shared" ref="K33" si="25">K34</f>
        <v>0</v>
      </c>
      <c r="L33" s="27">
        <f t="shared" ref="L33" si="26">L34</f>
        <v>0</v>
      </c>
    </row>
    <row r="34" spans="1:12" ht="25.5" x14ac:dyDescent="0.25">
      <c r="A34" s="68" t="s">
        <v>480</v>
      </c>
      <c r="B34" s="26" t="s">
        <v>158</v>
      </c>
      <c r="C34" s="23">
        <f t="shared" ref="C34" si="27">SUM(D34:L34)</f>
        <v>170392</v>
      </c>
      <c r="D34" s="67">
        <f>500000-127355</f>
        <v>372645</v>
      </c>
      <c r="E34" s="11">
        <v>-202253</v>
      </c>
      <c r="F34" s="67">
        <v>0</v>
      </c>
      <c r="G34" s="11">
        <v>0</v>
      </c>
      <c r="H34" s="67">
        <v>0</v>
      </c>
      <c r="I34" s="11">
        <v>0</v>
      </c>
      <c r="J34" s="67">
        <v>0</v>
      </c>
      <c r="K34" s="11">
        <v>0</v>
      </c>
      <c r="L34" s="67">
        <v>0</v>
      </c>
    </row>
    <row r="35" spans="1:12" x14ac:dyDescent="0.25">
      <c r="A35" s="93" t="s">
        <v>107</v>
      </c>
      <c r="B35" s="94" t="s">
        <v>116</v>
      </c>
      <c r="C35" s="101">
        <f>SUM(D35:L35)</f>
        <v>3941597</v>
      </c>
      <c r="D35" s="101">
        <f>D36+D39</f>
        <v>3242850</v>
      </c>
      <c r="E35" s="102">
        <f t="shared" ref="E35:L35" si="28">E36+E39</f>
        <v>245362</v>
      </c>
      <c r="F35" s="101">
        <f t="shared" si="28"/>
        <v>143300</v>
      </c>
      <c r="G35" s="102">
        <f t="shared" si="28"/>
        <v>0</v>
      </c>
      <c r="H35" s="101">
        <f t="shared" si="28"/>
        <v>42945</v>
      </c>
      <c r="I35" s="102">
        <f t="shared" si="28"/>
        <v>173431</v>
      </c>
      <c r="J35" s="101">
        <f t="shared" si="28"/>
        <v>0</v>
      </c>
      <c r="K35" s="102">
        <f t="shared" si="28"/>
        <v>0</v>
      </c>
      <c r="L35" s="101">
        <f t="shared" si="28"/>
        <v>93709</v>
      </c>
    </row>
    <row r="36" spans="1:12" x14ac:dyDescent="0.25">
      <c r="A36" s="63" t="s">
        <v>482</v>
      </c>
      <c r="B36" s="64" t="s">
        <v>483</v>
      </c>
      <c r="C36" s="27">
        <f>SUM(D36:L36)</f>
        <v>3537256</v>
      </c>
      <c r="D36" s="27">
        <f>D37+D38</f>
        <v>2816090</v>
      </c>
      <c r="E36" s="32">
        <f>E37+E38</f>
        <v>270362</v>
      </c>
      <c r="F36" s="27">
        <f t="shared" ref="F36:L36" si="29">F37+F38</f>
        <v>143300</v>
      </c>
      <c r="G36" s="32">
        <f t="shared" si="29"/>
        <v>0</v>
      </c>
      <c r="H36" s="27">
        <f t="shared" si="29"/>
        <v>42945</v>
      </c>
      <c r="I36" s="32">
        <f t="shared" si="29"/>
        <v>173431</v>
      </c>
      <c r="J36" s="27">
        <f t="shared" si="29"/>
        <v>0</v>
      </c>
      <c r="K36" s="32">
        <f t="shared" si="29"/>
        <v>0</v>
      </c>
      <c r="L36" s="27">
        <f t="shared" si="29"/>
        <v>91128</v>
      </c>
    </row>
    <row r="37" spans="1:12" ht="30" customHeight="1" x14ac:dyDescent="0.25">
      <c r="A37" s="68" t="s">
        <v>839</v>
      </c>
      <c r="B37" s="26" t="s">
        <v>344</v>
      </c>
      <c r="C37" s="23">
        <f t="shared" ref="C37:C50" si="30">SUM(D37:L37)</f>
        <v>3250471</v>
      </c>
      <c r="D37" s="69">
        <f>2859035-42945</f>
        <v>2816090</v>
      </c>
      <c r="E37" s="11">
        <v>157008</v>
      </c>
      <c r="F37" s="67">
        <v>143300</v>
      </c>
      <c r="G37" s="11">
        <v>0</v>
      </c>
      <c r="H37" s="67">
        <v>42945</v>
      </c>
      <c r="I37" s="11">
        <v>0</v>
      </c>
      <c r="J37" s="67">
        <v>0</v>
      </c>
      <c r="K37" s="11">
        <v>0</v>
      </c>
      <c r="L37" s="69">
        <v>91128</v>
      </c>
    </row>
    <row r="38" spans="1:12" ht="51" x14ac:dyDescent="0.25">
      <c r="A38" s="68" t="s">
        <v>840</v>
      </c>
      <c r="B38" s="26" t="s">
        <v>841</v>
      </c>
      <c r="C38" s="23">
        <f t="shared" ref="C38" si="31">SUM(D38:L38)</f>
        <v>286785</v>
      </c>
      <c r="D38" s="69">
        <v>0</v>
      </c>
      <c r="E38" s="11">
        <v>113354</v>
      </c>
      <c r="F38" s="67">
        <v>0</v>
      </c>
      <c r="G38" s="11">
        <v>0</v>
      </c>
      <c r="H38" s="67">
        <v>0</v>
      </c>
      <c r="I38" s="11">
        <v>173431</v>
      </c>
      <c r="J38" s="67">
        <v>0</v>
      </c>
      <c r="K38" s="11">
        <v>0</v>
      </c>
      <c r="L38" s="69">
        <v>0</v>
      </c>
    </row>
    <row r="39" spans="1:12" ht="37.5" customHeight="1" x14ac:dyDescent="0.25">
      <c r="A39" s="63" t="s">
        <v>160</v>
      </c>
      <c r="B39" s="64" t="s">
        <v>162</v>
      </c>
      <c r="C39" s="23">
        <f t="shared" si="30"/>
        <v>404341</v>
      </c>
      <c r="D39" s="23">
        <f>SUM(D40:D42)</f>
        <v>426760</v>
      </c>
      <c r="E39" s="24">
        <f t="shared" ref="E39:L39" si="32">SUM(E40:E42)</f>
        <v>-25000</v>
      </c>
      <c r="F39" s="23">
        <f t="shared" si="32"/>
        <v>0</v>
      </c>
      <c r="G39" s="24">
        <f t="shared" si="32"/>
        <v>0</v>
      </c>
      <c r="H39" s="23">
        <f t="shared" si="32"/>
        <v>0</v>
      </c>
      <c r="I39" s="24">
        <f t="shared" si="32"/>
        <v>0</v>
      </c>
      <c r="J39" s="23">
        <f t="shared" si="32"/>
        <v>0</v>
      </c>
      <c r="K39" s="24">
        <f t="shared" si="32"/>
        <v>0</v>
      </c>
      <c r="L39" s="23">
        <f t="shared" si="32"/>
        <v>2581</v>
      </c>
    </row>
    <row r="40" spans="1:12" ht="37.5" customHeight="1" x14ac:dyDescent="0.25">
      <c r="A40" s="68" t="s">
        <v>161</v>
      </c>
      <c r="B40" s="26" t="s">
        <v>345</v>
      </c>
      <c r="C40" s="23">
        <f t="shared" si="30"/>
        <v>401760</v>
      </c>
      <c r="D40" s="69">
        <v>426760</v>
      </c>
      <c r="E40" s="11">
        <v>-25000</v>
      </c>
      <c r="F40" s="67">
        <v>0</v>
      </c>
      <c r="G40" s="11">
        <v>0</v>
      </c>
      <c r="H40" s="67">
        <v>0</v>
      </c>
      <c r="I40" s="11">
        <v>0</v>
      </c>
      <c r="J40" s="67">
        <v>0</v>
      </c>
      <c r="K40" s="11">
        <v>0</v>
      </c>
      <c r="L40" s="67">
        <v>0</v>
      </c>
    </row>
    <row r="41" spans="1:12" ht="54.75" customHeight="1" x14ac:dyDescent="0.25">
      <c r="A41" s="95" t="s">
        <v>380</v>
      </c>
      <c r="B41" s="96" t="s">
        <v>409</v>
      </c>
      <c r="C41" s="23">
        <f t="shared" ref="C41" si="33">SUM(D41:L41)</f>
        <v>2581</v>
      </c>
      <c r="D41" s="37">
        <v>0</v>
      </c>
      <c r="E41" s="11">
        <v>0</v>
      </c>
      <c r="F41" s="67">
        <v>0</v>
      </c>
      <c r="G41" s="11">
        <v>0</v>
      </c>
      <c r="H41" s="37">
        <v>0</v>
      </c>
      <c r="I41" s="11">
        <v>0</v>
      </c>
      <c r="J41" s="67">
        <v>0</v>
      </c>
      <c r="K41" s="11">
        <v>0</v>
      </c>
      <c r="L41" s="37">
        <v>2581</v>
      </c>
    </row>
    <row r="42" spans="1:12" hidden="1" x14ac:dyDescent="0.25">
      <c r="A42" s="58"/>
      <c r="B42" s="59"/>
      <c r="C42" s="80">
        <f t="shared" si="30"/>
        <v>0</v>
      </c>
      <c r="D42" s="83"/>
      <c r="E42" s="92"/>
      <c r="F42" s="83"/>
      <c r="G42" s="92"/>
      <c r="H42" s="83"/>
      <c r="I42" s="92"/>
      <c r="J42" s="83"/>
      <c r="K42" s="92"/>
      <c r="L42" s="83"/>
    </row>
    <row r="43" spans="1:12" x14ac:dyDescent="0.25">
      <c r="A43" s="93" t="s">
        <v>108</v>
      </c>
      <c r="B43" s="94" t="s">
        <v>117</v>
      </c>
      <c r="C43" s="101">
        <f t="shared" si="30"/>
        <v>26452829</v>
      </c>
      <c r="D43" s="101">
        <f>D44+D51+D56+D60</f>
        <v>15143394</v>
      </c>
      <c r="E43" s="102">
        <f t="shared" ref="E43:L43" si="34">E44+E51+E56+E60</f>
        <v>-66421</v>
      </c>
      <c r="F43" s="101">
        <f t="shared" si="34"/>
        <v>45600</v>
      </c>
      <c r="G43" s="102">
        <f t="shared" si="34"/>
        <v>0</v>
      </c>
      <c r="H43" s="101">
        <f t="shared" si="34"/>
        <v>6372590</v>
      </c>
      <c r="I43" s="102">
        <f t="shared" si="34"/>
        <v>313296</v>
      </c>
      <c r="J43" s="101">
        <f t="shared" si="34"/>
        <v>24154</v>
      </c>
      <c r="K43" s="102">
        <f t="shared" si="34"/>
        <v>0</v>
      </c>
      <c r="L43" s="101">
        <f t="shared" si="34"/>
        <v>4620216</v>
      </c>
    </row>
    <row r="44" spans="1:12" x14ac:dyDescent="0.25">
      <c r="A44" s="63" t="s">
        <v>163</v>
      </c>
      <c r="B44" s="64" t="s">
        <v>171</v>
      </c>
      <c r="C44" s="23">
        <f>SUM(D44:L44)</f>
        <v>23445982</v>
      </c>
      <c r="D44" s="23">
        <f>SUM(D45:D50)</f>
        <v>13859579</v>
      </c>
      <c r="E44" s="24">
        <f t="shared" ref="E44:L44" si="35">SUM(E45:E50)</f>
        <v>660411</v>
      </c>
      <c r="F44" s="23">
        <f t="shared" si="35"/>
        <v>0</v>
      </c>
      <c r="G44" s="24">
        <f t="shared" si="35"/>
        <v>0</v>
      </c>
      <c r="H44" s="23">
        <f t="shared" si="35"/>
        <v>5312463</v>
      </c>
      <c r="I44" s="24">
        <f t="shared" si="35"/>
        <v>300000</v>
      </c>
      <c r="J44" s="23">
        <f t="shared" si="35"/>
        <v>0</v>
      </c>
      <c r="K44" s="24">
        <f t="shared" si="35"/>
        <v>0</v>
      </c>
      <c r="L44" s="23">
        <f t="shared" si="35"/>
        <v>3313529</v>
      </c>
    </row>
    <row r="45" spans="1:12" ht="38.25" x14ac:dyDescent="0.25">
      <c r="A45" s="68" t="s">
        <v>164</v>
      </c>
      <c r="B45" s="26" t="s">
        <v>322</v>
      </c>
      <c r="C45" s="23">
        <f t="shared" si="30"/>
        <v>4427291</v>
      </c>
      <c r="D45" s="69">
        <v>1895954</v>
      </c>
      <c r="E45" s="11">
        <v>1090769</v>
      </c>
      <c r="F45" s="67">
        <v>0</v>
      </c>
      <c r="G45" s="11">
        <v>0</v>
      </c>
      <c r="H45" s="67">
        <v>1369537</v>
      </c>
      <c r="I45" s="11">
        <v>0</v>
      </c>
      <c r="J45" s="67">
        <v>0</v>
      </c>
      <c r="K45" s="11">
        <v>0</v>
      </c>
      <c r="L45" s="67">
        <v>71031</v>
      </c>
    </row>
    <row r="46" spans="1:12" ht="38.25" x14ac:dyDescent="0.25">
      <c r="A46" s="68" t="s">
        <v>165</v>
      </c>
      <c r="B46" s="26" t="s">
        <v>172</v>
      </c>
      <c r="C46" s="23">
        <f t="shared" si="30"/>
        <v>3017499</v>
      </c>
      <c r="D46" s="69">
        <v>1566794</v>
      </c>
      <c r="E46" s="11">
        <v>502335</v>
      </c>
      <c r="F46" s="67">
        <v>0</v>
      </c>
      <c r="G46" s="11">
        <v>0</v>
      </c>
      <c r="H46" s="67">
        <v>854446</v>
      </c>
      <c r="I46" s="11">
        <v>0</v>
      </c>
      <c r="J46" s="67">
        <v>0</v>
      </c>
      <c r="K46" s="11">
        <v>0</v>
      </c>
      <c r="L46" s="69">
        <v>93924</v>
      </c>
    </row>
    <row r="47" spans="1:12" ht="54" customHeight="1" x14ac:dyDescent="0.25">
      <c r="A47" s="65" t="s">
        <v>400</v>
      </c>
      <c r="B47" s="66" t="s">
        <v>399</v>
      </c>
      <c r="C47" s="23">
        <f t="shared" si="30"/>
        <v>9755809</v>
      </c>
      <c r="D47" s="67">
        <v>6436233</v>
      </c>
      <c r="E47" s="11">
        <v>0</v>
      </c>
      <c r="F47" s="67">
        <v>0</v>
      </c>
      <c r="G47" s="11">
        <v>0</v>
      </c>
      <c r="H47" s="67">
        <v>895406</v>
      </c>
      <c r="I47" s="11">
        <v>0</v>
      </c>
      <c r="J47" s="67">
        <v>0</v>
      </c>
      <c r="K47" s="11">
        <v>0</v>
      </c>
      <c r="L47" s="67">
        <v>2424170</v>
      </c>
    </row>
    <row r="48" spans="1:12" ht="51" x14ac:dyDescent="0.25">
      <c r="A48" s="65" t="s">
        <v>425</v>
      </c>
      <c r="B48" s="66" t="s">
        <v>426</v>
      </c>
      <c r="C48" s="23">
        <f t="shared" si="30"/>
        <v>4752896</v>
      </c>
      <c r="D48" s="67">
        <v>2777905</v>
      </c>
      <c r="E48" s="11">
        <v>250000</v>
      </c>
      <c r="F48" s="67">
        <v>0</v>
      </c>
      <c r="G48" s="11">
        <v>0</v>
      </c>
      <c r="H48" s="67">
        <v>1000587</v>
      </c>
      <c r="I48" s="11">
        <v>0</v>
      </c>
      <c r="J48" s="67">
        <v>0</v>
      </c>
      <c r="K48" s="11">
        <v>0</v>
      </c>
      <c r="L48" s="67">
        <v>724404</v>
      </c>
    </row>
    <row r="49" spans="1:12" ht="51" x14ac:dyDescent="0.25">
      <c r="A49" s="65" t="s">
        <v>807</v>
      </c>
      <c r="B49" s="66" t="s">
        <v>808</v>
      </c>
      <c r="C49" s="23">
        <f t="shared" ref="C49" si="36">SUM(D49:L49)</f>
        <v>1192487</v>
      </c>
      <c r="D49" s="67">
        <v>1182693</v>
      </c>
      <c r="E49" s="11">
        <v>-1182693</v>
      </c>
      <c r="F49" s="67">
        <v>0</v>
      </c>
      <c r="G49" s="11">
        <v>0</v>
      </c>
      <c r="H49" s="67">
        <v>1192487</v>
      </c>
      <c r="I49" s="11">
        <v>0</v>
      </c>
      <c r="J49" s="67">
        <v>0</v>
      </c>
      <c r="K49" s="11">
        <v>0</v>
      </c>
      <c r="L49" s="67">
        <v>0</v>
      </c>
    </row>
    <row r="50" spans="1:12" ht="51" x14ac:dyDescent="0.25">
      <c r="A50" s="65" t="s">
        <v>842</v>
      </c>
      <c r="B50" s="66" t="s">
        <v>843</v>
      </c>
      <c r="C50" s="23">
        <f t="shared" si="30"/>
        <v>300000</v>
      </c>
      <c r="D50" s="67">
        <v>0</v>
      </c>
      <c r="E50" s="11">
        <v>0</v>
      </c>
      <c r="F50" s="67">
        <v>0</v>
      </c>
      <c r="G50" s="11">
        <v>0</v>
      </c>
      <c r="H50" s="67">
        <v>0</v>
      </c>
      <c r="I50" s="11">
        <v>300000</v>
      </c>
      <c r="J50" s="67">
        <v>0</v>
      </c>
      <c r="K50" s="11">
        <v>0</v>
      </c>
      <c r="L50" s="67">
        <v>0</v>
      </c>
    </row>
    <row r="51" spans="1:12" x14ac:dyDescent="0.25">
      <c r="A51" s="63" t="s">
        <v>166</v>
      </c>
      <c r="B51" s="64" t="s">
        <v>173</v>
      </c>
      <c r="C51" s="23">
        <f t="shared" ref="C51:C61" si="37">SUM(D51:L51)</f>
        <v>1499702</v>
      </c>
      <c r="D51" s="23">
        <f t="shared" ref="D51:L51" si="38">SUM(D52:D55)</f>
        <v>1176696</v>
      </c>
      <c r="E51" s="32">
        <f t="shared" si="38"/>
        <v>-796832</v>
      </c>
      <c r="F51" s="27">
        <f t="shared" si="38"/>
        <v>45600</v>
      </c>
      <c r="G51" s="32">
        <f t="shared" si="38"/>
        <v>0</v>
      </c>
      <c r="H51" s="27">
        <f t="shared" si="38"/>
        <v>946023</v>
      </c>
      <c r="I51" s="32">
        <f t="shared" si="38"/>
        <v>13296</v>
      </c>
      <c r="J51" s="27">
        <f t="shared" si="38"/>
        <v>24154</v>
      </c>
      <c r="K51" s="32">
        <f t="shared" si="38"/>
        <v>0</v>
      </c>
      <c r="L51" s="23">
        <f t="shared" si="38"/>
        <v>90765</v>
      </c>
    </row>
    <row r="52" spans="1:12" ht="25.5" x14ac:dyDescent="0.25">
      <c r="A52" s="68" t="s">
        <v>167</v>
      </c>
      <c r="B52" s="26" t="s">
        <v>346</v>
      </c>
      <c r="C52" s="23">
        <f t="shared" si="37"/>
        <v>444409</v>
      </c>
      <c r="D52" s="69">
        <v>374064</v>
      </c>
      <c r="E52" s="11">
        <v>0</v>
      </c>
      <c r="F52" s="67">
        <v>45600</v>
      </c>
      <c r="G52" s="11">
        <v>0</v>
      </c>
      <c r="H52" s="67">
        <v>0</v>
      </c>
      <c r="I52" s="11">
        <v>0</v>
      </c>
      <c r="J52" s="67">
        <v>24154</v>
      </c>
      <c r="K52" s="11">
        <v>0</v>
      </c>
      <c r="L52" s="69">
        <v>591</v>
      </c>
    </row>
    <row r="53" spans="1:12" ht="51" x14ac:dyDescent="0.25">
      <c r="A53" s="68" t="s">
        <v>369</v>
      </c>
      <c r="B53" s="26" t="s">
        <v>408</v>
      </c>
      <c r="C53" s="23">
        <f t="shared" si="37"/>
        <v>10000</v>
      </c>
      <c r="D53" s="69">
        <v>0</v>
      </c>
      <c r="E53" s="11">
        <v>0</v>
      </c>
      <c r="F53" s="67">
        <v>0</v>
      </c>
      <c r="G53" s="11">
        <v>0</v>
      </c>
      <c r="H53" s="67">
        <v>0</v>
      </c>
      <c r="I53" s="11">
        <v>0</v>
      </c>
      <c r="J53" s="67">
        <v>0</v>
      </c>
      <c r="K53" s="11">
        <v>0</v>
      </c>
      <c r="L53" s="69">
        <v>10000</v>
      </c>
    </row>
    <row r="54" spans="1:12" ht="65.25" customHeight="1" x14ac:dyDescent="0.25">
      <c r="A54" s="65" t="s">
        <v>401</v>
      </c>
      <c r="B54" s="66" t="s">
        <v>402</v>
      </c>
      <c r="C54" s="27">
        <f t="shared" ref="C54" si="39">SUM(D54:L54)</f>
        <v>1045293</v>
      </c>
      <c r="D54" s="67">
        <v>802632</v>
      </c>
      <c r="E54" s="11">
        <v>-796832</v>
      </c>
      <c r="F54" s="67">
        <v>0</v>
      </c>
      <c r="G54" s="11">
        <v>0</v>
      </c>
      <c r="H54" s="67">
        <v>946023</v>
      </c>
      <c r="I54" s="11">
        <v>13296</v>
      </c>
      <c r="J54" s="67">
        <v>0</v>
      </c>
      <c r="K54" s="11">
        <v>0</v>
      </c>
      <c r="L54" s="67">
        <v>80174</v>
      </c>
    </row>
    <row r="55" spans="1:12" hidden="1" x14ac:dyDescent="0.25">
      <c r="A55" s="58"/>
      <c r="B55" s="59"/>
      <c r="C55" s="80">
        <f t="shared" si="37"/>
        <v>0</v>
      </c>
      <c r="D55" s="83"/>
      <c r="E55" s="92"/>
      <c r="F55" s="83"/>
      <c r="G55" s="92"/>
      <c r="H55" s="83"/>
      <c r="I55" s="92"/>
      <c r="J55" s="83"/>
      <c r="K55" s="92"/>
      <c r="L55" s="83"/>
    </row>
    <row r="56" spans="1:12" x14ac:dyDescent="0.25">
      <c r="A56" s="71" t="s">
        <v>384</v>
      </c>
      <c r="B56" s="72" t="s">
        <v>385</v>
      </c>
      <c r="C56" s="27">
        <f>SUM(D56:L56)</f>
        <v>1363745</v>
      </c>
      <c r="D56" s="27">
        <f t="shared" ref="D56:L56" si="40">SUM(D57:D59)</f>
        <v>33719</v>
      </c>
      <c r="E56" s="32">
        <f t="shared" si="40"/>
        <v>0</v>
      </c>
      <c r="F56" s="27">
        <f t="shared" si="40"/>
        <v>0</v>
      </c>
      <c r="G56" s="32">
        <f t="shared" si="40"/>
        <v>0</v>
      </c>
      <c r="H56" s="27">
        <f t="shared" si="40"/>
        <v>114104</v>
      </c>
      <c r="I56" s="32">
        <f t="shared" si="40"/>
        <v>0</v>
      </c>
      <c r="J56" s="27">
        <f t="shared" si="40"/>
        <v>0</v>
      </c>
      <c r="K56" s="32">
        <f t="shared" si="40"/>
        <v>0</v>
      </c>
      <c r="L56" s="27">
        <f t="shared" si="40"/>
        <v>1215922</v>
      </c>
    </row>
    <row r="57" spans="1:12" ht="66.75" customHeight="1" x14ac:dyDescent="0.25">
      <c r="A57" s="65" t="s">
        <v>386</v>
      </c>
      <c r="B57" s="66" t="s">
        <v>387</v>
      </c>
      <c r="C57" s="27">
        <f t="shared" ref="C57:C58" si="41">SUM(D57:L57)</f>
        <v>1040402</v>
      </c>
      <c r="D57" s="67">
        <v>0</v>
      </c>
      <c r="E57" s="11">
        <v>0</v>
      </c>
      <c r="F57" s="67">
        <v>0</v>
      </c>
      <c r="G57" s="11">
        <v>0</v>
      </c>
      <c r="H57" s="67">
        <v>114104</v>
      </c>
      <c r="I57" s="11">
        <v>0</v>
      </c>
      <c r="J57" s="67">
        <v>0</v>
      </c>
      <c r="K57" s="11">
        <v>0</v>
      </c>
      <c r="L57" s="67">
        <v>926298</v>
      </c>
    </row>
    <row r="58" spans="1:12" ht="39.75" customHeight="1" x14ac:dyDescent="0.25">
      <c r="A58" s="95" t="s">
        <v>388</v>
      </c>
      <c r="B58" s="96" t="s">
        <v>389</v>
      </c>
      <c r="C58" s="91">
        <f t="shared" si="41"/>
        <v>323343</v>
      </c>
      <c r="D58" s="37">
        <v>33719</v>
      </c>
      <c r="E58" s="11">
        <v>0</v>
      </c>
      <c r="F58" s="37">
        <v>0</v>
      </c>
      <c r="G58" s="103">
        <v>0</v>
      </c>
      <c r="H58" s="37">
        <v>0</v>
      </c>
      <c r="I58" s="103">
        <v>0</v>
      </c>
      <c r="J58" s="37">
        <v>0</v>
      </c>
      <c r="K58" s="103">
        <v>0</v>
      </c>
      <c r="L58" s="37">
        <v>289624</v>
      </c>
    </row>
    <row r="59" spans="1:12" hidden="1" x14ac:dyDescent="0.25">
      <c r="A59" s="58"/>
      <c r="B59" s="59"/>
      <c r="C59" s="80">
        <f t="shared" ref="C59" si="42">SUM(D59:L59)</f>
        <v>0</v>
      </c>
      <c r="D59" s="83">
        <v>0</v>
      </c>
      <c r="E59" s="92"/>
      <c r="F59" s="83"/>
      <c r="G59" s="92"/>
      <c r="H59" s="83"/>
      <c r="I59" s="92"/>
      <c r="J59" s="83"/>
      <c r="K59" s="92"/>
      <c r="L59" s="83"/>
    </row>
    <row r="60" spans="1:12" ht="25.5" x14ac:dyDescent="0.25">
      <c r="A60" s="63" t="s">
        <v>168</v>
      </c>
      <c r="B60" s="64" t="s">
        <v>174</v>
      </c>
      <c r="C60" s="23">
        <f t="shared" si="37"/>
        <v>143400</v>
      </c>
      <c r="D60" s="23">
        <f t="shared" ref="D60:L60" si="43">SUM(D61:D63)</f>
        <v>73400</v>
      </c>
      <c r="E60" s="32">
        <f t="shared" si="43"/>
        <v>70000</v>
      </c>
      <c r="F60" s="27">
        <f t="shared" si="43"/>
        <v>0</v>
      </c>
      <c r="G60" s="32">
        <f t="shared" si="43"/>
        <v>0</v>
      </c>
      <c r="H60" s="27">
        <f t="shared" si="43"/>
        <v>0</v>
      </c>
      <c r="I60" s="32">
        <f t="shared" si="43"/>
        <v>0</v>
      </c>
      <c r="J60" s="27">
        <f t="shared" si="43"/>
        <v>0</v>
      </c>
      <c r="K60" s="32">
        <f t="shared" si="43"/>
        <v>0</v>
      </c>
      <c r="L60" s="23">
        <f t="shared" si="43"/>
        <v>0</v>
      </c>
    </row>
    <row r="61" spans="1:12" ht="38.25" x14ac:dyDescent="0.25">
      <c r="A61" s="68" t="s">
        <v>169</v>
      </c>
      <c r="B61" s="26" t="s">
        <v>175</v>
      </c>
      <c r="C61" s="23">
        <f t="shared" si="37"/>
        <v>39900</v>
      </c>
      <c r="D61" s="69">
        <v>69900</v>
      </c>
      <c r="E61" s="11">
        <v>-30000</v>
      </c>
      <c r="F61" s="67">
        <v>0</v>
      </c>
      <c r="G61" s="11">
        <v>0</v>
      </c>
      <c r="H61" s="67">
        <v>0</v>
      </c>
      <c r="I61" s="11">
        <v>0</v>
      </c>
      <c r="J61" s="67">
        <v>0</v>
      </c>
      <c r="K61" s="11">
        <v>0</v>
      </c>
      <c r="L61" s="67">
        <v>0</v>
      </c>
    </row>
    <row r="62" spans="1:12" ht="25.5" x14ac:dyDescent="0.25">
      <c r="A62" s="68" t="s">
        <v>170</v>
      </c>
      <c r="B62" s="26" t="s">
        <v>176</v>
      </c>
      <c r="C62" s="23">
        <f t="shared" ref="C62" si="44">SUM(D62:L62)</f>
        <v>3500</v>
      </c>
      <c r="D62" s="69">
        <v>3500</v>
      </c>
      <c r="E62" s="11">
        <v>0</v>
      </c>
      <c r="F62" s="67">
        <v>0</v>
      </c>
      <c r="G62" s="11">
        <v>0</v>
      </c>
      <c r="H62" s="67">
        <v>0</v>
      </c>
      <c r="I62" s="11">
        <v>0</v>
      </c>
      <c r="J62" s="67">
        <v>0</v>
      </c>
      <c r="K62" s="11">
        <v>0</v>
      </c>
      <c r="L62" s="67">
        <v>0</v>
      </c>
    </row>
    <row r="63" spans="1:12" ht="51" x14ac:dyDescent="0.25">
      <c r="A63" s="68" t="s">
        <v>844</v>
      </c>
      <c r="B63" s="26" t="s">
        <v>845</v>
      </c>
      <c r="C63" s="23">
        <f t="shared" ref="C63" si="45">SUM(D63:L63)</f>
        <v>100000</v>
      </c>
      <c r="D63" s="69">
        <v>0</v>
      </c>
      <c r="E63" s="11">
        <v>100000</v>
      </c>
      <c r="F63" s="67">
        <v>0</v>
      </c>
      <c r="G63" s="11">
        <v>0</v>
      </c>
      <c r="H63" s="67">
        <v>0</v>
      </c>
      <c r="I63" s="11">
        <v>0</v>
      </c>
      <c r="J63" s="67">
        <v>0</v>
      </c>
      <c r="K63" s="11">
        <v>0</v>
      </c>
      <c r="L63" s="67">
        <v>0</v>
      </c>
    </row>
    <row r="64" spans="1:12" x14ac:dyDescent="0.25">
      <c r="A64" s="93" t="s">
        <v>109</v>
      </c>
      <c r="B64" s="94" t="s">
        <v>118</v>
      </c>
      <c r="C64" s="101">
        <f t="shared" ref="C64:C75" si="46">SUM(D64:L64)</f>
        <v>5116963</v>
      </c>
      <c r="D64" s="101">
        <f>D65+D68+D70+D73</f>
        <v>3333494</v>
      </c>
      <c r="E64" s="102">
        <f>E65+E68+E70+E73</f>
        <v>69413</v>
      </c>
      <c r="F64" s="101">
        <f t="shared" ref="F64:L64" si="47">F65+F68+F70+F73</f>
        <v>0</v>
      </c>
      <c r="G64" s="102">
        <f t="shared" si="47"/>
        <v>0</v>
      </c>
      <c r="H64" s="101">
        <f t="shared" si="47"/>
        <v>1682234</v>
      </c>
      <c r="I64" s="102">
        <f t="shared" si="47"/>
        <v>0</v>
      </c>
      <c r="J64" s="101">
        <f t="shared" si="47"/>
        <v>0</v>
      </c>
      <c r="K64" s="102">
        <f t="shared" si="47"/>
        <v>0</v>
      </c>
      <c r="L64" s="101">
        <f t="shared" si="47"/>
        <v>31822</v>
      </c>
    </row>
    <row r="65" spans="1:12" x14ac:dyDescent="0.25">
      <c r="A65" s="63" t="s">
        <v>177</v>
      </c>
      <c r="B65" s="64" t="s">
        <v>183</v>
      </c>
      <c r="C65" s="23">
        <f t="shared" si="46"/>
        <v>1709541</v>
      </c>
      <c r="D65" s="23">
        <f>SUM(D66:D67)</f>
        <v>1694094</v>
      </c>
      <c r="E65" s="24">
        <f t="shared" ref="E65:L65" si="48">SUM(E66:E67)</f>
        <v>15447</v>
      </c>
      <c r="F65" s="23">
        <f t="shared" si="48"/>
        <v>0</v>
      </c>
      <c r="G65" s="24">
        <f t="shared" si="48"/>
        <v>0</v>
      </c>
      <c r="H65" s="23">
        <f t="shared" si="48"/>
        <v>0</v>
      </c>
      <c r="I65" s="24">
        <f t="shared" si="48"/>
        <v>0</v>
      </c>
      <c r="J65" s="23">
        <f t="shared" si="48"/>
        <v>0</v>
      </c>
      <c r="K65" s="24">
        <f t="shared" si="48"/>
        <v>0</v>
      </c>
      <c r="L65" s="23">
        <f t="shared" si="48"/>
        <v>0</v>
      </c>
    </row>
    <row r="66" spans="1:12" ht="38.25" x14ac:dyDescent="0.25">
      <c r="A66" s="68" t="s">
        <v>178</v>
      </c>
      <c r="B66" s="26" t="s">
        <v>187</v>
      </c>
      <c r="C66" s="23">
        <f t="shared" si="46"/>
        <v>1173757</v>
      </c>
      <c r="D66" s="69">
        <v>1158310</v>
      </c>
      <c r="E66" s="11">
        <v>15447</v>
      </c>
      <c r="F66" s="67">
        <v>0</v>
      </c>
      <c r="G66" s="12">
        <v>0</v>
      </c>
      <c r="H66" s="67">
        <v>0</v>
      </c>
      <c r="I66" s="12">
        <v>0</v>
      </c>
      <c r="J66" s="67">
        <v>0</v>
      </c>
      <c r="K66" s="12">
        <v>0</v>
      </c>
      <c r="L66" s="67">
        <v>0</v>
      </c>
    </row>
    <row r="67" spans="1:12" ht="25.5" x14ac:dyDescent="0.25">
      <c r="A67" s="68" t="s">
        <v>179</v>
      </c>
      <c r="B67" s="26" t="s">
        <v>186</v>
      </c>
      <c r="C67" s="23">
        <f t="shared" si="46"/>
        <v>535784</v>
      </c>
      <c r="D67" s="69">
        <v>535784</v>
      </c>
      <c r="E67" s="11">
        <v>0</v>
      </c>
      <c r="F67" s="67">
        <v>0</v>
      </c>
      <c r="G67" s="11">
        <v>0</v>
      </c>
      <c r="H67" s="67">
        <v>0</v>
      </c>
      <c r="I67" s="11">
        <v>0</v>
      </c>
      <c r="J67" s="67">
        <v>0</v>
      </c>
      <c r="K67" s="11">
        <v>0</v>
      </c>
      <c r="L67" s="67">
        <v>0</v>
      </c>
    </row>
    <row r="68" spans="1:12" x14ac:dyDescent="0.25">
      <c r="A68" s="63" t="s">
        <v>484</v>
      </c>
      <c r="B68" s="64" t="s">
        <v>184</v>
      </c>
      <c r="C68" s="27">
        <f>SUM(D68:L68)</f>
        <v>669475</v>
      </c>
      <c r="D68" s="27">
        <f>D69</f>
        <v>636420</v>
      </c>
      <c r="E68" s="32">
        <f t="shared" ref="E68" si="49">E69</f>
        <v>33055</v>
      </c>
      <c r="F68" s="27">
        <f t="shared" ref="F68" si="50">F69</f>
        <v>0</v>
      </c>
      <c r="G68" s="32">
        <f t="shared" ref="G68" si="51">G69</f>
        <v>0</v>
      </c>
      <c r="H68" s="27">
        <f t="shared" ref="H68" si="52">H69</f>
        <v>0</v>
      </c>
      <c r="I68" s="32">
        <f t="shared" ref="I68" si="53">I69</f>
        <v>0</v>
      </c>
      <c r="J68" s="27">
        <f t="shared" ref="J68" si="54">J69</f>
        <v>0</v>
      </c>
      <c r="K68" s="32">
        <f t="shared" ref="K68" si="55">K69</f>
        <v>0</v>
      </c>
      <c r="L68" s="27">
        <f t="shared" ref="L68" si="56">L69</f>
        <v>0</v>
      </c>
    </row>
    <row r="69" spans="1:12" x14ac:dyDescent="0.25">
      <c r="A69" s="68" t="s">
        <v>180</v>
      </c>
      <c r="B69" s="26" t="s">
        <v>184</v>
      </c>
      <c r="C69" s="23">
        <f t="shared" si="46"/>
        <v>669475</v>
      </c>
      <c r="D69" s="69">
        <v>636420</v>
      </c>
      <c r="E69" s="11">
        <f>47368-14313</f>
        <v>33055</v>
      </c>
      <c r="F69" s="67">
        <v>0</v>
      </c>
      <c r="G69" s="11">
        <v>0</v>
      </c>
      <c r="H69" s="67">
        <v>0</v>
      </c>
      <c r="I69" s="11">
        <v>0</v>
      </c>
      <c r="J69" s="67">
        <v>0</v>
      </c>
      <c r="K69" s="11">
        <v>0</v>
      </c>
      <c r="L69" s="67">
        <v>0</v>
      </c>
    </row>
    <row r="70" spans="1:12" ht="25.5" x14ac:dyDescent="0.25">
      <c r="A70" s="71" t="s">
        <v>181</v>
      </c>
      <c r="B70" s="72" t="s">
        <v>485</v>
      </c>
      <c r="C70" s="27">
        <f>SUM(D70:L70)</f>
        <v>2393587</v>
      </c>
      <c r="D70" s="27">
        <f t="shared" ref="D70:L70" si="57">SUM(D71:D72)</f>
        <v>1002980</v>
      </c>
      <c r="E70" s="32">
        <f t="shared" si="57"/>
        <v>910</v>
      </c>
      <c r="F70" s="27">
        <f t="shared" si="57"/>
        <v>0</v>
      </c>
      <c r="G70" s="32">
        <f t="shared" si="57"/>
        <v>0</v>
      </c>
      <c r="H70" s="27">
        <f t="shared" si="57"/>
        <v>1357875</v>
      </c>
      <c r="I70" s="32">
        <f t="shared" si="57"/>
        <v>0</v>
      </c>
      <c r="J70" s="27">
        <f t="shared" si="57"/>
        <v>0</v>
      </c>
      <c r="K70" s="32">
        <f t="shared" si="57"/>
        <v>0</v>
      </c>
      <c r="L70" s="27">
        <f t="shared" si="57"/>
        <v>31822</v>
      </c>
    </row>
    <row r="71" spans="1:12" ht="38.25" x14ac:dyDescent="0.25">
      <c r="A71" s="65" t="s">
        <v>786</v>
      </c>
      <c r="B71" s="66" t="s">
        <v>809</v>
      </c>
      <c r="C71" s="27">
        <f t="shared" ref="C71" si="58">SUM(D71:L71)</f>
        <v>57739</v>
      </c>
      <c r="D71" s="67">
        <v>25007</v>
      </c>
      <c r="E71" s="11">
        <f>5509-4599</f>
        <v>910</v>
      </c>
      <c r="F71" s="67">
        <v>0</v>
      </c>
      <c r="G71" s="11">
        <v>0</v>
      </c>
      <c r="H71" s="67">
        <v>0</v>
      </c>
      <c r="I71" s="11">
        <v>0</v>
      </c>
      <c r="J71" s="67">
        <v>0</v>
      </c>
      <c r="K71" s="11">
        <v>0</v>
      </c>
      <c r="L71" s="67">
        <v>31822</v>
      </c>
    </row>
    <row r="72" spans="1:12" ht="51" x14ac:dyDescent="0.25">
      <c r="A72" s="65" t="s">
        <v>390</v>
      </c>
      <c r="B72" s="66" t="s">
        <v>391</v>
      </c>
      <c r="C72" s="27">
        <f t="shared" si="46"/>
        <v>2335848</v>
      </c>
      <c r="D72" s="67">
        <v>977973</v>
      </c>
      <c r="E72" s="11">
        <v>0</v>
      </c>
      <c r="F72" s="67">
        <v>0</v>
      </c>
      <c r="G72" s="11">
        <v>0</v>
      </c>
      <c r="H72" s="67">
        <v>1357875</v>
      </c>
      <c r="I72" s="11">
        <v>0</v>
      </c>
      <c r="J72" s="67">
        <v>0</v>
      </c>
      <c r="K72" s="11">
        <v>0</v>
      </c>
      <c r="L72" s="67">
        <v>0</v>
      </c>
    </row>
    <row r="73" spans="1:12" ht="25.5" x14ac:dyDescent="0.25">
      <c r="A73" s="63" t="s">
        <v>182</v>
      </c>
      <c r="B73" s="64" t="s">
        <v>185</v>
      </c>
      <c r="C73" s="23">
        <f t="shared" si="46"/>
        <v>344360</v>
      </c>
      <c r="D73" s="23">
        <f>SUM(D74:D75)</f>
        <v>0</v>
      </c>
      <c r="E73" s="32">
        <f t="shared" ref="E73:L73" si="59">SUM(E74:E75)</f>
        <v>20001</v>
      </c>
      <c r="F73" s="27">
        <f t="shared" si="59"/>
        <v>0</v>
      </c>
      <c r="G73" s="32">
        <f t="shared" si="59"/>
        <v>0</v>
      </c>
      <c r="H73" s="27">
        <f t="shared" si="59"/>
        <v>324359</v>
      </c>
      <c r="I73" s="32">
        <f t="shared" si="59"/>
        <v>0</v>
      </c>
      <c r="J73" s="27">
        <f t="shared" si="59"/>
        <v>0</v>
      </c>
      <c r="K73" s="32">
        <f t="shared" si="59"/>
        <v>0</v>
      </c>
      <c r="L73" s="27">
        <f t="shared" si="59"/>
        <v>0</v>
      </c>
    </row>
    <row r="74" spans="1:12" ht="76.5" x14ac:dyDescent="0.25">
      <c r="A74" s="68" t="s">
        <v>375</v>
      </c>
      <c r="B74" s="26" t="s">
        <v>407</v>
      </c>
      <c r="C74" s="104">
        <f t="shared" ref="C74" si="60">SUM(D74:L74)</f>
        <v>324359</v>
      </c>
      <c r="D74" s="105">
        <v>0</v>
      </c>
      <c r="E74" s="106">
        <v>0</v>
      </c>
      <c r="F74" s="67">
        <v>0</v>
      </c>
      <c r="G74" s="106">
        <v>0</v>
      </c>
      <c r="H74" s="67">
        <v>324359</v>
      </c>
      <c r="I74" s="106">
        <v>0</v>
      </c>
      <c r="J74" s="67">
        <v>0</v>
      </c>
      <c r="K74" s="106">
        <v>0</v>
      </c>
      <c r="L74" s="74">
        <v>0</v>
      </c>
    </row>
    <row r="75" spans="1:12" ht="38.25" x14ac:dyDescent="0.25">
      <c r="A75" s="68" t="s">
        <v>846</v>
      </c>
      <c r="B75" s="66" t="s">
        <v>847</v>
      </c>
      <c r="C75" s="115">
        <f t="shared" si="46"/>
        <v>20001</v>
      </c>
      <c r="D75" s="74">
        <v>0</v>
      </c>
      <c r="E75" s="106">
        <v>20001</v>
      </c>
      <c r="F75" s="67">
        <v>0</v>
      </c>
      <c r="G75" s="106">
        <v>0</v>
      </c>
      <c r="H75" s="67">
        <v>0</v>
      </c>
      <c r="I75" s="106">
        <v>0</v>
      </c>
      <c r="J75" s="67">
        <v>0</v>
      </c>
      <c r="K75" s="106">
        <v>0</v>
      </c>
      <c r="L75" s="74">
        <v>0</v>
      </c>
    </row>
    <row r="76" spans="1:12" ht="25.5" x14ac:dyDescent="0.25">
      <c r="A76" s="93" t="s">
        <v>110</v>
      </c>
      <c r="B76" s="94" t="s">
        <v>119</v>
      </c>
      <c r="C76" s="101">
        <f>SUM(D76:L76)</f>
        <v>5587586</v>
      </c>
      <c r="D76" s="101">
        <f>D77+D79+D82</f>
        <v>4721684</v>
      </c>
      <c r="E76" s="102">
        <f t="shared" ref="E76:L76" si="61">E77+E79+E82</f>
        <v>410269</v>
      </c>
      <c r="F76" s="101">
        <f t="shared" si="61"/>
        <v>80690</v>
      </c>
      <c r="G76" s="102">
        <f t="shared" si="61"/>
        <v>26536</v>
      </c>
      <c r="H76" s="101">
        <f t="shared" si="61"/>
        <v>320357</v>
      </c>
      <c r="I76" s="102">
        <f t="shared" si="61"/>
        <v>0</v>
      </c>
      <c r="J76" s="101">
        <f t="shared" si="61"/>
        <v>0</v>
      </c>
      <c r="K76" s="102">
        <f t="shared" si="61"/>
        <v>0</v>
      </c>
      <c r="L76" s="101">
        <f t="shared" si="61"/>
        <v>28050</v>
      </c>
    </row>
    <row r="77" spans="1:12" x14ac:dyDescent="0.25">
      <c r="A77" s="63" t="s">
        <v>486</v>
      </c>
      <c r="B77" s="64" t="s">
        <v>487</v>
      </c>
      <c r="C77" s="27">
        <f t="shared" ref="C77" si="62">SUM(D77:L77)</f>
        <v>703281</v>
      </c>
      <c r="D77" s="27">
        <f>D78</f>
        <v>703281</v>
      </c>
      <c r="E77" s="32">
        <f t="shared" ref="E77:L77" si="63">E78</f>
        <v>0</v>
      </c>
      <c r="F77" s="27">
        <f t="shared" si="63"/>
        <v>0</v>
      </c>
      <c r="G77" s="32">
        <f t="shared" si="63"/>
        <v>0</v>
      </c>
      <c r="H77" s="27">
        <f t="shared" si="63"/>
        <v>0</v>
      </c>
      <c r="I77" s="32">
        <f t="shared" si="63"/>
        <v>0</v>
      </c>
      <c r="J77" s="27">
        <f t="shared" si="63"/>
        <v>0</v>
      </c>
      <c r="K77" s="32">
        <f t="shared" si="63"/>
        <v>0</v>
      </c>
      <c r="L77" s="27">
        <f t="shared" si="63"/>
        <v>0</v>
      </c>
    </row>
    <row r="78" spans="1:12" ht="25.5" x14ac:dyDescent="0.25">
      <c r="A78" s="68" t="s">
        <v>188</v>
      </c>
      <c r="B78" s="26" t="s">
        <v>198</v>
      </c>
      <c r="C78" s="23">
        <f>SUM(D78:L78)</f>
        <v>703281</v>
      </c>
      <c r="D78" s="69">
        <v>703281</v>
      </c>
      <c r="E78" s="11">
        <v>0</v>
      </c>
      <c r="F78" s="67">
        <v>0</v>
      </c>
      <c r="G78" s="11">
        <v>0</v>
      </c>
      <c r="H78" s="67">
        <v>0</v>
      </c>
      <c r="I78" s="11">
        <v>0</v>
      </c>
      <c r="J78" s="67">
        <v>0</v>
      </c>
      <c r="K78" s="12">
        <v>0</v>
      </c>
      <c r="L78" s="67">
        <v>0</v>
      </c>
    </row>
    <row r="79" spans="1:12" x14ac:dyDescent="0.25">
      <c r="A79" s="63" t="s">
        <v>488</v>
      </c>
      <c r="B79" s="64" t="s">
        <v>196</v>
      </c>
      <c r="C79" s="27">
        <f t="shared" ref="C79" si="64">SUM(D79:L79)</f>
        <v>1912313</v>
      </c>
      <c r="D79" s="27">
        <f>D80+D81</f>
        <v>1310407</v>
      </c>
      <c r="E79" s="32">
        <f t="shared" ref="E79:L79" si="65">E80+E81</f>
        <v>281549</v>
      </c>
      <c r="F79" s="27">
        <f t="shared" si="65"/>
        <v>0</v>
      </c>
      <c r="G79" s="32">
        <f t="shared" si="65"/>
        <v>0</v>
      </c>
      <c r="H79" s="27">
        <f t="shared" si="65"/>
        <v>320357</v>
      </c>
      <c r="I79" s="32">
        <f t="shared" si="65"/>
        <v>0</v>
      </c>
      <c r="J79" s="27">
        <f t="shared" si="65"/>
        <v>0</v>
      </c>
      <c r="K79" s="32">
        <f t="shared" si="65"/>
        <v>0</v>
      </c>
      <c r="L79" s="27">
        <f t="shared" si="65"/>
        <v>0</v>
      </c>
    </row>
    <row r="80" spans="1:12" x14ac:dyDescent="0.25">
      <c r="A80" s="68" t="s">
        <v>189</v>
      </c>
      <c r="B80" s="26" t="s">
        <v>196</v>
      </c>
      <c r="C80" s="23">
        <f>SUM(D80:L80)</f>
        <v>743413</v>
      </c>
      <c r="D80" s="69">
        <v>693609</v>
      </c>
      <c r="E80" s="11">
        <v>49804</v>
      </c>
      <c r="F80" s="67">
        <v>0</v>
      </c>
      <c r="G80" s="11">
        <v>0</v>
      </c>
      <c r="H80" s="67">
        <v>0</v>
      </c>
      <c r="I80" s="11">
        <v>0</v>
      </c>
      <c r="J80" s="67">
        <v>0</v>
      </c>
      <c r="K80" s="12">
        <v>0</v>
      </c>
      <c r="L80" s="67">
        <v>0</v>
      </c>
    </row>
    <row r="81" spans="1:12" ht="64.5" customHeight="1" x14ac:dyDescent="0.25">
      <c r="A81" s="68" t="s">
        <v>489</v>
      </c>
      <c r="B81" s="26" t="s">
        <v>490</v>
      </c>
      <c r="C81" s="23">
        <f>SUM(D81:L81)</f>
        <v>1168900</v>
      </c>
      <c r="D81" s="69">
        <v>616798</v>
      </c>
      <c r="E81" s="11">
        <v>231745</v>
      </c>
      <c r="F81" s="67">
        <v>0</v>
      </c>
      <c r="G81" s="11">
        <v>0</v>
      </c>
      <c r="H81" s="67">
        <v>320357</v>
      </c>
      <c r="I81" s="11">
        <v>0</v>
      </c>
      <c r="J81" s="67">
        <v>0</v>
      </c>
      <c r="K81" s="12">
        <v>0</v>
      </c>
      <c r="L81" s="67">
        <v>0</v>
      </c>
    </row>
    <row r="82" spans="1:12" ht="38.25" x14ac:dyDescent="0.25">
      <c r="A82" s="63" t="s">
        <v>190</v>
      </c>
      <c r="B82" s="64" t="s">
        <v>491</v>
      </c>
      <c r="C82" s="23">
        <f>SUM(D82:L82)</f>
        <v>2971992</v>
      </c>
      <c r="D82" s="23">
        <f>SUM(D83:D89)</f>
        <v>2707996</v>
      </c>
      <c r="E82" s="32">
        <f t="shared" ref="E82:L82" si="66">SUM(E83:E89)</f>
        <v>128720</v>
      </c>
      <c r="F82" s="27">
        <f t="shared" si="66"/>
        <v>80690</v>
      </c>
      <c r="G82" s="32">
        <f t="shared" si="66"/>
        <v>26536</v>
      </c>
      <c r="H82" s="27">
        <f t="shared" si="66"/>
        <v>0</v>
      </c>
      <c r="I82" s="32">
        <f t="shared" si="66"/>
        <v>0</v>
      </c>
      <c r="J82" s="23">
        <f t="shared" si="66"/>
        <v>0</v>
      </c>
      <c r="K82" s="24">
        <f t="shared" si="66"/>
        <v>0</v>
      </c>
      <c r="L82" s="23">
        <f t="shared" si="66"/>
        <v>28050</v>
      </c>
    </row>
    <row r="83" spans="1:12" ht="25.5" x14ac:dyDescent="0.25">
      <c r="A83" s="68" t="s">
        <v>191</v>
      </c>
      <c r="B83" s="26" t="s">
        <v>347</v>
      </c>
      <c r="C83" s="23">
        <f>SUM(D83:L83)</f>
        <v>998579</v>
      </c>
      <c r="D83" s="69">
        <v>890901</v>
      </c>
      <c r="E83" s="11">
        <v>42000</v>
      </c>
      <c r="F83" s="67">
        <v>77635</v>
      </c>
      <c r="G83" s="11">
        <v>-13464</v>
      </c>
      <c r="H83" s="67">
        <v>0</v>
      </c>
      <c r="I83" s="11">
        <v>0</v>
      </c>
      <c r="J83" s="67">
        <v>0</v>
      </c>
      <c r="K83" s="12">
        <v>0</v>
      </c>
      <c r="L83" s="69">
        <v>1507</v>
      </c>
    </row>
    <row r="84" spans="1:12" ht="38.25" x14ac:dyDescent="0.25">
      <c r="A84" s="68" t="s">
        <v>192</v>
      </c>
      <c r="B84" s="26" t="s">
        <v>323</v>
      </c>
      <c r="C84" s="23">
        <f t="shared" ref="C84:C87" si="67">SUM(D84:L84)</f>
        <v>1311875</v>
      </c>
      <c r="D84" s="69">
        <v>1271561</v>
      </c>
      <c r="E84" s="11">
        <v>40314</v>
      </c>
      <c r="F84" s="67">
        <v>0</v>
      </c>
      <c r="G84" s="11">
        <v>0</v>
      </c>
      <c r="H84" s="67">
        <v>0</v>
      </c>
      <c r="I84" s="11">
        <v>0</v>
      </c>
      <c r="J84" s="67">
        <v>0</v>
      </c>
      <c r="K84" s="12">
        <v>0</v>
      </c>
      <c r="L84" s="67">
        <v>0</v>
      </c>
    </row>
    <row r="85" spans="1:12" ht="25.5" x14ac:dyDescent="0.25">
      <c r="A85" s="68" t="s">
        <v>193</v>
      </c>
      <c r="B85" s="26" t="s">
        <v>492</v>
      </c>
      <c r="C85" s="23">
        <f t="shared" si="67"/>
        <v>230491</v>
      </c>
      <c r="D85" s="69">
        <v>222958</v>
      </c>
      <c r="E85" s="11">
        <v>7533</v>
      </c>
      <c r="F85" s="67">
        <v>0</v>
      </c>
      <c r="G85" s="11">
        <v>0</v>
      </c>
      <c r="H85" s="67">
        <v>0</v>
      </c>
      <c r="I85" s="11">
        <v>0</v>
      </c>
      <c r="J85" s="67">
        <v>0</v>
      </c>
      <c r="K85" s="12">
        <v>0</v>
      </c>
      <c r="L85" s="67">
        <v>0</v>
      </c>
    </row>
    <row r="86" spans="1:12" ht="38.25" x14ac:dyDescent="0.25">
      <c r="A86" s="68" t="s">
        <v>194</v>
      </c>
      <c r="B86" s="26" t="s">
        <v>197</v>
      </c>
      <c r="C86" s="23">
        <f t="shared" si="67"/>
        <v>397073</v>
      </c>
      <c r="D86" s="69">
        <v>297853</v>
      </c>
      <c r="E86" s="11">
        <v>38873</v>
      </c>
      <c r="F86" s="67">
        <v>0</v>
      </c>
      <c r="G86" s="11">
        <v>40000</v>
      </c>
      <c r="H86" s="67">
        <v>0</v>
      </c>
      <c r="I86" s="11">
        <v>0</v>
      </c>
      <c r="J86" s="67">
        <v>0</v>
      </c>
      <c r="K86" s="12">
        <v>0</v>
      </c>
      <c r="L86" s="69">
        <v>20347</v>
      </c>
    </row>
    <row r="87" spans="1:12" ht="38.25" x14ac:dyDescent="0.25">
      <c r="A87" s="68" t="s">
        <v>195</v>
      </c>
      <c r="B87" s="26" t="s">
        <v>324</v>
      </c>
      <c r="C87" s="23">
        <f t="shared" si="67"/>
        <v>9500</v>
      </c>
      <c r="D87" s="69">
        <v>9500</v>
      </c>
      <c r="E87" s="11">
        <v>0</v>
      </c>
      <c r="F87" s="67">
        <v>0</v>
      </c>
      <c r="G87" s="11">
        <v>0</v>
      </c>
      <c r="H87" s="67">
        <v>0</v>
      </c>
      <c r="I87" s="11">
        <v>0</v>
      </c>
      <c r="J87" s="67">
        <v>0</v>
      </c>
      <c r="K87" s="12">
        <v>0</v>
      </c>
      <c r="L87" s="67">
        <v>0</v>
      </c>
    </row>
    <row r="88" spans="1:12" ht="63.75" x14ac:dyDescent="0.25">
      <c r="A88" s="68" t="s">
        <v>338</v>
      </c>
      <c r="B88" s="26" t="s">
        <v>339</v>
      </c>
      <c r="C88" s="23">
        <f t="shared" ref="C88:C89" si="68">SUM(D88:L88)</f>
        <v>15000</v>
      </c>
      <c r="D88" s="69">
        <v>15000</v>
      </c>
      <c r="E88" s="11">
        <v>0</v>
      </c>
      <c r="F88" s="67">
        <v>0</v>
      </c>
      <c r="G88" s="11">
        <v>0</v>
      </c>
      <c r="H88" s="67">
        <v>0</v>
      </c>
      <c r="I88" s="12">
        <v>0</v>
      </c>
      <c r="J88" s="67">
        <v>0</v>
      </c>
      <c r="K88" s="12">
        <v>0</v>
      </c>
      <c r="L88" s="67">
        <v>0</v>
      </c>
    </row>
    <row r="89" spans="1:12" ht="51" x14ac:dyDescent="0.25">
      <c r="A89" s="68" t="s">
        <v>381</v>
      </c>
      <c r="B89" s="26" t="s">
        <v>410</v>
      </c>
      <c r="C89" s="23">
        <f t="shared" si="68"/>
        <v>9474</v>
      </c>
      <c r="D89" s="69">
        <v>223</v>
      </c>
      <c r="E89" s="11">
        <v>0</v>
      </c>
      <c r="F89" s="67">
        <v>3055</v>
      </c>
      <c r="G89" s="11">
        <v>0</v>
      </c>
      <c r="H89" s="67">
        <v>0</v>
      </c>
      <c r="I89" s="12">
        <v>0</v>
      </c>
      <c r="J89" s="67">
        <v>0</v>
      </c>
      <c r="K89" s="12">
        <v>0</v>
      </c>
      <c r="L89" s="69">
        <v>6196</v>
      </c>
    </row>
    <row r="90" spans="1:12" x14ac:dyDescent="0.25">
      <c r="A90" s="93" t="s">
        <v>111</v>
      </c>
      <c r="B90" s="94" t="s">
        <v>120</v>
      </c>
      <c r="C90" s="101">
        <f>SUM(D90:L90)</f>
        <v>267433</v>
      </c>
      <c r="D90" s="101">
        <f t="shared" ref="D90:K90" si="69">SUM(D91:D96)</f>
        <v>132250</v>
      </c>
      <c r="E90" s="102">
        <f t="shared" si="69"/>
        <v>20000</v>
      </c>
      <c r="F90" s="101">
        <f t="shared" si="69"/>
        <v>0</v>
      </c>
      <c r="G90" s="102">
        <f t="shared" si="69"/>
        <v>0</v>
      </c>
      <c r="H90" s="101">
        <f t="shared" si="69"/>
        <v>63802</v>
      </c>
      <c r="I90" s="102">
        <f t="shared" si="69"/>
        <v>21193</v>
      </c>
      <c r="J90" s="101">
        <f t="shared" si="69"/>
        <v>0</v>
      </c>
      <c r="K90" s="102">
        <f t="shared" si="69"/>
        <v>0</v>
      </c>
      <c r="L90" s="101">
        <f>SUM(L91:L96)</f>
        <v>30188</v>
      </c>
    </row>
    <row r="91" spans="1:12" x14ac:dyDescent="0.25">
      <c r="A91" s="68" t="s">
        <v>199</v>
      </c>
      <c r="B91" s="26" t="s">
        <v>203</v>
      </c>
      <c r="C91" s="23">
        <f>SUM(D91:L91)</f>
        <v>72600</v>
      </c>
      <c r="D91" s="69">
        <v>67600</v>
      </c>
      <c r="E91" s="11">
        <v>5000</v>
      </c>
      <c r="F91" s="67">
        <v>0</v>
      </c>
      <c r="G91" s="11">
        <v>0</v>
      </c>
      <c r="H91" s="67">
        <v>0</v>
      </c>
      <c r="I91" s="11">
        <v>0</v>
      </c>
      <c r="J91" s="67">
        <v>0</v>
      </c>
      <c r="K91" s="11">
        <v>0</v>
      </c>
      <c r="L91" s="67">
        <v>0</v>
      </c>
    </row>
    <row r="92" spans="1:12" ht="25.5" x14ac:dyDescent="0.25">
      <c r="A92" s="68" t="s">
        <v>200</v>
      </c>
      <c r="B92" s="26" t="s">
        <v>204</v>
      </c>
      <c r="C92" s="23">
        <f t="shared" ref="C92:C96" si="70">SUM(D92:L92)</f>
        <v>12400</v>
      </c>
      <c r="D92" s="69">
        <v>12400</v>
      </c>
      <c r="E92" s="11">
        <v>0</v>
      </c>
      <c r="F92" s="67">
        <v>0</v>
      </c>
      <c r="G92" s="11">
        <v>0</v>
      </c>
      <c r="H92" s="67">
        <v>0</v>
      </c>
      <c r="I92" s="11">
        <v>0</v>
      </c>
      <c r="J92" s="67">
        <v>0</v>
      </c>
      <c r="K92" s="11">
        <v>0</v>
      </c>
      <c r="L92" s="67">
        <v>0</v>
      </c>
    </row>
    <row r="93" spans="1:12" x14ac:dyDescent="0.25">
      <c r="A93" s="68" t="s">
        <v>201</v>
      </c>
      <c r="B93" s="26" t="s">
        <v>205</v>
      </c>
      <c r="C93" s="23">
        <f t="shared" si="70"/>
        <v>32500</v>
      </c>
      <c r="D93" s="69">
        <v>37500</v>
      </c>
      <c r="E93" s="11">
        <v>-5000</v>
      </c>
      <c r="F93" s="67">
        <v>0</v>
      </c>
      <c r="G93" s="11">
        <v>0</v>
      </c>
      <c r="H93" s="67">
        <v>0</v>
      </c>
      <c r="I93" s="11">
        <v>0</v>
      </c>
      <c r="J93" s="67">
        <v>0</v>
      </c>
      <c r="K93" s="11">
        <v>0</v>
      </c>
      <c r="L93" s="67">
        <v>0</v>
      </c>
    </row>
    <row r="94" spans="1:12" x14ac:dyDescent="0.25">
      <c r="A94" s="68" t="s">
        <v>202</v>
      </c>
      <c r="B94" s="26" t="s">
        <v>206</v>
      </c>
      <c r="C94" s="23">
        <f t="shared" si="70"/>
        <v>4750</v>
      </c>
      <c r="D94" s="69">
        <v>4750</v>
      </c>
      <c r="E94" s="11">
        <v>0</v>
      </c>
      <c r="F94" s="67">
        <v>0</v>
      </c>
      <c r="G94" s="11">
        <v>0</v>
      </c>
      <c r="H94" s="67">
        <v>0</v>
      </c>
      <c r="I94" s="11">
        <v>0</v>
      </c>
      <c r="J94" s="67">
        <v>0</v>
      </c>
      <c r="K94" s="11">
        <v>0</v>
      </c>
      <c r="L94" s="67">
        <v>0</v>
      </c>
    </row>
    <row r="95" spans="1:12" ht="54" customHeight="1" x14ac:dyDescent="0.25">
      <c r="A95" s="68" t="s">
        <v>370</v>
      </c>
      <c r="B95" s="26" t="s">
        <v>403</v>
      </c>
      <c r="C95" s="23">
        <f t="shared" si="70"/>
        <v>135183</v>
      </c>
      <c r="D95" s="69">
        <v>0</v>
      </c>
      <c r="E95" s="11">
        <v>20000</v>
      </c>
      <c r="F95" s="67">
        <v>0</v>
      </c>
      <c r="G95" s="11">
        <v>0</v>
      </c>
      <c r="H95" s="67">
        <v>63802</v>
      </c>
      <c r="I95" s="11">
        <v>21193</v>
      </c>
      <c r="J95" s="67">
        <v>0</v>
      </c>
      <c r="K95" s="11">
        <v>0</v>
      </c>
      <c r="L95" s="69">
        <v>30188</v>
      </c>
    </row>
    <row r="96" spans="1:12" ht="25.5" x14ac:dyDescent="0.25">
      <c r="A96" s="68" t="s">
        <v>415</v>
      </c>
      <c r="B96" s="26" t="s">
        <v>420</v>
      </c>
      <c r="C96" s="23">
        <f t="shared" si="70"/>
        <v>10000</v>
      </c>
      <c r="D96" s="69">
        <v>10000</v>
      </c>
      <c r="E96" s="11">
        <v>0</v>
      </c>
      <c r="F96" s="67">
        <v>0</v>
      </c>
      <c r="G96" s="11">
        <v>0</v>
      </c>
      <c r="H96" s="67">
        <v>0</v>
      </c>
      <c r="I96" s="11">
        <v>0</v>
      </c>
      <c r="J96" s="67">
        <v>0</v>
      </c>
      <c r="K96" s="11">
        <v>0</v>
      </c>
      <c r="L96" s="69">
        <v>0</v>
      </c>
    </row>
    <row r="97" spans="1:12" x14ac:dyDescent="0.25">
      <c r="A97" s="93" t="s">
        <v>24</v>
      </c>
      <c r="B97" s="94" t="s">
        <v>121</v>
      </c>
      <c r="C97" s="101">
        <f>SUM(D97:L97)</f>
        <v>6860097</v>
      </c>
      <c r="D97" s="101">
        <f>D98+D105+D123+D125</f>
        <v>6130263</v>
      </c>
      <c r="E97" s="102">
        <f t="shared" ref="E97:L97" si="71">E98+E105+E123+E125</f>
        <v>9000</v>
      </c>
      <c r="F97" s="101">
        <f t="shared" si="71"/>
        <v>590658</v>
      </c>
      <c r="G97" s="102">
        <f t="shared" si="71"/>
        <v>-88110</v>
      </c>
      <c r="H97" s="101">
        <f t="shared" si="71"/>
        <v>125449</v>
      </c>
      <c r="I97" s="102">
        <f t="shared" si="71"/>
        <v>15851</v>
      </c>
      <c r="J97" s="101">
        <f t="shared" si="71"/>
        <v>19764</v>
      </c>
      <c r="K97" s="102">
        <f t="shared" si="71"/>
        <v>0</v>
      </c>
      <c r="L97" s="101">
        <f t="shared" si="71"/>
        <v>57222</v>
      </c>
    </row>
    <row r="98" spans="1:12" x14ac:dyDescent="0.25">
      <c r="A98" s="63" t="s">
        <v>207</v>
      </c>
      <c r="B98" s="64" t="s">
        <v>232</v>
      </c>
      <c r="C98" s="23">
        <f t="shared" ref="C98:C126" si="72">SUM(D98:L98)</f>
        <v>1315976</v>
      </c>
      <c r="D98" s="23">
        <f>SUM(D99:D104)</f>
        <v>1268026</v>
      </c>
      <c r="E98" s="24">
        <f t="shared" ref="E98:J98" si="73">SUM(E99:E104)</f>
        <v>19000</v>
      </c>
      <c r="F98" s="23">
        <f t="shared" si="73"/>
        <v>26148</v>
      </c>
      <c r="G98" s="24">
        <f t="shared" si="73"/>
        <v>1890</v>
      </c>
      <c r="H98" s="23">
        <f t="shared" si="73"/>
        <v>0</v>
      </c>
      <c r="I98" s="24">
        <f t="shared" si="73"/>
        <v>0</v>
      </c>
      <c r="J98" s="23">
        <f t="shared" si="73"/>
        <v>0</v>
      </c>
      <c r="K98" s="24">
        <f t="shared" ref="K98" si="74">SUM(K99:K102)</f>
        <v>0</v>
      </c>
      <c r="L98" s="23">
        <f>SUM(L99:L104)</f>
        <v>912</v>
      </c>
    </row>
    <row r="99" spans="1:12" ht="25.5" x14ac:dyDescent="0.25">
      <c r="A99" s="68" t="s">
        <v>208</v>
      </c>
      <c r="B99" s="26" t="s">
        <v>348</v>
      </c>
      <c r="C99" s="23">
        <f t="shared" si="72"/>
        <v>644686</v>
      </c>
      <c r="D99" s="67">
        <f>588626+29000</f>
        <v>617626</v>
      </c>
      <c r="E99" s="11">
        <v>0</v>
      </c>
      <c r="F99" s="67">
        <v>26148</v>
      </c>
      <c r="G99" s="11">
        <v>0</v>
      </c>
      <c r="H99" s="67">
        <v>0</v>
      </c>
      <c r="I99" s="11">
        <v>0</v>
      </c>
      <c r="J99" s="67">
        <v>0</v>
      </c>
      <c r="K99" s="11">
        <v>0</v>
      </c>
      <c r="L99" s="67">
        <v>912</v>
      </c>
    </row>
    <row r="100" spans="1:12" x14ac:dyDescent="0.25">
      <c r="A100" s="68" t="s">
        <v>209</v>
      </c>
      <c r="B100" s="26" t="s">
        <v>233</v>
      </c>
      <c r="C100" s="23">
        <f t="shared" si="72"/>
        <v>666290</v>
      </c>
      <c r="D100" s="67">
        <f>674400-29000</f>
        <v>645400</v>
      </c>
      <c r="E100" s="11">
        <v>19000</v>
      </c>
      <c r="F100" s="67">
        <v>0</v>
      </c>
      <c r="G100" s="11">
        <v>1890</v>
      </c>
      <c r="H100" s="67">
        <v>0</v>
      </c>
      <c r="I100" s="11">
        <v>0</v>
      </c>
      <c r="J100" s="67">
        <v>0</v>
      </c>
      <c r="K100" s="11">
        <v>0</v>
      </c>
      <c r="L100" s="67">
        <v>0</v>
      </c>
    </row>
    <row r="101" spans="1:12" ht="25.5" x14ac:dyDescent="0.25">
      <c r="A101" s="68" t="s">
        <v>210</v>
      </c>
      <c r="B101" s="26" t="s">
        <v>493</v>
      </c>
      <c r="C101" s="23">
        <f t="shared" si="72"/>
        <v>5000</v>
      </c>
      <c r="D101" s="67">
        <v>5000</v>
      </c>
      <c r="E101" s="11">
        <v>0</v>
      </c>
      <c r="F101" s="67">
        <v>0</v>
      </c>
      <c r="G101" s="11">
        <v>0</v>
      </c>
      <c r="H101" s="67">
        <v>0</v>
      </c>
      <c r="I101" s="11">
        <v>0</v>
      </c>
      <c r="J101" s="67">
        <v>0</v>
      </c>
      <c r="K101" s="11">
        <v>0</v>
      </c>
      <c r="L101" s="67">
        <v>0</v>
      </c>
    </row>
    <row r="102" spans="1:12" ht="38.25" hidden="1" x14ac:dyDescent="0.25">
      <c r="A102" s="81" t="s">
        <v>413</v>
      </c>
      <c r="B102" s="82" t="s">
        <v>494</v>
      </c>
      <c r="C102" s="80">
        <f t="shared" ref="C102:C103" si="75">SUM(D102:L102)</f>
        <v>0</v>
      </c>
      <c r="D102" s="83"/>
      <c r="E102" s="92"/>
      <c r="F102" s="83"/>
      <c r="G102" s="92"/>
      <c r="H102" s="83"/>
      <c r="I102" s="92"/>
      <c r="J102" s="83"/>
      <c r="K102" s="92"/>
      <c r="L102" s="83"/>
    </row>
    <row r="103" spans="1:12" ht="52.5" hidden="1" customHeight="1" x14ac:dyDescent="0.25">
      <c r="A103" s="68" t="s">
        <v>421</v>
      </c>
      <c r="B103" s="26" t="s">
        <v>513</v>
      </c>
      <c r="C103" s="23">
        <f t="shared" si="75"/>
        <v>0</v>
      </c>
      <c r="D103" s="67"/>
      <c r="E103" s="11"/>
      <c r="F103" s="67"/>
      <c r="G103" s="11"/>
      <c r="H103" s="67"/>
      <c r="I103" s="11"/>
      <c r="J103" s="67"/>
      <c r="K103" s="11"/>
      <c r="L103" s="67"/>
    </row>
    <row r="104" spans="1:12" hidden="1" x14ac:dyDescent="0.25">
      <c r="A104" s="58"/>
      <c r="B104" s="59"/>
      <c r="C104" s="80">
        <f t="shared" si="72"/>
        <v>0</v>
      </c>
      <c r="D104" s="83"/>
      <c r="E104" s="92"/>
      <c r="F104" s="83"/>
      <c r="G104" s="92"/>
      <c r="H104" s="83"/>
      <c r="I104" s="92"/>
      <c r="J104" s="83"/>
      <c r="K104" s="92"/>
      <c r="L104" s="83"/>
    </row>
    <row r="105" spans="1:12" x14ac:dyDescent="0.25">
      <c r="A105" s="63" t="s">
        <v>211</v>
      </c>
      <c r="B105" s="64" t="s">
        <v>234</v>
      </c>
      <c r="C105" s="23">
        <f t="shared" si="72"/>
        <v>5250208</v>
      </c>
      <c r="D105" s="23">
        <f>D106+D110+D112+D115+D119</f>
        <v>4570324</v>
      </c>
      <c r="E105" s="32">
        <f t="shared" ref="E105:L105" si="76">E106+E110+E112+E115+E119</f>
        <v>-12000</v>
      </c>
      <c r="F105" s="27">
        <f>F106+F110+F112+F115+F119</f>
        <v>564510</v>
      </c>
      <c r="G105" s="32">
        <f t="shared" si="76"/>
        <v>-90000</v>
      </c>
      <c r="H105" s="27">
        <f t="shared" si="76"/>
        <v>125449</v>
      </c>
      <c r="I105" s="32">
        <f t="shared" si="76"/>
        <v>15851</v>
      </c>
      <c r="J105" s="27">
        <f t="shared" si="76"/>
        <v>19764</v>
      </c>
      <c r="K105" s="32">
        <f t="shared" si="76"/>
        <v>0</v>
      </c>
      <c r="L105" s="27">
        <f t="shared" si="76"/>
        <v>56310</v>
      </c>
    </row>
    <row r="106" spans="1:12" x14ac:dyDescent="0.25">
      <c r="A106" s="63" t="s">
        <v>212</v>
      </c>
      <c r="B106" s="64" t="s">
        <v>235</v>
      </c>
      <c r="C106" s="23">
        <f t="shared" si="72"/>
        <v>912756</v>
      </c>
      <c r="D106" s="23">
        <f t="shared" ref="D106:L106" si="77">SUM(D107:D109)</f>
        <v>779244</v>
      </c>
      <c r="E106" s="32">
        <f t="shared" si="77"/>
        <v>0</v>
      </c>
      <c r="F106" s="27">
        <f t="shared" si="77"/>
        <v>3670</v>
      </c>
      <c r="G106" s="32">
        <f t="shared" si="77"/>
        <v>0</v>
      </c>
      <c r="H106" s="27">
        <f t="shared" si="77"/>
        <v>96785</v>
      </c>
      <c r="I106" s="32">
        <f t="shared" si="77"/>
        <v>5851</v>
      </c>
      <c r="J106" s="27">
        <f t="shared" si="77"/>
        <v>19764</v>
      </c>
      <c r="K106" s="32">
        <f t="shared" si="77"/>
        <v>0</v>
      </c>
      <c r="L106" s="23">
        <f t="shared" si="77"/>
        <v>7442</v>
      </c>
    </row>
    <row r="107" spans="1:12" ht="25.5" x14ac:dyDescent="0.25">
      <c r="A107" s="68" t="s">
        <v>213</v>
      </c>
      <c r="B107" s="26" t="s">
        <v>349</v>
      </c>
      <c r="C107" s="23">
        <f t="shared" si="72"/>
        <v>808374</v>
      </c>
      <c r="D107" s="67">
        <v>779244</v>
      </c>
      <c r="E107" s="11">
        <v>0</v>
      </c>
      <c r="F107" s="67">
        <v>3670</v>
      </c>
      <c r="G107" s="11">
        <v>0</v>
      </c>
      <c r="H107" s="67">
        <v>0</v>
      </c>
      <c r="I107" s="11">
        <v>1500</v>
      </c>
      <c r="J107" s="67">
        <v>19764</v>
      </c>
      <c r="K107" s="11">
        <v>0</v>
      </c>
      <c r="L107" s="67">
        <v>4196</v>
      </c>
    </row>
    <row r="108" spans="1:12" ht="63.75" x14ac:dyDescent="0.25">
      <c r="A108" s="68" t="s">
        <v>371</v>
      </c>
      <c r="B108" s="26" t="s">
        <v>495</v>
      </c>
      <c r="C108" s="23">
        <f t="shared" ref="C108" si="78">SUM(D108:L108)</f>
        <v>100031</v>
      </c>
      <c r="D108" s="67">
        <v>0</v>
      </c>
      <c r="E108" s="11">
        <v>0</v>
      </c>
      <c r="F108" s="67">
        <v>0</v>
      </c>
      <c r="G108" s="11">
        <v>0</v>
      </c>
      <c r="H108" s="67">
        <f>96653+132</f>
        <v>96785</v>
      </c>
      <c r="I108" s="11">
        <v>0</v>
      </c>
      <c r="J108" s="67">
        <v>0</v>
      </c>
      <c r="K108" s="11">
        <v>0</v>
      </c>
      <c r="L108" s="67">
        <v>3246</v>
      </c>
    </row>
    <row r="109" spans="1:12" ht="51" x14ac:dyDescent="0.25">
      <c r="A109" s="68" t="s">
        <v>848</v>
      </c>
      <c r="B109" s="66" t="s">
        <v>849</v>
      </c>
      <c r="C109" s="27">
        <f t="shared" si="72"/>
        <v>4351</v>
      </c>
      <c r="D109" s="67"/>
      <c r="E109" s="11"/>
      <c r="F109" s="67"/>
      <c r="G109" s="11"/>
      <c r="H109" s="67"/>
      <c r="I109" s="11">
        <v>4351</v>
      </c>
      <c r="J109" s="67"/>
      <c r="K109" s="11"/>
      <c r="L109" s="67"/>
    </row>
    <row r="110" spans="1:12" x14ac:dyDescent="0.25">
      <c r="A110" s="63" t="s">
        <v>214</v>
      </c>
      <c r="B110" s="64" t="s">
        <v>236</v>
      </c>
      <c r="C110" s="23">
        <f t="shared" si="72"/>
        <v>602542</v>
      </c>
      <c r="D110" s="27">
        <f>D111</f>
        <v>566939</v>
      </c>
      <c r="E110" s="32">
        <f t="shared" ref="E110:L110" si="79">E111</f>
        <v>0</v>
      </c>
      <c r="F110" s="27">
        <f t="shared" si="79"/>
        <v>11500</v>
      </c>
      <c r="G110" s="32">
        <f t="shared" si="79"/>
        <v>0</v>
      </c>
      <c r="H110" s="27">
        <f t="shared" si="79"/>
        <v>1200</v>
      </c>
      <c r="I110" s="32">
        <f t="shared" si="79"/>
        <v>0</v>
      </c>
      <c r="J110" s="27">
        <f t="shared" si="79"/>
        <v>0</v>
      </c>
      <c r="K110" s="32">
        <f t="shared" si="79"/>
        <v>0</v>
      </c>
      <c r="L110" s="27">
        <f t="shared" si="79"/>
        <v>22903</v>
      </c>
    </row>
    <row r="111" spans="1:12" ht="38.25" x14ac:dyDescent="0.25">
      <c r="A111" s="68" t="s">
        <v>215</v>
      </c>
      <c r="B111" s="26" t="s">
        <v>350</v>
      </c>
      <c r="C111" s="23">
        <f t="shared" si="72"/>
        <v>602542</v>
      </c>
      <c r="D111" s="67">
        <v>566939</v>
      </c>
      <c r="E111" s="11">
        <v>0</v>
      </c>
      <c r="F111" s="67">
        <v>11500</v>
      </c>
      <c r="G111" s="11">
        <v>0</v>
      </c>
      <c r="H111" s="67">
        <f>1200</f>
        <v>1200</v>
      </c>
      <c r="I111" s="11">
        <v>0</v>
      </c>
      <c r="J111" s="67">
        <v>0</v>
      </c>
      <c r="K111" s="11">
        <v>0</v>
      </c>
      <c r="L111" s="67">
        <v>22903</v>
      </c>
    </row>
    <row r="112" spans="1:12" x14ac:dyDescent="0.25">
      <c r="A112" s="63" t="s">
        <v>216</v>
      </c>
      <c r="B112" s="64" t="s">
        <v>237</v>
      </c>
      <c r="C112" s="23">
        <f t="shared" si="72"/>
        <v>2394414</v>
      </c>
      <c r="D112" s="27">
        <f>D113+D114</f>
        <v>1888025</v>
      </c>
      <c r="E112" s="32">
        <f t="shared" ref="E112:L112" si="80">E113+E114</f>
        <v>0</v>
      </c>
      <c r="F112" s="27">
        <f t="shared" si="80"/>
        <v>549340</v>
      </c>
      <c r="G112" s="32">
        <f t="shared" si="80"/>
        <v>-90000</v>
      </c>
      <c r="H112" s="27">
        <f t="shared" si="80"/>
        <v>11084</v>
      </c>
      <c r="I112" s="32">
        <f t="shared" si="80"/>
        <v>10000</v>
      </c>
      <c r="J112" s="27">
        <f t="shared" si="80"/>
        <v>0</v>
      </c>
      <c r="K112" s="32">
        <f t="shared" si="80"/>
        <v>0</v>
      </c>
      <c r="L112" s="27">
        <f t="shared" si="80"/>
        <v>25965</v>
      </c>
    </row>
    <row r="113" spans="1:12" ht="25.5" x14ac:dyDescent="0.25">
      <c r="A113" s="68" t="s">
        <v>217</v>
      </c>
      <c r="B113" s="26" t="s">
        <v>351</v>
      </c>
      <c r="C113" s="23">
        <f t="shared" si="72"/>
        <v>1694317</v>
      </c>
      <c r="D113" s="67">
        <v>1469012</v>
      </c>
      <c r="E113" s="11">
        <v>90000</v>
      </c>
      <c r="F113" s="67">
        <v>199340</v>
      </c>
      <c r="G113" s="11">
        <v>-90000</v>
      </c>
      <c r="H113" s="67">
        <v>0</v>
      </c>
      <c r="I113" s="11">
        <v>0</v>
      </c>
      <c r="J113" s="67">
        <v>0</v>
      </c>
      <c r="K113" s="11">
        <v>0</v>
      </c>
      <c r="L113" s="67">
        <v>25965</v>
      </c>
    </row>
    <row r="114" spans="1:12" x14ac:dyDescent="0.25">
      <c r="A114" s="68" t="s">
        <v>218</v>
      </c>
      <c r="B114" s="26" t="s">
        <v>352</v>
      </c>
      <c r="C114" s="23">
        <f t="shared" si="72"/>
        <v>700097</v>
      </c>
      <c r="D114" s="67">
        <v>419013</v>
      </c>
      <c r="E114" s="11">
        <v>-90000</v>
      </c>
      <c r="F114" s="67">
        <v>350000</v>
      </c>
      <c r="G114" s="11">
        <v>0</v>
      </c>
      <c r="H114" s="67">
        <f>11084</f>
        <v>11084</v>
      </c>
      <c r="I114" s="11">
        <v>10000</v>
      </c>
      <c r="J114" s="67">
        <v>0</v>
      </c>
      <c r="K114" s="11">
        <v>0</v>
      </c>
      <c r="L114" s="67">
        <v>0</v>
      </c>
    </row>
    <row r="115" spans="1:12" x14ac:dyDescent="0.25">
      <c r="A115" s="63" t="s">
        <v>219</v>
      </c>
      <c r="B115" s="64" t="s">
        <v>238</v>
      </c>
      <c r="C115" s="23">
        <f t="shared" si="72"/>
        <v>203275</v>
      </c>
      <c r="D115" s="27">
        <f>SUM(D116:D118)</f>
        <v>202775</v>
      </c>
      <c r="E115" s="32">
        <f t="shared" ref="E115:L115" si="81">SUM(E116:E118)</f>
        <v>0</v>
      </c>
      <c r="F115" s="27">
        <f t="shared" si="81"/>
        <v>0</v>
      </c>
      <c r="G115" s="32">
        <f t="shared" si="81"/>
        <v>0</v>
      </c>
      <c r="H115" s="27">
        <f t="shared" si="81"/>
        <v>500</v>
      </c>
      <c r="I115" s="32">
        <f t="shared" si="81"/>
        <v>0</v>
      </c>
      <c r="J115" s="27">
        <f t="shared" si="81"/>
        <v>0</v>
      </c>
      <c r="K115" s="32">
        <f t="shared" si="81"/>
        <v>0</v>
      </c>
      <c r="L115" s="27">
        <f t="shared" si="81"/>
        <v>0</v>
      </c>
    </row>
    <row r="116" spans="1:12" ht="25.5" x14ac:dyDescent="0.25">
      <c r="A116" s="68" t="s">
        <v>220</v>
      </c>
      <c r="B116" s="26" t="s">
        <v>239</v>
      </c>
      <c r="C116" s="23">
        <f t="shared" si="72"/>
        <v>98712</v>
      </c>
      <c r="D116" s="67">
        <v>98212</v>
      </c>
      <c r="E116" s="11">
        <v>0</v>
      </c>
      <c r="F116" s="67">
        <v>0</v>
      </c>
      <c r="G116" s="11">
        <v>0</v>
      </c>
      <c r="H116" s="67">
        <f>500</f>
        <v>500</v>
      </c>
      <c r="I116" s="11">
        <v>0</v>
      </c>
      <c r="J116" s="67">
        <v>0</v>
      </c>
      <c r="K116" s="11">
        <v>0</v>
      </c>
      <c r="L116" s="67">
        <v>0</v>
      </c>
    </row>
    <row r="117" spans="1:12" ht="25.5" x14ac:dyDescent="0.25">
      <c r="A117" s="68" t="s">
        <v>221</v>
      </c>
      <c r="B117" s="26" t="s">
        <v>325</v>
      </c>
      <c r="C117" s="23">
        <f t="shared" si="72"/>
        <v>83253</v>
      </c>
      <c r="D117" s="69">
        <v>83253</v>
      </c>
      <c r="E117" s="11">
        <v>0</v>
      </c>
      <c r="F117" s="67">
        <v>0</v>
      </c>
      <c r="G117" s="11">
        <v>0</v>
      </c>
      <c r="H117" s="67">
        <v>0</v>
      </c>
      <c r="I117" s="11">
        <v>0</v>
      </c>
      <c r="J117" s="67">
        <v>0</v>
      </c>
      <c r="K117" s="11">
        <v>0</v>
      </c>
      <c r="L117" s="69">
        <v>0</v>
      </c>
    </row>
    <row r="118" spans="1:12" ht="25.5" x14ac:dyDescent="0.25">
      <c r="A118" s="68" t="s">
        <v>222</v>
      </c>
      <c r="B118" s="26" t="s">
        <v>240</v>
      </c>
      <c r="C118" s="23">
        <f t="shared" si="72"/>
        <v>21310</v>
      </c>
      <c r="D118" s="69">
        <v>21310</v>
      </c>
      <c r="E118" s="11">
        <v>0</v>
      </c>
      <c r="F118" s="67">
        <v>0</v>
      </c>
      <c r="G118" s="11">
        <v>0</v>
      </c>
      <c r="H118" s="67">
        <v>0</v>
      </c>
      <c r="I118" s="11">
        <v>0</v>
      </c>
      <c r="J118" s="67">
        <v>0</v>
      </c>
      <c r="K118" s="11">
        <v>0</v>
      </c>
      <c r="L118" s="69">
        <v>0</v>
      </c>
    </row>
    <row r="119" spans="1:12" x14ac:dyDescent="0.25">
      <c r="A119" s="63" t="s">
        <v>223</v>
      </c>
      <c r="B119" s="64" t="s">
        <v>241</v>
      </c>
      <c r="C119" s="23">
        <f t="shared" si="72"/>
        <v>1137221</v>
      </c>
      <c r="D119" s="23">
        <f>SUM(D120:D122)</f>
        <v>1133341</v>
      </c>
      <c r="E119" s="32">
        <f t="shared" ref="E119:L119" si="82">SUM(E120:E122)</f>
        <v>-12000</v>
      </c>
      <c r="F119" s="27">
        <f t="shared" si="82"/>
        <v>0</v>
      </c>
      <c r="G119" s="32">
        <f t="shared" si="82"/>
        <v>0</v>
      </c>
      <c r="H119" s="27">
        <f t="shared" si="82"/>
        <v>15880</v>
      </c>
      <c r="I119" s="32">
        <f t="shared" si="82"/>
        <v>0</v>
      </c>
      <c r="J119" s="23">
        <f t="shared" si="82"/>
        <v>0</v>
      </c>
      <c r="K119" s="24">
        <f t="shared" si="82"/>
        <v>0</v>
      </c>
      <c r="L119" s="23">
        <f t="shared" si="82"/>
        <v>0</v>
      </c>
    </row>
    <row r="120" spans="1:12" ht="25.5" x14ac:dyDescent="0.25">
      <c r="A120" s="68" t="s">
        <v>224</v>
      </c>
      <c r="B120" s="26" t="s">
        <v>242</v>
      </c>
      <c r="C120" s="23">
        <f t="shared" si="72"/>
        <v>458706</v>
      </c>
      <c r="D120" s="69">
        <v>442826</v>
      </c>
      <c r="E120" s="11">
        <v>0</v>
      </c>
      <c r="F120" s="67">
        <v>0</v>
      </c>
      <c r="G120" s="11">
        <v>0</v>
      </c>
      <c r="H120" s="67">
        <v>15880</v>
      </c>
      <c r="I120" s="11">
        <v>0</v>
      </c>
      <c r="J120" s="67">
        <v>0</v>
      </c>
      <c r="K120" s="11">
        <v>0</v>
      </c>
      <c r="L120" s="67">
        <v>0</v>
      </c>
    </row>
    <row r="121" spans="1:12" x14ac:dyDescent="0.25">
      <c r="A121" s="68" t="s">
        <v>225</v>
      </c>
      <c r="B121" s="26" t="s">
        <v>243</v>
      </c>
      <c r="C121" s="23">
        <f t="shared" si="72"/>
        <v>678515</v>
      </c>
      <c r="D121" s="69">
        <v>690515</v>
      </c>
      <c r="E121" s="11">
        <v>-12000</v>
      </c>
      <c r="F121" s="67">
        <v>0</v>
      </c>
      <c r="G121" s="11">
        <v>0</v>
      </c>
      <c r="H121" s="67">
        <v>0</v>
      </c>
      <c r="I121" s="11">
        <v>0</v>
      </c>
      <c r="J121" s="67">
        <v>0</v>
      </c>
      <c r="K121" s="11">
        <v>0</v>
      </c>
      <c r="L121" s="67">
        <v>0</v>
      </c>
    </row>
    <row r="122" spans="1:12" ht="38.25" hidden="1" x14ac:dyDescent="0.25">
      <c r="A122" s="68" t="s">
        <v>383</v>
      </c>
      <c r="B122" s="26" t="s">
        <v>414</v>
      </c>
      <c r="C122" s="23">
        <f t="shared" si="72"/>
        <v>0</v>
      </c>
      <c r="D122" s="69"/>
      <c r="E122" s="11"/>
      <c r="F122" s="67"/>
      <c r="G122" s="11"/>
      <c r="H122" s="67"/>
      <c r="I122" s="11"/>
      <c r="J122" s="67"/>
      <c r="K122" s="11"/>
      <c r="L122" s="67"/>
    </row>
    <row r="123" spans="1:12" hidden="1" x14ac:dyDescent="0.25">
      <c r="A123" s="63" t="s">
        <v>496</v>
      </c>
      <c r="B123" s="64" t="s">
        <v>497</v>
      </c>
      <c r="C123" s="23">
        <f t="shared" ref="C123" si="83">SUM(D123:L123)</f>
        <v>0</v>
      </c>
      <c r="D123" s="23">
        <f>D124</f>
        <v>0</v>
      </c>
      <c r="E123" s="24">
        <f t="shared" ref="E123:L123" si="84">E124</f>
        <v>0</v>
      </c>
      <c r="F123" s="23">
        <f t="shared" si="84"/>
        <v>0</v>
      </c>
      <c r="G123" s="24">
        <f t="shared" si="84"/>
        <v>0</v>
      </c>
      <c r="H123" s="23">
        <f t="shared" si="84"/>
        <v>0</v>
      </c>
      <c r="I123" s="24">
        <f t="shared" si="84"/>
        <v>0</v>
      </c>
      <c r="J123" s="23">
        <f t="shared" si="84"/>
        <v>0</v>
      </c>
      <c r="K123" s="24">
        <f t="shared" si="84"/>
        <v>0</v>
      </c>
      <c r="L123" s="23">
        <f t="shared" si="84"/>
        <v>0</v>
      </c>
    </row>
    <row r="124" spans="1:12" ht="25.5" hidden="1" x14ac:dyDescent="0.25">
      <c r="A124" s="68" t="s">
        <v>226</v>
      </c>
      <c r="B124" s="26" t="s">
        <v>353</v>
      </c>
      <c r="C124" s="23">
        <f t="shared" si="72"/>
        <v>0</v>
      </c>
      <c r="D124" s="69"/>
      <c r="E124" s="11"/>
      <c r="F124" s="67"/>
      <c r="G124" s="11"/>
      <c r="H124" s="67"/>
      <c r="I124" s="11"/>
      <c r="J124" s="67"/>
      <c r="K124" s="11"/>
      <c r="L124" s="67"/>
    </row>
    <row r="125" spans="1:12" ht="43.5" customHeight="1" x14ac:dyDescent="0.25">
      <c r="A125" s="63" t="s">
        <v>227</v>
      </c>
      <c r="B125" s="64" t="s">
        <v>244</v>
      </c>
      <c r="C125" s="23">
        <f t="shared" si="72"/>
        <v>293913</v>
      </c>
      <c r="D125" s="23">
        <f>SUM(D126:D129)</f>
        <v>291913</v>
      </c>
      <c r="E125" s="32">
        <f t="shared" ref="E125:L125" si="85">SUM(E126:E129)</f>
        <v>2000</v>
      </c>
      <c r="F125" s="27">
        <f t="shared" si="85"/>
        <v>0</v>
      </c>
      <c r="G125" s="32">
        <f t="shared" si="85"/>
        <v>0</v>
      </c>
      <c r="H125" s="27">
        <f t="shared" si="85"/>
        <v>0</v>
      </c>
      <c r="I125" s="32">
        <f t="shared" si="85"/>
        <v>0</v>
      </c>
      <c r="J125" s="27">
        <f t="shared" si="85"/>
        <v>0</v>
      </c>
      <c r="K125" s="24">
        <f t="shared" si="85"/>
        <v>0</v>
      </c>
      <c r="L125" s="23">
        <f t="shared" si="85"/>
        <v>0</v>
      </c>
    </row>
    <row r="126" spans="1:12" ht="25.5" x14ac:dyDescent="0.25">
      <c r="A126" s="68" t="s">
        <v>228</v>
      </c>
      <c r="B126" s="26" t="s">
        <v>245</v>
      </c>
      <c r="C126" s="23">
        <f t="shared" si="72"/>
        <v>157500</v>
      </c>
      <c r="D126" s="69">
        <f>150000+5500</f>
        <v>155500</v>
      </c>
      <c r="E126" s="11">
        <v>2000</v>
      </c>
      <c r="F126" s="67">
        <v>0</v>
      </c>
      <c r="G126" s="11">
        <v>0</v>
      </c>
      <c r="H126" s="67">
        <v>0</v>
      </c>
      <c r="I126" s="11">
        <v>0</v>
      </c>
      <c r="J126" s="67">
        <v>0</v>
      </c>
      <c r="K126" s="11">
        <v>0</v>
      </c>
      <c r="L126" s="67">
        <v>0</v>
      </c>
    </row>
    <row r="127" spans="1:12" ht="25.5" x14ac:dyDescent="0.25">
      <c r="A127" s="68" t="s">
        <v>229</v>
      </c>
      <c r="B127" s="26" t="s">
        <v>246</v>
      </c>
      <c r="C127" s="23">
        <f t="shared" ref="C127:C129" si="86">SUM(D127:L127)</f>
        <v>31261</v>
      </c>
      <c r="D127" s="69">
        <v>31261</v>
      </c>
      <c r="E127" s="11">
        <v>0</v>
      </c>
      <c r="F127" s="67">
        <v>0</v>
      </c>
      <c r="G127" s="11">
        <v>0</v>
      </c>
      <c r="H127" s="67">
        <v>0</v>
      </c>
      <c r="I127" s="11">
        <v>0</v>
      </c>
      <c r="J127" s="67">
        <v>0</v>
      </c>
      <c r="K127" s="11">
        <v>0</v>
      </c>
      <c r="L127" s="67">
        <v>0</v>
      </c>
    </row>
    <row r="128" spans="1:12" ht="25.5" x14ac:dyDescent="0.25">
      <c r="A128" s="68" t="s">
        <v>230</v>
      </c>
      <c r="B128" s="26" t="s">
        <v>498</v>
      </c>
      <c r="C128" s="23">
        <f t="shared" si="86"/>
        <v>4300</v>
      </c>
      <c r="D128" s="67">
        <v>4300</v>
      </c>
      <c r="E128" s="11">
        <v>0</v>
      </c>
      <c r="F128" s="67">
        <v>0</v>
      </c>
      <c r="G128" s="11">
        <v>0</v>
      </c>
      <c r="H128" s="67">
        <v>0</v>
      </c>
      <c r="I128" s="11">
        <v>0</v>
      </c>
      <c r="J128" s="67">
        <v>0</v>
      </c>
      <c r="K128" s="11">
        <v>0</v>
      </c>
      <c r="L128" s="67">
        <v>0</v>
      </c>
    </row>
    <row r="129" spans="1:12" ht="25.5" x14ac:dyDescent="0.25">
      <c r="A129" s="68" t="s">
        <v>231</v>
      </c>
      <c r="B129" s="26" t="s">
        <v>499</v>
      </c>
      <c r="C129" s="23">
        <f t="shared" si="86"/>
        <v>100852</v>
      </c>
      <c r="D129" s="67">
        <v>100852</v>
      </c>
      <c r="E129" s="11">
        <v>0</v>
      </c>
      <c r="F129" s="67">
        <v>0</v>
      </c>
      <c r="G129" s="11">
        <v>0</v>
      </c>
      <c r="H129" s="67">
        <v>0</v>
      </c>
      <c r="I129" s="11">
        <v>0</v>
      </c>
      <c r="J129" s="67">
        <v>0</v>
      </c>
      <c r="K129" s="11">
        <v>0</v>
      </c>
      <c r="L129" s="67">
        <v>0</v>
      </c>
    </row>
    <row r="130" spans="1:12" x14ac:dyDescent="0.25">
      <c r="A130" s="93" t="s">
        <v>25</v>
      </c>
      <c r="B130" s="94" t="s">
        <v>122</v>
      </c>
      <c r="C130" s="101">
        <f t="shared" ref="C130:C137" si="87">SUM(D130:L130)</f>
        <v>38273377</v>
      </c>
      <c r="D130" s="101">
        <f>D131+D135+D148+D155+D158+D163+D167</f>
        <v>20482092</v>
      </c>
      <c r="E130" s="102">
        <f t="shared" ref="E130:L130" si="88">E131+E135+E148+E155+E158+E163+E167</f>
        <v>204715</v>
      </c>
      <c r="F130" s="101">
        <f t="shared" si="88"/>
        <v>710213</v>
      </c>
      <c r="G130" s="102">
        <f t="shared" si="88"/>
        <v>14745</v>
      </c>
      <c r="H130" s="101">
        <f t="shared" si="88"/>
        <v>10662098</v>
      </c>
      <c r="I130" s="102">
        <f t="shared" si="88"/>
        <v>4887034</v>
      </c>
      <c r="J130" s="101">
        <f t="shared" si="88"/>
        <v>0</v>
      </c>
      <c r="K130" s="102">
        <f t="shared" si="88"/>
        <v>0</v>
      </c>
      <c r="L130" s="101">
        <f t="shared" si="88"/>
        <v>1312480</v>
      </c>
    </row>
    <row r="131" spans="1:12" x14ac:dyDescent="0.25">
      <c r="A131" s="63" t="s">
        <v>247</v>
      </c>
      <c r="B131" s="64" t="s">
        <v>248</v>
      </c>
      <c r="C131" s="23">
        <f>SUM(D131:L131)</f>
        <v>10647056</v>
      </c>
      <c r="D131" s="23">
        <f>D132+D133+D134</f>
        <v>9466062</v>
      </c>
      <c r="E131" s="24">
        <f t="shared" ref="E131:L131" si="89">E132+E133+E134</f>
        <v>-70003</v>
      </c>
      <c r="F131" s="23">
        <f t="shared" si="89"/>
        <v>93943</v>
      </c>
      <c r="G131" s="24">
        <f t="shared" si="89"/>
        <v>0</v>
      </c>
      <c r="H131" s="23">
        <f t="shared" si="89"/>
        <v>699127</v>
      </c>
      <c r="I131" s="24">
        <f t="shared" si="89"/>
        <v>370212</v>
      </c>
      <c r="J131" s="23">
        <f t="shared" si="89"/>
        <v>0</v>
      </c>
      <c r="K131" s="24">
        <f t="shared" si="89"/>
        <v>0</v>
      </c>
      <c r="L131" s="23">
        <f t="shared" si="89"/>
        <v>87715</v>
      </c>
    </row>
    <row r="132" spans="1:12" ht="25.5" x14ac:dyDescent="0.25">
      <c r="A132" s="68" t="s">
        <v>268</v>
      </c>
      <c r="B132" s="26" t="s">
        <v>277</v>
      </c>
      <c r="C132" s="23">
        <f t="shared" si="87"/>
        <v>9434452</v>
      </c>
      <c r="D132" s="67">
        <f>7691924+83250+190888</f>
        <v>7966062</v>
      </c>
      <c r="E132" s="11">
        <v>217393</v>
      </c>
      <c r="F132" s="67">
        <v>93943</v>
      </c>
      <c r="G132" s="11">
        <v>0</v>
      </c>
      <c r="H132" s="67">
        <f>697628+1499</f>
        <v>699127</v>
      </c>
      <c r="I132" s="11">
        <v>370212</v>
      </c>
      <c r="J132" s="67">
        <v>0</v>
      </c>
      <c r="K132" s="11">
        <v>0</v>
      </c>
      <c r="L132" s="67">
        <v>87715</v>
      </c>
    </row>
    <row r="133" spans="1:12" ht="63.75" hidden="1" x14ac:dyDescent="0.25">
      <c r="A133" s="65" t="s">
        <v>396</v>
      </c>
      <c r="B133" s="66" t="s">
        <v>397</v>
      </c>
      <c r="C133" s="23">
        <f t="shared" si="87"/>
        <v>0</v>
      </c>
      <c r="D133" s="67"/>
      <c r="E133" s="11"/>
      <c r="F133" s="67"/>
      <c r="G133" s="11"/>
      <c r="H133" s="67"/>
      <c r="I133" s="11"/>
      <c r="J133" s="67"/>
      <c r="K133" s="11"/>
      <c r="L133" s="67"/>
    </row>
    <row r="134" spans="1:12" ht="38.25" x14ac:dyDescent="0.25">
      <c r="A134" s="177" t="s">
        <v>810</v>
      </c>
      <c r="B134" s="66" t="s">
        <v>811</v>
      </c>
      <c r="C134" s="23">
        <f t="shared" si="87"/>
        <v>1212604</v>
      </c>
      <c r="D134" s="67">
        <v>1500000</v>
      </c>
      <c r="E134" s="11">
        <v>-287396</v>
      </c>
      <c r="F134" s="67">
        <v>0</v>
      </c>
      <c r="G134" s="11">
        <v>0</v>
      </c>
      <c r="H134" s="67">
        <v>0</v>
      </c>
      <c r="I134" s="11">
        <v>0</v>
      </c>
      <c r="J134" s="67">
        <v>0</v>
      </c>
      <c r="K134" s="11">
        <v>0</v>
      </c>
      <c r="L134" s="67">
        <v>0</v>
      </c>
    </row>
    <row r="135" spans="1:12" ht="25.5" x14ac:dyDescent="0.25">
      <c r="A135" s="71" t="s">
        <v>249</v>
      </c>
      <c r="B135" s="72" t="s">
        <v>272</v>
      </c>
      <c r="C135" s="27">
        <f t="shared" si="87"/>
        <v>19921566</v>
      </c>
      <c r="D135" s="27">
        <f>D136+D144</f>
        <v>6038473</v>
      </c>
      <c r="E135" s="32">
        <f t="shared" ref="E135:L135" si="90">E136+E144</f>
        <v>284241</v>
      </c>
      <c r="F135" s="27">
        <f t="shared" si="90"/>
        <v>180447</v>
      </c>
      <c r="G135" s="32">
        <f t="shared" si="90"/>
        <v>0</v>
      </c>
      <c r="H135" s="27">
        <f t="shared" si="90"/>
        <v>8483049</v>
      </c>
      <c r="I135" s="32">
        <f t="shared" si="90"/>
        <v>4195460</v>
      </c>
      <c r="J135" s="27">
        <f t="shared" si="90"/>
        <v>0</v>
      </c>
      <c r="K135" s="32">
        <f t="shared" si="90"/>
        <v>0</v>
      </c>
      <c r="L135" s="27">
        <f t="shared" si="90"/>
        <v>739896</v>
      </c>
    </row>
    <row r="136" spans="1:12" x14ac:dyDescent="0.25">
      <c r="A136" s="70" t="s">
        <v>250</v>
      </c>
      <c r="B136" s="64" t="s">
        <v>500</v>
      </c>
      <c r="C136" s="23">
        <f t="shared" si="87"/>
        <v>17346785</v>
      </c>
      <c r="D136" s="23">
        <f>SUM(D137:D143)</f>
        <v>5037513</v>
      </c>
      <c r="E136" s="32">
        <f t="shared" ref="E136:L136" si="91">SUM(E137:E143)</f>
        <v>329851</v>
      </c>
      <c r="F136" s="27">
        <f t="shared" si="91"/>
        <v>143135</v>
      </c>
      <c r="G136" s="32">
        <f t="shared" si="91"/>
        <v>0</v>
      </c>
      <c r="H136" s="27">
        <f t="shared" si="91"/>
        <v>7612899</v>
      </c>
      <c r="I136" s="32">
        <f t="shared" si="91"/>
        <v>3852153</v>
      </c>
      <c r="J136" s="27">
        <f t="shared" si="91"/>
        <v>0</v>
      </c>
      <c r="K136" s="24">
        <f t="shared" si="91"/>
        <v>0</v>
      </c>
      <c r="L136" s="23">
        <f t="shared" si="91"/>
        <v>371234</v>
      </c>
    </row>
    <row r="137" spans="1:12" ht="25.5" x14ac:dyDescent="0.25">
      <c r="A137" s="68" t="s">
        <v>251</v>
      </c>
      <c r="B137" s="26" t="s">
        <v>365</v>
      </c>
      <c r="C137" s="27">
        <f t="shared" si="87"/>
        <v>14238738</v>
      </c>
      <c r="D137" s="67">
        <f>4858740+68750-44098</f>
        <v>4883392</v>
      </c>
      <c r="E137" s="11">
        <v>226825</v>
      </c>
      <c r="F137" s="67">
        <v>109469</v>
      </c>
      <c r="G137" s="11">
        <v>0</v>
      </c>
      <c r="H137" s="67">
        <f>5779797+3469</f>
        <v>5783266</v>
      </c>
      <c r="I137" s="11">
        <v>3059753</v>
      </c>
      <c r="J137" s="67">
        <v>0</v>
      </c>
      <c r="K137" s="11">
        <v>0</v>
      </c>
      <c r="L137" s="67">
        <v>176033</v>
      </c>
    </row>
    <row r="138" spans="1:12" ht="38.25" x14ac:dyDescent="0.25">
      <c r="A138" s="68" t="s">
        <v>252</v>
      </c>
      <c r="B138" s="26" t="s">
        <v>783</v>
      </c>
      <c r="C138" s="27">
        <f t="shared" ref="C138:C168" si="92">SUM(D138:L138)</f>
        <v>2253212</v>
      </c>
      <c r="D138" s="67">
        <v>123061</v>
      </c>
      <c r="E138" s="11">
        <v>103026</v>
      </c>
      <c r="F138" s="67">
        <v>33666</v>
      </c>
      <c r="G138" s="11">
        <v>0</v>
      </c>
      <c r="H138" s="67">
        <v>1392794</v>
      </c>
      <c r="I138" s="11">
        <v>567034</v>
      </c>
      <c r="J138" s="67">
        <v>0</v>
      </c>
      <c r="K138" s="11">
        <v>0</v>
      </c>
      <c r="L138" s="67">
        <v>33631</v>
      </c>
    </row>
    <row r="139" spans="1:12" ht="25.5" x14ac:dyDescent="0.25">
      <c r="A139" s="68" t="s">
        <v>253</v>
      </c>
      <c r="B139" s="26" t="s">
        <v>269</v>
      </c>
      <c r="C139" s="23">
        <f t="shared" si="92"/>
        <v>399424</v>
      </c>
      <c r="D139" s="69">
        <v>21596</v>
      </c>
      <c r="E139" s="11">
        <v>0</v>
      </c>
      <c r="F139" s="67">
        <v>0</v>
      </c>
      <c r="G139" s="11">
        <v>0</v>
      </c>
      <c r="H139" s="67">
        <v>50435</v>
      </c>
      <c r="I139" s="11">
        <v>225366</v>
      </c>
      <c r="J139" s="67">
        <v>0</v>
      </c>
      <c r="K139" s="11">
        <v>0</v>
      </c>
      <c r="L139" s="67">
        <v>102027</v>
      </c>
    </row>
    <row r="140" spans="1:12" ht="51" x14ac:dyDescent="0.25">
      <c r="A140" s="68" t="s">
        <v>340</v>
      </c>
      <c r="B140" s="26" t="s">
        <v>416</v>
      </c>
      <c r="C140" s="23">
        <f t="shared" si="92"/>
        <v>61250</v>
      </c>
      <c r="D140" s="69">
        <v>4607</v>
      </c>
      <c r="E140" s="11">
        <v>0</v>
      </c>
      <c r="F140" s="67">
        <v>0</v>
      </c>
      <c r="G140" s="11">
        <v>0</v>
      </c>
      <c r="H140" s="67">
        <v>0</v>
      </c>
      <c r="I140" s="11">
        <v>0</v>
      </c>
      <c r="J140" s="67">
        <v>0</v>
      </c>
      <c r="K140" s="11">
        <v>0</v>
      </c>
      <c r="L140" s="67">
        <v>56643</v>
      </c>
    </row>
    <row r="141" spans="1:12" ht="76.5" x14ac:dyDescent="0.25">
      <c r="A141" s="65" t="s">
        <v>427</v>
      </c>
      <c r="B141" s="66" t="s">
        <v>501</v>
      </c>
      <c r="C141" s="27">
        <f t="shared" si="92"/>
        <v>264736</v>
      </c>
      <c r="D141" s="67">
        <v>4518</v>
      </c>
      <c r="E141" s="11">
        <v>0</v>
      </c>
      <c r="F141" s="67">
        <v>0</v>
      </c>
      <c r="G141" s="11">
        <v>0</v>
      </c>
      <c r="H141" s="67">
        <v>257318</v>
      </c>
      <c r="I141" s="11">
        <v>0</v>
      </c>
      <c r="J141" s="67">
        <v>0</v>
      </c>
      <c r="K141" s="11">
        <v>0</v>
      </c>
      <c r="L141" s="67">
        <v>2900</v>
      </c>
    </row>
    <row r="142" spans="1:12" ht="63.75" x14ac:dyDescent="0.25">
      <c r="A142" s="65" t="s">
        <v>812</v>
      </c>
      <c r="B142" s="66" t="s">
        <v>813</v>
      </c>
      <c r="C142" s="27">
        <f t="shared" si="92"/>
        <v>129425</v>
      </c>
      <c r="D142" s="67">
        <v>339</v>
      </c>
      <c r="E142" s="11">
        <v>0</v>
      </c>
      <c r="F142" s="67">
        <v>0</v>
      </c>
      <c r="G142" s="11">
        <v>0</v>
      </c>
      <c r="H142" s="67">
        <v>129086</v>
      </c>
      <c r="I142" s="11">
        <v>0</v>
      </c>
      <c r="J142" s="67">
        <v>0</v>
      </c>
      <c r="K142" s="11">
        <v>0</v>
      </c>
      <c r="L142" s="67">
        <v>0</v>
      </c>
    </row>
    <row r="143" spans="1:12" hidden="1" x14ac:dyDescent="0.25">
      <c r="A143" s="178"/>
      <c r="B143" s="179"/>
      <c r="C143" s="27">
        <f t="shared" ref="C143" si="93">SUM(D143:L143)</f>
        <v>0</v>
      </c>
      <c r="D143" s="67"/>
      <c r="E143" s="11"/>
      <c r="F143" s="67"/>
      <c r="G143" s="11"/>
      <c r="H143" s="67"/>
      <c r="I143" s="11"/>
      <c r="J143" s="67"/>
      <c r="K143" s="11"/>
      <c r="L143" s="67"/>
    </row>
    <row r="144" spans="1:12" x14ac:dyDescent="0.25">
      <c r="A144" s="70" t="s">
        <v>273</v>
      </c>
      <c r="B144" s="64" t="s">
        <v>270</v>
      </c>
      <c r="C144" s="23">
        <f>SUM(D144:L144)</f>
        <v>2574781</v>
      </c>
      <c r="D144" s="23">
        <f t="shared" ref="D144:L144" si="94">SUM(D145:D147)</f>
        <v>1000960</v>
      </c>
      <c r="E144" s="32">
        <f t="shared" si="94"/>
        <v>-45610</v>
      </c>
      <c r="F144" s="27">
        <f t="shared" si="94"/>
        <v>37312</v>
      </c>
      <c r="G144" s="32">
        <f t="shared" si="94"/>
        <v>0</v>
      </c>
      <c r="H144" s="27">
        <f t="shared" si="94"/>
        <v>870150</v>
      </c>
      <c r="I144" s="32">
        <f t="shared" si="94"/>
        <v>343307</v>
      </c>
      <c r="J144" s="27">
        <f t="shared" si="94"/>
        <v>0</v>
      </c>
      <c r="K144" s="32">
        <f t="shared" si="94"/>
        <v>0</v>
      </c>
      <c r="L144" s="23">
        <f t="shared" si="94"/>
        <v>368662</v>
      </c>
    </row>
    <row r="145" spans="1:12" ht="25.5" x14ac:dyDescent="0.25">
      <c r="A145" s="68" t="s">
        <v>254</v>
      </c>
      <c r="B145" s="26" t="s">
        <v>366</v>
      </c>
      <c r="C145" s="23">
        <f t="shared" si="92"/>
        <v>1131928</v>
      </c>
      <c r="D145" s="69">
        <v>474562</v>
      </c>
      <c r="E145" s="11">
        <v>0</v>
      </c>
      <c r="F145" s="67">
        <v>5932</v>
      </c>
      <c r="G145" s="11">
        <v>0</v>
      </c>
      <c r="H145" s="67">
        <v>403377</v>
      </c>
      <c r="I145" s="11">
        <v>238143</v>
      </c>
      <c r="J145" s="67">
        <v>0</v>
      </c>
      <c r="K145" s="11">
        <v>0</v>
      </c>
      <c r="L145" s="69">
        <v>9914</v>
      </c>
    </row>
    <row r="146" spans="1:12" ht="25.5" x14ac:dyDescent="0.25">
      <c r="A146" s="68" t="s">
        <v>255</v>
      </c>
      <c r="B146" s="26" t="s">
        <v>274</v>
      </c>
      <c r="C146" s="23">
        <f t="shared" si="92"/>
        <v>847912</v>
      </c>
      <c r="D146" s="69">
        <v>29959</v>
      </c>
      <c r="E146" s="11">
        <v>0</v>
      </c>
      <c r="F146" s="67">
        <v>31380</v>
      </c>
      <c r="G146" s="11">
        <v>0</v>
      </c>
      <c r="H146" s="67">
        <v>466773</v>
      </c>
      <c r="I146" s="11">
        <v>105164</v>
      </c>
      <c r="J146" s="67">
        <v>0</v>
      </c>
      <c r="K146" s="11">
        <v>0</v>
      </c>
      <c r="L146" s="69">
        <v>214636</v>
      </c>
    </row>
    <row r="147" spans="1:12" ht="54" customHeight="1" x14ac:dyDescent="0.25">
      <c r="A147" s="65" t="s">
        <v>398</v>
      </c>
      <c r="B147" s="66" t="s">
        <v>428</v>
      </c>
      <c r="C147" s="27">
        <f t="shared" si="92"/>
        <v>594941</v>
      </c>
      <c r="D147" s="67">
        <v>496439</v>
      </c>
      <c r="E147" s="11">
        <v>-45610</v>
      </c>
      <c r="F147" s="67">
        <v>0</v>
      </c>
      <c r="G147" s="11">
        <v>0</v>
      </c>
      <c r="H147" s="67">
        <v>0</v>
      </c>
      <c r="I147" s="11">
        <v>0</v>
      </c>
      <c r="J147" s="67">
        <v>0</v>
      </c>
      <c r="K147" s="11">
        <v>0</v>
      </c>
      <c r="L147" s="67">
        <v>144112</v>
      </c>
    </row>
    <row r="148" spans="1:12" ht="25.5" x14ac:dyDescent="0.25">
      <c r="A148" s="63" t="s">
        <v>256</v>
      </c>
      <c r="B148" s="64" t="s">
        <v>271</v>
      </c>
      <c r="C148" s="23">
        <f>SUM(D148:L148)</f>
        <v>4714267</v>
      </c>
      <c r="D148" s="23">
        <f t="shared" ref="D148:L148" si="95">SUM(D149:D154)</f>
        <v>3313622</v>
      </c>
      <c r="E148" s="32">
        <f t="shared" si="95"/>
        <v>-25731</v>
      </c>
      <c r="F148" s="27">
        <f t="shared" si="95"/>
        <v>186400</v>
      </c>
      <c r="G148" s="32">
        <f t="shared" si="95"/>
        <v>0</v>
      </c>
      <c r="H148" s="27">
        <f t="shared" si="95"/>
        <v>964422</v>
      </c>
      <c r="I148" s="32">
        <f t="shared" si="95"/>
        <v>221110</v>
      </c>
      <c r="J148" s="27">
        <f t="shared" si="95"/>
        <v>0</v>
      </c>
      <c r="K148" s="32">
        <f t="shared" si="95"/>
        <v>0</v>
      </c>
      <c r="L148" s="23">
        <f t="shared" si="95"/>
        <v>54444</v>
      </c>
    </row>
    <row r="149" spans="1:12" ht="25.5" x14ac:dyDescent="0.25">
      <c r="A149" s="68" t="s">
        <v>37</v>
      </c>
      <c r="B149" s="26" t="s">
        <v>826</v>
      </c>
      <c r="C149" s="23">
        <f t="shared" si="92"/>
        <v>1108049</v>
      </c>
      <c r="D149" s="69">
        <f>447251+2636</f>
        <v>449887</v>
      </c>
      <c r="E149" s="11">
        <v>-25731</v>
      </c>
      <c r="F149" s="67">
        <v>66526</v>
      </c>
      <c r="G149" s="11">
        <v>0</v>
      </c>
      <c r="H149" s="67">
        <v>387356</v>
      </c>
      <c r="I149" s="11">
        <v>209066</v>
      </c>
      <c r="J149" s="67">
        <v>0</v>
      </c>
      <c r="K149" s="11">
        <v>0</v>
      </c>
      <c r="L149" s="69">
        <v>20945</v>
      </c>
    </row>
    <row r="150" spans="1:12" ht="25.5" x14ac:dyDescent="0.25">
      <c r="A150" s="68" t="s">
        <v>38</v>
      </c>
      <c r="B150" s="26" t="s">
        <v>367</v>
      </c>
      <c r="C150" s="23">
        <f t="shared" si="92"/>
        <v>253813</v>
      </c>
      <c r="D150" s="69">
        <v>132231</v>
      </c>
      <c r="E150" s="11">
        <v>0</v>
      </c>
      <c r="F150" s="67">
        <v>12968</v>
      </c>
      <c r="G150" s="11">
        <v>0</v>
      </c>
      <c r="H150" s="67">
        <v>100882</v>
      </c>
      <c r="I150" s="11">
        <v>1465</v>
      </c>
      <c r="J150" s="67">
        <v>0</v>
      </c>
      <c r="K150" s="11">
        <v>0</v>
      </c>
      <c r="L150" s="69">
        <v>6267</v>
      </c>
    </row>
    <row r="151" spans="1:12" ht="25.5" x14ac:dyDescent="0.25">
      <c r="A151" s="68" t="s">
        <v>257</v>
      </c>
      <c r="B151" s="26" t="s">
        <v>368</v>
      </c>
      <c r="C151" s="23">
        <f t="shared" si="92"/>
        <v>2332756</v>
      </c>
      <c r="D151" s="69">
        <v>1711855</v>
      </c>
      <c r="E151" s="11">
        <v>0</v>
      </c>
      <c r="F151" s="67">
        <v>106906</v>
      </c>
      <c r="G151" s="11">
        <v>0</v>
      </c>
      <c r="H151" s="67">
        <v>476184</v>
      </c>
      <c r="I151" s="11">
        <v>10579</v>
      </c>
      <c r="J151" s="67">
        <v>0</v>
      </c>
      <c r="K151" s="11">
        <v>0</v>
      </c>
      <c r="L151" s="69">
        <v>27232</v>
      </c>
    </row>
    <row r="152" spans="1:12" ht="38.25" hidden="1" x14ac:dyDescent="0.25">
      <c r="A152" s="65" t="s">
        <v>258</v>
      </c>
      <c r="B152" s="66" t="s">
        <v>275</v>
      </c>
      <c r="C152" s="27">
        <f t="shared" si="92"/>
        <v>0</v>
      </c>
      <c r="D152" s="67"/>
      <c r="E152" s="11"/>
      <c r="F152" s="67"/>
      <c r="G152" s="11"/>
      <c r="H152" s="67"/>
      <c r="I152" s="11"/>
      <c r="J152" s="67"/>
      <c r="K152" s="11"/>
      <c r="L152" s="67"/>
    </row>
    <row r="153" spans="1:12" ht="76.5" x14ac:dyDescent="0.25">
      <c r="A153" s="65" t="s">
        <v>393</v>
      </c>
      <c r="B153" s="66" t="s">
        <v>392</v>
      </c>
      <c r="C153" s="27">
        <f t="shared" ref="C153:C154" si="96">SUM(D153:L153)</f>
        <v>802205</v>
      </c>
      <c r="D153" s="67">
        <v>802205</v>
      </c>
      <c r="E153" s="11">
        <v>0</v>
      </c>
      <c r="F153" s="67">
        <v>0</v>
      </c>
      <c r="G153" s="11">
        <v>0</v>
      </c>
      <c r="H153" s="67">
        <v>0</v>
      </c>
      <c r="I153" s="11">
        <v>0</v>
      </c>
      <c r="J153" s="67">
        <v>0</v>
      </c>
      <c r="K153" s="11">
        <v>0</v>
      </c>
      <c r="L153" s="67">
        <v>0</v>
      </c>
    </row>
    <row r="154" spans="1:12" ht="51" x14ac:dyDescent="0.25">
      <c r="A154" s="65" t="s">
        <v>395</v>
      </c>
      <c r="B154" s="66" t="s">
        <v>394</v>
      </c>
      <c r="C154" s="27">
        <f t="shared" si="96"/>
        <v>217444</v>
      </c>
      <c r="D154" s="67">
        <v>217444</v>
      </c>
      <c r="E154" s="11">
        <v>0</v>
      </c>
      <c r="F154" s="67">
        <v>0</v>
      </c>
      <c r="G154" s="11">
        <v>0</v>
      </c>
      <c r="H154" s="67">
        <v>0</v>
      </c>
      <c r="I154" s="11">
        <v>0</v>
      </c>
      <c r="J154" s="67">
        <v>0</v>
      </c>
      <c r="K154" s="11">
        <v>0</v>
      </c>
      <c r="L154" s="67">
        <v>0</v>
      </c>
    </row>
    <row r="155" spans="1:12" ht="66.75" customHeight="1" x14ac:dyDescent="0.25">
      <c r="A155" s="63" t="s">
        <v>262</v>
      </c>
      <c r="B155" s="64" t="s">
        <v>503</v>
      </c>
      <c r="C155" s="23">
        <f>SUM(D155:L155)</f>
        <v>8600</v>
      </c>
      <c r="D155" s="23">
        <f>SUM(D156:D157)</f>
        <v>8600</v>
      </c>
      <c r="E155" s="32">
        <f t="shared" ref="E155:L155" si="97">SUM(E156:E157)</f>
        <v>0</v>
      </c>
      <c r="F155" s="27">
        <f t="shared" si="97"/>
        <v>0</v>
      </c>
      <c r="G155" s="32">
        <f t="shared" si="97"/>
        <v>0</v>
      </c>
      <c r="H155" s="27">
        <f t="shared" si="97"/>
        <v>0</v>
      </c>
      <c r="I155" s="32">
        <f t="shared" si="97"/>
        <v>0</v>
      </c>
      <c r="J155" s="27">
        <f t="shared" si="97"/>
        <v>0</v>
      </c>
      <c r="K155" s="32">
        <f t="shared" si="97"/>
        <v>0</v>
      </c>
      <c r="L155" s="23">
        <f t="shared" si="97"/>
        <v>0</v>
      </c>
    </row>
    <row r="156" spans="1:12" ht="25.5" x14ac:dyDescent="0.25">
      <c r="A156" s="68" t="s">
        <v>42</v>
      </c>
      <c r="B156" s="26" t="s">
        <v>502</v>
      </c>
      <c r="C156" s="23">
        <f t="shared" si="92"/>
        <v>6000</v>
      </c>
      <c r="D156" s="69">
        <v>6000</v>
      </c>
      <c r="E156" s="11">
        <v>0</v>
      </c>
      <c r="F156" s="67">
        <v>0</v>
      </c>
      <c r="G156" s="11">
        <v>0</v>
      </c>
      <c r="H156" s="67">
        <v>0</v>
      </c>
      <c r="I156" s="11">
        <v>0</v>
      </c>
      <c r="J156" s="67">
        <v>0</v>
      </c>
      <c r="K156" s="11">
        <v>0</v>
      </c>
      <c r="L156" s="69">
        <v>0</v>
      </c>
    </row>
    <row r="157" spans="1:12" ht="25.5" x14ac:dyDescent="0.25">
      <c r="A157" s="68" t="s">
        <v>263</v>
      </c>
      <c r="B157" s="26" t="s">
        <v>768</v>
      </c>
      <c r="C157" s="23">
        <f t="shared" si="92"/>
        <v>2600</v>
      </c>
      <c r="D157" s="69">
        <v>2600</v>
      </c>
      <c r="E157" s="11">
        <v>0</v>
      </c>
      <c r="F157" s="67">
        <v>0</v>
      </c>
      <c r="G157" s="11">
        <v>0</v>
      </c>
      <c r="H157" s="67">
        <v>0</v>
      </c>
      <c r="I157" s="11">
        <v>0</v>
      </c>
      <c r="J157" s="67">
        <v>0</v>
      </c>
      <c r="K157" s="11">
        <v>0</v>
      </c>
      <c r="L157" s="69">
        <v>0</v>
      </c>
    </row>
    <row r="158" spans="1:12" ht="25.5" x14ac:dyDescent="0.25">
      <c r="A158" s="63" t="s">
        <v>259</v>
      </c>
      <c r="B158" s="64" t="s">
        <v>504</v>
      </c>
      <c r="C158" s="23">
        <f>SUM(D158:L158)</f>
        <v>1451970</v>
      </c>
      <c r="D158" s="23">
        <f t="shared" ref="D158:L158" si="98">SUM(D159:D162)</f>
        <v>863543</v>
      </c>
      <c r="E158" s="32">
        <f t="shared" si="98"/>
        <v>0</v>
      </c>
      <c r="F158" s="27">
        <f t="shared" si="98"/>
        <v>248700</v>
      </c>
      <c r="G158" s="32">
        <f t="shared" si="98"/>
        <v>11245</v>
      </c>
      <c r="H158" s="27">
        <f t="shared" si="98"/>
        <v>113588</v>
      </c>
      <c r="I158" s="32">
        <f t="shared" si="98"/>
        <v>35259</v>
      </c>
      <c r="J158" s="27">
        <f t="shared" si="98"/>
        <v>0</v>
      </c>
      <c r="K158" s="32">
        <f t="shared" si="98"/>
        <v>0</v>
      </c>
      <c r="L158" s="23">
        <f t="shared" si="98"/>
        <v>179635</v>
      </c>
    </row>
    <row r="159" spans="1:12" ht="38.25" x14ac:dyDescent="0.25">
      <c r="A159" s="68" t="s">
        <v>260</v>
      </c>
      <c r="B159" s="26" t="s">
        <v>354</v>
      </c>
      <c r="C159" s="23">
        <f t="shared" si="92"/>
        <v>1143057</v>
      </c>
      <c r="D159" s="69">
        <v>843552</v>
      </c>
      <c r="E159" s="11">
        <v>0</v>
      </c>
      <c r="F159" s="67">
        <f>177577+71123</f>
        <v>248700</v>
      </c>
      <c r="G159" s="11">
        <v>320</v>
      </c>
      <c r="H159" s="67">
        <v>0</v>
      </c>
      <c r="I159" s="11">
        <v>0</v>
      </c>
      <c r="J159" s="67">
        <v>0</v>
      </c>
      <c r="K159" s="11">
        <v>0</v>
      </c>
      <c r="L159" s="69">
        <v>50485</v>
      </c>
    </row>
    <row r="160" spans="1:12" ht="38.25" x14ac:dyDescent="0.25">
      <c r="A160" s="68" t="s">
        <v>261</v>
      </c>
      <c r="B160" s="26" t="s">
        <v>355</v>
      </c>
      <c r="C160" s="23">
        <f t="shared" si="92"/>
        <v>232351</v>
      </c>
      <c r="D160" s="69">
        <v>11991</v>
      </c>
      <c r="E160" s="11">
        <v>0</v>
      </c>
      <c r="F160" s="67">
        <v>0</v>
      </c>
      <c r="G160" s="11">
        <v>10925</v>
      </c>
      <c r="H160" s="67">
        <v>60674</v>
      </c>
      <c r="I160" s="11">
        <v>35165</v>
      </c>
      <c r="J160" s="67">
        <v>0</v>
      </c>
      <c r="K160" s="11">
        <v>0</v>
      </c>
      <c r="L160" s="69">
        <v>113596</v>
      </c>
    </row>
    <row r="161" spans="1:12" x14ac:dyDescent="0.25">
      <c r="A161" s="68" t="s">
        <v>330</v>
      </c>
      <c r="B161" s="26" t="s">
        <v>405</v>
      </c>
      <c r="C161" s="23">
        <f t="shared" ref="C161:C162" si="99">SUM(D161:L161)</f>
        <v>76468</v>
      </c>
      <c r="D161" s="69">
        <v>8000</v>
      </c>
      <c r="E161" s="11">
        <v>0</v>
      </c>
      <c r="F161" s="67">
        <v>0</v>
      </c>
      <c r="G161" s="11">
        <v>0</v>
      </c>
      <c r="H161" s="67">
        <v>52914</v>
      </c>
      <c r="I161" s="11">
        <v>0</v>
      </c>
      <c r="J161" s="67">
        <v>0</v>
      </c>
      <c r="K161" s="11">
        <v>0</v>
      </c>
      <c r="L161" s="69">
        <v>15554</v>
      </c>
    </row>
    <row r="162" spans="1:12" ht="38.25" x14ac:dyDescent="0.25">
      <c r="A162" s="65" t="s">
        <v>787</v>
      </c>
      <c r="B162" s="66" t="s">
        <v>788</v>
      </c>
      <c r="C162" s="27">
        <f t="shared" si="99"/>
        <v>94</v>
      </c>
      <c r="D162" s="67">
        <v>0</v>
      </c>
      <c r="E162" s="11">
        <v>0</v>
      </c>
      <c r="F162" s="67">
        <v>0</v>
      </c>
      <c r="G162" s="11">
        <v>0</v>
      </c>
      <c r="H162" s="67">
        <v>0</v>
      </c>
      <c r="I162" s="11">
        <v>94</v>
      </c>
      <c r="J162" s="67">
        <v>0</v>
      </c>
      <c r="K162" s="11">
        <v>0</v>
      </c>
      <c r="L162" s="67">
        <v>0</v>
      </c>
    </row>
    <row r="163" spans="1:12" x14ac:dyDescent="0.25">
      <c r="A163" s="63" t="s">
        <v>264</v>
      </c>
      <c r="B163" s="64" t="s">
        <v>276</v>
      </c>
      <c r="C163" s="23">
        <f>SUM(D163:L163)</f>
        <v>1528443</v>
      </c>
      <c r="D163" s="23">
        <f>SUM(D164:D166)</f>
        <v>791562</v>
      </c>
      <c r="E163" s="32">
        <f t="shared" ref="E163:L163" si="100">SUM(E164:E166)</f>
        <v>16208</v>
      </c>
      <c r="F163" s="27">
        <f t="shared" si="100"/>
        <v>723</v>
      </c>
      <c r="G163" s="32">
        <f t="shared" si="100"/>
        <v>3500</v>
      </c>
      <c r="H163" s="27">
        <f t="shared" si="100"/>
        <v>401912</v>
      </c>
      <c r="I163" s="32">
        <f t="shared" si="100"/>
        <v>64993</v>
      </c>
      <c r="J163" s="27">
        <f t="shared" si="100"/>
        <v>0</v>
      </c>
      <c r="K163" s="32">
        <f t="shared" si="100"/>
        <v>0</v>
      </c>
      <c r="L163" s="23">
        <f t="shared" si="100"/>
        <v>249545</v>
      </c>
    </row>
    <row r="164" spans="1:12" ht="25.5" x14ac:dyDescent="0.25">
      <c r="A164" s="68" t="s">
        <v>265</v>
      </c>
      <c r="B164" s="26" t="s">
        <v>356</v>
      </c>
      <c r="C164" s="23">
        <f t="shared" si="92"/>
        <v>748568</v>
      </c>
      <c r="D164" s="69">
        <f>725725-2364</f>
        <v>723361</v>
      </c>
      <c r="E164" s="11">
        <v>19266</v>
      </c>
      <c r="F164" s="67">
        <v>0</v>
      </c>
      <c r="G164" s="11">
        <v>3500</v>
      </c>
      <c r="H164" s="67">
        <v>0</v>
      </c>
      <c r="I164" s="11">
        <v>0</v>
      </c>
      <c r="J164" s="67">
        <v>0</v>
      </c>
      <c r="K164" s="11">
        <v>0</v>
      </c>
      <c r="L164" s="69">
        <v>2441</v>
      </c>
    </row>
    <row r="165" spans="1:12" ht="25.5" x14ac:dyDescent="0.25">
      <c r="A165" s="65" t="s">
        <v>266</v>
      </c>
      <c r="B165" s="66" t="s">
        <v>357</v>
      </c>
      <c r="C165" s="27">
        <f t="shared" si="92"/>
        <v>706203</v>
      </c>
      <c r="D165" s="67">
        <v>0</v>
      </c>
      <c r="E165" s="11">
        <v>0</v>
      </c>
      <c r="F165" s="67">
        <v>0</v>
      </c>
      <c r="G165" s="11">
        <v>0</v>
      </c>
      <c r="H165" s="67">
        <f>400041+1871</f>
        <v>401912</v>
      </c>
      <c r="I165" s="11">
        <v>64993</v>
      </c>
      <c r="J165" s="67">
        <v>0</v>
      </c>
      <c r="K165" s="11">
        <v>0</v>
      </c>
      <c r="L165" s="67">
        <v>239298</v>
      </c>
    </row>
    <row r="166" spans="1:12" ht="38.25" x14ac:dyDescent="0.25">
      <c r="A166" s="68" t="s">
        <v>267</v>
      </c>
      <c r="B166" s="26" t="s">
        <v>358</v>
      </c>
      <c r="C166" s="23">
        <f t="shared" si="92"/>
        <v>73672</v>
      </c>
      <c r="D166" s="69">
        <v>68201</v>
      </c>
      <c r="E166" s="11">
        <v>-3058</v>
      </c>
      <c r="F166" s="67">
        <v>723</v>
      </c>
      <c r="G166" s="11">
        <v>0</v>
      </c>
      <c r="H166" s="67">
        <v>0</v>
      </c>
      <c r="I166" s="11">
        <v>0</v>
      </c>
      <c r="J166" s="67">
        <v>0</v>
      </c>
      <c r="K166" s="11">
        <v>0</v>
      </c>
      <c r="L166" s="69">
        <v>7806</v>
      </c>
    </row>
    <row r="167" spans="1:12" ht="25.5" x14ac:dyDescent="0.25">
      <c r="A167" s="63" t="s">
        <v>789</v>
      </c>
      <c r="B167" s="64" t="s">
        <v>792</v>
      </c>
      <c r="C167" s="23">
        <f>SUM(D167:L167)</f>
        <v>1475</v>
      </c>
      <c r="D167" s="23">
        <f t="shared" ref="D167:L167" si="101">D168</f>
        <v>230</v>
      </c>
      <c r="E167" s="32">
        <f t="shared" si="101"/>
        <v>0</v>
      </c>
      <c r="F167" s="27">
        <f t="shared" si="101"/>
        <v>0</v>
      </c>
      <c r="G167" s="32">
        <f t="shared" si="101"/>
        <v>0</v>
      </c>
      <c r="H167" s="27">
        <f t="shared" si="101"/>
        <v>0</v>
      </c>
      <c r="I167" s="32">
        <f t="shared" si="101"/>
        <v>0</v>
      </c>
      <c r="J167" s="27">
        <f t="shared" si="101"/>
        <v>0</v>
      </c>
      <c r="K167" s="32">
        <f t="shared" si="101"/>
        <v>0</v>
      </c>
      <c r="L167" s="23">
        <f t="shared" si="101"/>
        <v>1245</v>
      </c>
    </row>
    <row r="168" spans="1:12" x14ac:dyDescent="0.25">
      <c r="A168" s="68" t="s">
        <v>790</v>
      </c>
      <c r="B168" s="26" t="s">
        <v>791</v>
      </c>
      <c r="C168" s="23">
        <f t="shared" si="92"/>
        <v>1475</v>
      </c>
      <c r="D168" s="69">
        <v>230</v>
      </c>
      <c r="E168" s="11">
        <v>0</v>
      </c>
      <c r="F168" s="67">
        <v>0</v>
      </c>
      <c r="G168" s="11">
        <v>0</v>
      </c>
      <c r="H168" s="67">
        <v>0</v>
      </c>
      <c r="I168" s="11">
        <v>0</v>
      </c>
      <c r="J168" s="67">
        <v>0</v>
      </c>
      <c r="K168" s="11">
        <v>0</v>
      </c>
      <c r="L168" s="69">
        <v>1245</v>
      </c>
    </row>
    <row r="169" spans="1:12" x14ac:dyDescent="0.25">
      <c r="A169" s="93" t="s">
        <v>49</v>
      </c>
      <c r="B169" s="94" t="s">
        <v>123</v>
      </c>
      <c r="C169" s="101">
        <f>SUM(D169:L169)</f>
        <v>6801445</v>
      </c>
      <c r="D169" s="101">
        <f>D170+D179+D182+D186+D188+D190+D197</f>
        <v>6379539</v>
      </c>
      <c r="E169" s="102">
        <f t="shared" ref="E169:L169" si="102">E170+E179+E182+E187+E189+E190+E197</f>
        <v>-1105823</v>
      </c>
      <c r="F169" s="101">
        <f t="shared" si="102"/>
        <v>78118</v>
      </c>
      <c r="G169" s="102">
        <f t="shared" si="102"/>
        <v>470</v>
      </c>
      <c r="H169" s="101">
        <f t="shared" si="102"/>
        <v>1338440</v>
      </c>
      <c r="I169" s="102">
        <f t="shared" si="102"/>
        <v>2666</v>
      </c>
      <c r="J169" s="101">
        <f t="shared" si="102"/>
        <v>9214</v>
      </c>
      <c r="K169" s="102">
        <f t="shared" si="102"/>
        <v>0</v>
      </c>
      <c r="L169" s="101">
        <f t="shared" si="102"/>
        <v>98821</v>
      </c>
    </row>
    <row r="170" spans="1:12" ht="25.5" x14ac:dyDescent="0.25">
      <c r="A170" s="63" t="s">
        <v>278</v>
      </c>
      <c r="B170" s="64" t="s">
        <v>316</v>
      </c>
      <c r="C170" s="23">
        <f>SUM(D170:L170)</f>
        <v>1129491</v>
      </c>
      <c r="D170" s="23">
        <f t="shared" ref="D170:L170" si="103">SUM(D171:D178)</f>
        <v>388045</v>
      </c>
      <c r="E170" s="24">
        <f t="shared" si="103"/>
        <v>-7455</v>
      </c>
      <c r="F170" s="23">
        <f t="shared" si="103"/>
        <v>58148</v>
      </c>
      <c r="G170" s="24">
        <f t="shared" si="103"/>
        <v>0</v>
      </c>
      <c r="H170" s="23">
        <f t="shared" si="103"/>
        <v>632996</v>
      </c>
      <c r="I170" s="24">
        <f t="shared" si="103"/>
        <v>0</v>
      </c>
      <c r="J170" s="23">
        <f t="shared" si="103"/>
        <v>8009</v>
      </c>
      <c r="K170" s="24">
        <f t="shared" si="103"/>
        <v>0</v>
      </c>
      <c r="L170" s="23">
        <f t="shared" si="103"/>
        <v>49748</v>
      </c>
    </row>
    <row r="171" spans="1:12" ht="38.25" x14ac:dyDescent="0.25">
      <c r="A171" s="68" t="s">
        <v>279</v>
      </c>
      <c r="B171" s="26" t="s">
        <v>364</v>
      </c>
      <c r="C171" s="23">
        <f>SUM(D171:L171)</f>
        <v>473222</v>
      </c>
      <c r="D171" s="69">
        <v>134993</v>
      </c>
      <c r="E171" s="11">
        <v>12545</v>
      </c>
      <c r="F171" s="67">
        <v>0</v>
      </c>
      <c r="G171" s="11">
        <v>0</v>
      </c>
      <c r="H171" s="67">
        <v>325421</v>
      </c>
      <c r="I171" s="11">
        <v>0</v>
      </c>
      <c r="J171" s="69">
        <v>0</v>
      </c>
      <c r="K171" s="11">
        <v>0</v>
      </c>
      <c r="L171" s="69">
        <v>263</v>
      </c>
    </row>
    <row r="172" spans="1:12" x14ac:dyDescent="0.25">
      <c r="A172" s="68" t="s">
        <v>280</v>
      </c>
      <c r="B172" s="26" t="s">
        <v>422</v>
      </c>
      <c r="C172" s="23">
        <f t="shared" ref="C172:C185" si="104">SUM(D172:L172)</f>
        <v>93264</v>
      </c>
      <c r="D172" s="69">
        <v>56504</v>
      </c>
      <c r="E172" s="11">
        <v>0</v>
      </c>
      <c r="F172" s="67">
        <v>24525</v>
      </c>
      <c r="G172" s="11">
        <v>0</v>
      </c>
      <c r="H172" s="67">
        <v>0</v>
      </c>
      <c r="I172" s="11">
        <v>0</v>
      </c>
      <c r="J172" s="69">
        <v>8009</v>
      </c>
      <c r="K172" s="11">
        <v>0</v>
      </c>
      <c r="L172" s="69">
        <v>4226</v>
      </c>
    </row>
    <row r="173" spans="1:12" x14ac:dyDescent="0.25">
      <c r="A173" s="68" t="s">
        <v>281</v>
      </c>
      <c r="B173" s="26" t="s">
        <v>300</v>
      </c>
      <c r="C173" s="23">
        <f t="shared" si="104"/>
        <v>88426</v>
      </c>
      <c r="D173" s="69">
        <v>68300</v>
      </c>
      <c r="E173" s="11">
        <v>0</v>
      </c>
      <c r="F173" s="67">
        <v>19849</v>
      </c>
      <c r="G173" s="11">
        <v>0</v>
      </c>
      <c r="H173" s="67">
        <v>0</v>
      </c>
      <c r="I173" s="11">
        <v>0</v>
      </c>
      <c r="J173" s="69">
        <v>0</v>
      </c>
      <c r="K173" s="11">
        <v>0</v>
      </c>
      <c r="L173" s="69">
        <v>277</v>
      </c>
    </row>
    <row r="174" spans="1:12" x14ac:dyDescent="0.25">
      <c r="A174" s="68" t="s">
        <v>282</v>
      </c>
      <c r="B174" s="26" t="s">
        <v>301</v>
      </c>
      <c r="C174" s="23">
        <f t="shared" si="104"/>
        <v>67806</v>
      </c>
      <c r="D174" s="69">
        <v>57835</v>
      </c>
      <c r="E174" s="11">
        <v>0</v>
      </c>
      <c r="F174" s="67">
        <v>8599</v>
      </c>
      <c r="G174" s="11">
        <v>0</v>
      </c>
      <c r="H174" s="67">
        <v>0</v>
      </c>
      <c r="I174" s="11">
        <v>0</v>
      </c>
      <c r="J174" s="69">
        <v>0</v>
      </c>
      <c r="K174" s="11">
        <v>0</v>
      </c>
      <c r="L174" s="69">
        <v>1372</v>
      </c>
    </row>
    <row r="175" spans="1:12" x14ac:dyDescent="0.25">
      <c r="A175" s="68" t="s">
        <v>283</v>
      </c>
      <c r="B175" s="26" t="s">
        <v>302</v>
      </c>
      <c r="C175" s="23">
        <f t="shared" si="104"/>
        <v>117176</v>
      </c>
      <c r="D175" s="69">
        <v>50413</v>
      </c>
      <c r="E175" s="11">
        <v>0</v>
      </c>
      <c r="F175" s="67">
        <v>5175</v>
      </c>
      <c r="G175" s="11">
        <v>0</v>
      </c>
      <c r="H175" s="67">
        <v>59941</v>
      </c>
      <c r="I175" s="11">
        <v>0</v>
      </c>
      <c r="J175" s="67">
        <v>0</v>
      </c>
      <c r="K175" s="11">
        <v>0</v>
      </c>
      <c r="L175" s="69">
        <v>1647</v>
      </c>
    </row>
    <row r="176" spans="1:12" ht="25.5" x14ac:dyDescent="0.25">
      <c r="A176" s="68" t="s">
        <v>331</v>
      </c>
      <c r="B176" s="26" t="s">
        <v>404</v>
      </c>
      <c r="C176" s="23">
        <f t="shared" ref="C176:C177" si="105">SUM(D176:L176)</f>
        <v>143074</v>
      </c>
      <c r="D176" s="69">
        <v>20000</v>
      </c>
      <c r="E176" s="11">
        <v>-20000</v>
      </c>
      <c r="F176" s="67">
        <v>0</v>
      </c>
      <c r="G176" s="11">
        <v>0</v>
      </c>
      <c r="H176" s="67">
        <v>118711</v>
      </c>
      <c r="I176" s="11">
        <v>0</v>
      </c>
      <c r="J176" s="67">
        <v>0</v>
      </c>
      <c r="K176" s="11">
        <v>0</v>
      </c>
      <c r="L176" s="69">
        <v>24363</v>
      </c>
    </row>
    <row r="177" spans="1:12" ht="51" hidden="1" x14ac:dyDescent="0.25">
      <c r="A177" s="68" t="s">
        <v>417</v>
      </c>
      <c r="B177" s="26" t="s">
        <v>640</v>
      </c>
      <c r="C177" s="23">
        <f t="shared" si="105"/>
        <v>0</v>
      </c>
      <c r="D177" s="69"/>
      <c r="E177" s="11"/>
      <c r="F177" s="67"/>
      <c r="G177" s="11"/>
      <c r="H177" s="67"/>
      <c r="I177" s="11"/>
      <c r="J177" s="67"/>
      <c r="K177" s="11"/>
      <c r="L177" s="69"/>
    </row>
    <row r="178" spans="1:12" ht="76.5" x14ac:dyDescent="0.25">
      <c r="A178" s="68" t="s">
        <v>793</v>
      </c>
      <c r="B178" s="26" t="s">
        <v>794</v>
      </c>
      <c r="C178" s="23">
        <f t="shared" ref="C178" si="106">SUM(D178:L178)</f>
        <v>146523</v>
      </c>
      <c r="D178" s="69">
        <v>0</v>
      </c>
      <c r="E178" s="11">
        <v>0</v>
      </c>
      <c r="F178" s="67">
        <v>0</v>
      </c>
      <c r="G178" s="11">
        <v>0</v>
      </c>
      <c r="H178" s="67">
        <v>128923</v>
      </c>
      <c r="I178" s="11">
        <v>0</v>
      </c>
      <c r="J178" s="67">
        <v>0</v>
      </c>
      <c r="K178" s="11">
        <v>0</v>
      </c>
      <c r="L178" s="69">
        <v>17600</v>
      </c>
    </row>
    <row r="179" spans="1:12" x14ac:dyDescent="0.25">
      <c r="A179" s="63" t="s">
        <v>284</v>
      </c>
      <c r="B179" s="64" t="s">
        <v>326</v>
      </c>
      <c r="C179" s="23">
        <f>SUM(D179:L179)</f>
        <v>529287</v>
      </c>
      <c r="D179" s="23">
        <f>SUM(D180:D181)</f>
        <v>518339</v>
      </c>
      <c r="E179" s="32">
        <f t="shared" ref="E179:L179" si="107">SUM(E180:E181)</f>
        <v>5780</v>
      </c>
      <c r="F179" s="27">
        <f t="shared" si="107"/>
        <v>0</v>
      </c>
      <c r="G179" s="32">
        <f t="shared" si="107"/>
        <v>0</v>
      </c>
      <c r="H179" s="27">
        <f t="shared" si="107"/>
        <v>0</v>
      </c>
      <c r="I179" s="32">
        <f t="shared" si="107"/>
        <v>0</v>
      </c>
      <c r="J179" s="27">
        <f t="shared" si="107"/>
        <v>0</v>
      </c>
      <c r="K179" s="24">
        <f t="shared" si="107"/>
        <v>0</v>
      </c>
      <c r="L179" s="23">
        <f t="shared" si="107"/>
        <v>5168</v>
      </c>
    </row>
    <row r="180" spans="1:12" ht="22.5" customHeight="1" x14ac:dyDescent="0.25">
      <c r="A180" s="68" t="s">
        <v>285</v>
      </c>
      <c r="B180" s="26" t="s">
        <v>303</v>
      </c>
      <c r="C180" s="23">
        <f t="shared" si="104"/>
        <v>239291</v>
      </c>
      <c r="D180" s="69">
        <v>233959</v>
      </c>
      <c r="E180" s="11">
        <v>5000</v>
      </c>
      <c r="F180" s="67">
        <v>0</v>
      </c>
      <c r="G180" s="11">
        <v>0</v>
      </c>
      <c r="H180" s="67">
        <v>0</v>
      </c>
      <c r="I180" s="11">
        <v>0</v>
      </c>
      <c r="J180" s="67">
        <v>0</v>
      </c>
      <c r="K180" s="11">
        <v>0</v>
      </c>
      <c r="L180" s="69">
        <v>332</v>
      </c>
    </row>
    <row r="181" spans="1:12" x14ac:dyDescent="0.25">
      <c r="A181" s="68" t="s">
        <v>286</v>
      </c>
      <c r="B181" s="26" t="s">
        <v>304</v>
      </c>
      <c r="C181" s="23">
        <f t="shared" si="104"/>
        <v>289996</v>
      </c>
      <c r="D181" s="69">
        <v>284380</v>
      </c>
      <c r="E181" s="11">
        <v>780</v>
      </c>
      <c r="F181" s="67">
        <v>0</v>
      </c>
      <c r="G181" s="11">
        <v>0</v>
      </c>
      <c r="H181" s="67">
        <v>0</v>
      </c>
      <c r="I181" s="11">
        <v>0</v>
      </c>
      <c r="J181" s="67">
        <v>0</v>
      </c>
      <c r="K181" s="11">
        <v>0</v>
      </c>
      <c r="L181" s="69">
        <v>4836</v>
      </c>
    </row>
    <row r="182" spans="1:12" x14ac:dyDescent="0.25">
      <c r="A182" s="63" t="s">
        <v>287</v>
      </c>
      <c r="B182" s="64" t="s">
        <v>305</v>
      </c>
      <c r="C182" s="23">
        <f>SUM(D182:L182)</f>
        <v>1051042</v>
      </c>
      <c r="D182" s="23">
        <f>SUM(D183:D185)</f>
        <v>1119808</v>
      </c>
      <c r="E182" s="32">
        <f t="shared" ref="E182:L182" si="108">SUM(E183:E185)</f>
        <v>-112497</v>
      </c>
      <c r="F182" s="27">
        <f t="shared" si="108"/>
        <v>5850</v>
      </c>
      <c r="G182" s="32">
        <f t="shared" si="108"/>
        <v>0</v>
      </c>
      <c r="H182" s="27">
        <f t="shared" si="108"/>
        <v>31548</v>
      </c>
      <c r="I182" s="32">
        <f t="shared" si="108"/>
        <v>2240</v>
      </c>
      <c r="J182" s="27">
        <f t="shared" si="108"/>
        <v>0</v>
      </c>
      <c r="K182" s="24">
        <f t="shared" si="108"/>
        <v>0</v>
      </c>
      <c r="L182" s="23">
        <f t="shared" si="108"/>
        <v>4093</v>
      </c>
    </row>
    <row r="183" spans="1:12" ht="38.25" x14ac:dyDescent="0.25">
      <c r="A183" s="68" t="s">
        <v>288</v>
      </c>
      <c r="B183" s="26" t="s">
        <v>306</v>
      </c>
      <c r="C183" s="23">
        <f t="shared" si="104"/>
        <v>855917</v>
      </c>
      <c r="D183" s="69">
        <f>941101-16000</f>
        <v>925101</v>
      </c>
      <c r="E183" s="11">
        <v>-112897</v>
      </c>
      <c r="F183" s="67">
        <v>5850</v>
      </c>
      <c r="G183" s="11">
        <v>0</v>
      </c>
      <c r="H183" s="67">
        <v>31548</v>
      </c>
      <c r="I183" s="11">
        <v>2240</v>
      </c>
      <c r="J183" s="67">
        <v>0</v>
      </c>
      <c r="K183" s="11">
        <v>0</v>
      </c>
      <c r="L183" s="69">
        <v>4075</v>
      </c>
    </row>
    <row r="184" spans="1:12" ht="25.5" x14ac:dyDescent="0.25">
      <c r="A184" s="68" t="s">
        <v>289</v>
      </c>
      <c r="B184" s="26" t="s">
        <v>359</v>
      </c>
      <c r="C184" s="23">
        <f t="shared" si="104"/>
        <v>195125</v>
      </c>
      <c r="D184" s="69">
        <v>194707</v>
      </c>
      <c r="E184" s="11">
        <v>400</v>
      </c>
      <c r="F184" s="67">
        <v>0</v>
      </c>
      <c r="G184" s="11">
        <v>0</v>
      </c>
      <c r="H184" s="67">
        <v>0</v>
      </c>
      <c r="I184" s="11">
        <v>0</v>
      </c>
      <c r="J184" s="67">
        <v>0</v>
      </c>
      <c r="K184" s="11">
        <v>0</v>
      </c>
      <c r="L184" s="69">
        <v>18</v>
      </c>
    </row>
    <row r="185" spans="1:12" hidden="1" x14ac:dyDescent="0.25">
      <c r="A185" s="58"/>
      <c r="B185" s="59"/>
      <c r="C185" s="80">
        <f t="shared" si="104"/>
        <v>0</v>
      </c>
      <c r="D185" s="83"/>
      <c r="E185" s="92"/>
      <c r="F185" s="83"/>
      <c r="G185" s="92"/>
      <c r="H185" s="83"/>
      <c r="I185" s="92"/>
      <c r="J185" s="83"/>
      <c r="K185" s="92"/>
      <c r="L185" s="83"/>
    </row>
    <row r="186" spans="1:12" x14ac:dyDescent="0.25">
      <c r="A186" s="63" t="s">
        <v>505</v>
      </c>
      <c r="B186" s="64" t="s">
        <v>307</v>
      </c>
      <c r="C186" s="23">
        <f>SUM(D186:L186)</f>
        <v>53000</v>
      </c>
      <c r="D186" s="23">
        <f>D187</f>
        <v>23000</v>
      </c>
      <c r="E186" s="24">
        <f t="shared" ref="E186:L186" si="109">E187</f>
        <v>0</v>
      </c>
      <c r="F186" s="23">
        <f t="shared" si="109"/>
        <v>0</v>
      </c>
      <c r="G186" s="24">
        <f t="shared" si="109"/>
        <v>0</v>
      </c>
      <c r="H186" s="23">
        <f t="shared" si="109"/>
        <v>30000</v>
      </c>
      <c r="I186" s="24">
        <f t="shared" si="109"/>
        <v>0</v>
      </c>
      <c r="J186" s="23">
        <f t="shared" si="109"/>
        <v>0</v>
      </c>
      <c r="K186" s="24">
        <f t="shared" si="109"/>
        <v>0</v>
      </c>
      <c r="L186" s="23">
        <f t="shared" si="109"/>
        <v>0</v>
      </c>
    </row>
    <row r="187" spans="1:12" x14ac:dyDescent="0.25">
      <c r="A187" s="68" t="s">
        <v>290</v>
      </c>
      <c r="B187" s="26" t="s">
        <v>307</v>
      </c>
      <c r="C187" s="23">
        <f>SUM(D187:L187)</f>
        <v>53000</v>
      </c>
      <c r="D187" s="69">
        <v>23000</v>
      </c>
      <c r="E187" s="11">
        <v>0</v>
      </c>
      <c r="F187" s="67">
        <v>0</v>
      </c>
      <c r="G187" s="11">
        <v>0</v>
      </c>
      <c r="H187" s="67">
        <v>30000</v>
      </c>
      <c r="I187" s="11">
        <v>0</v>
      </c>
      <c r="J187" s="67">
        <v>0</v>
      </c>
      <c r="K187" s="11">
        <v>0</v>
      </c>
      <c r="L187" s="69">
        <v>0</v>
      </c>
    </row>
    <row r="188" spans="1:12" x14ac:dyDescent="0.25">
      <c r="A188" s="63" t="s">
        <v>506</v>
      </c>
      <c r="B188" s="64" t="s">
        <v>507</v>
      </c>
      <c r="C188" s="23">
        <f>SUM(D188:L188)</f>
        <v>335040</v>
      </c>
      <c r="D188" s="23">
        <f>D189</f>
        <v>335040</v>
      </c>
      <c r="E188" s="24">
        <f t="shared" ref="E188:L188" si="110">E189</f>
        <v>0</v>
      </c>
      <c r="F188" s="23">
        <f t="shared" si="110"/>
        <v>0</v>
      </c>
      <c r="G188" s="24">
        <f t="shared" si="110"/>
        <v>0</v>
      </c>
      <c r="H188" s="23">
        <f t="shared" si="110"/>
        <v>0</v>
      </c>
      <c r="I188" s="24">
        <f t="shared" si="110"/>
        <v>0</v>
      </c>
      <c r="J188" s="23">
        <f t="shared" si="110"/>
        <v>0</v>
      </c>
      <c r="K188" s="24">
        <f t="shared" si="110"/>
        <v>0</v>
      </c>
      <c r="L188" s="23">
        <f t="shared" si="110"/>
        <v>0</v>
      </c>
    </row>
    <row r="189" spans="1:12" ht="35.25" customHeight="1" x14ac:dyDescent="0.25">
      <c r="A189" s="68" t="s">
        <v>291</v>
      </c>
      <c r="B189" s="26" t="s">
        <v>308</v>
      </c>
      <c r="C189" s="23">
        <f>SUM(D189:L189)</f>
        <v>335040</v>
      </c>
      <c r="D189" s="69">
        <v>335040</v>
      </c>
      <c r="E189" s="11">
        <v>0</v>
      </c>
      <c r="F189" s="67">
        <v>0</v>
      </c>
      <c r="G189" s="11">
        <v>0</v>
      </c>
      <c r="H189" s="67">
        <v>0</v>
      </c>
      <c r="I189" s="11">
        <v>0</v>
      </c>
      <c r="J189" s="67">
        <v>0</v>
      </c>
      <c r="K189" s="11">
        <v>0</v>
      </c>
      <c r="L189" s="69">
        <v>0</v>
      </c>
    </row>
    <row r="190" spans="1:12" ht="40.5" customHeight="1" x14ac:dyDescent="0.25">
      <c r="A190" s="63" t="s">
        <v>292</v>
      </c>
      <c r="B190" s="64" t="s">
        <v>309</v>
      </c>
      <c r="C190" s="23">
        <f>SUM(D190:L190)</f>
        <v>2043532</v>
      </c>
      <c r="D190" s="23">
        <f>SUM(D191:D196)</f>
        <v>2409134</v>
      </c>
      <c r="E190" s="32">
        <f t="shared" ref="E190:L190" si="111">SUM(E191:E196)</f>
        <v>-1005142</v>
      </c>
      <c r="F190" s="27">
        <f t="shared" si="111"/>
        <v>13940</v>
      </c>
      <c r="G190" s="32">
        <f t="shared" si="111"/>
        <v>0</v>
      </c>
      <c r="H190" s="27">
        <f t="shared" si="111"/>
        <v>616896</v>
      </c>
      <c r="I190" s="32">
        <f t="shared" si="111"/>
        <v>426</v>
      </c>
      <c r="J190" s="27">
        <f t="shared" si="111"/>
        <v>1205</v>
      </c>
      <c r="K190" s="24">
        <f t="shared" si="111"/>
        <v>0</v>
      </c>
      <c r="L190" s="23">
        <f t="shared" si="111"/>
        <v>7073</v>
      </c>
    </row>
    <row r="191" spans="1:12" x14ac:dyDescent="0.25">
      <c r="A191" s="68" t="s">
        <v>293</v>
      </c>
      <c r="B191" s="26" t="s">
        <v>310</v>
      </c>
      <c r="C191" s="23">
        <f t="shared" ref="C191:C201" si="112">SUM(D191:L191)</f>
        <v>9175</v>
      </c>
      <c r="D191" s="69">
        <v>9175</v>
      </c>
      <c r="E191" s="11">
        <v>0</v>
      </c>
      <c r="F191" s="67">
        <v>0</v>
      </c>
      <c r="G191" s="11">
        <v>0</v>
      </c>
      <c r="H191" s="67">
        <v>0</v>
      </c>
      <c r="I191" s="11">
        <v>0</v>
      </c>
      <c r="J191" s="67">
        <v>0</v>
      </c>
      <c r="K191" s="11">
        <v>0</v>
      </c>
      <c r="L191" s="69">
        <v>0</v>
      </c>
    </row>
    <row r="192" spans="1:12" ht="53.25" customHeight="1" x14ac:dyDescent="0.25">
      <c r="A192" s="68" t="s">
        <v>294</v>
      </c>
      <c r="B192" s="26" t="s">
        <v>363</v>
      </c>
      <c r="C192" s="23">
        <f t="shared" si="112"/>
        <v>61399</v>
      </c>
      <c r="D192" s="69">
        <v>67899</v>
      </c>
      <c r="E192" s="11">
        <v>-6926</v>
      </c>
      <c r="F192" s="67">
        <v>0</v>
      </c>
      <c r="G192" s="11">
        <v>0</v>
      </c>
      <c r="H192" s="67">
        <v>0</v>
      </c>
      <c r="I192" s="11">
        <v>426</v>
      </c>
      <c r="J192" s="67">
        <v>0</v>
      </c>
      <c r="K192" s="11">
        <v>0</v>
      </c>
      <c r="L192" s="69">
        <v>0</v>
      </c>
    </row>
    <row r="193" spans="1:12" x14ac:dyDescent="0.25">
      <c r="A193" s="68" t="s">
        <v>295</v>
      </c>
      <c r="B193" s="26" t="s">
        <v>311</v>
      </c>
      <c r="C193" s="23">
        <f t="shared" si="112"/>
        <v>92135</v>
      </c>
      <c r="D193" s="69">
        <v>80996</v>
      </c>
      <c r="E193" s="11">
        <v>0</v>
      </c>
      <c r="F193" s="67">
        <v>6640</v>
      </c>
      <c r="G193" s="11">
        <v>0</v>
      </c>
      <c r="H193" s="67">
        <v>0</v>
      </c>
      <c r="I193" s="11">
        <v>0</v>
      </c>
      <c r="J193" s="67">
        <v>1205</v>
      </c>
      <c r="K193" s="11">
        <v>0</v>
      </c>
      <c r="L193" s="69">
        <v>3294</v>
      </c>
    </row>
    <row r="194" spans="1:12" x14ac:dyDescent="0.25">
      <c r="A194" s="68" t="s">
        <v>296</v>
      </c>
      <c r="B194" s="26" t="s">
        <v>312</v>
      </c>
      <c r="C194" s="23">
        <f t="shared" ref="C194" si="113">SUM(D194:L194)</f>
        <v>15673</v>
      </c>
      <c r="D194" s="69">
        <v>12673</v>
      </c>
      <c r="E194" s="11">
        <v>0</v>
      </c>
      <c r="F194" s="67">
        <v>3000</v>
      </c>
      <c r="G194" s="11">
        <v>0</v>
      </c>
      <c r="H194" s="67">
        <v>0</v>
      </c>
      <c r="I194" s="11">
        <v>0</v>
      </c>
      <c r="J194" s="67">
        <v>0</v>
      </c>
      <c r="K194" s="11">
        <v>0</v>
      </c>
      <c r="L194" s="69">
        <v>0</v>
      </c>
    </row>
    <row r="195" spans="1:12" ht="25.5" x14ac:dyDescent="0.25">
      <c r="A195" s="68" t="s">
        <v>508</v>
      </c>
      <c r="B195" s="26" t="s">
        <v>509</v>
      </c>
      <c r="C195" s="23">
        <f t="shared" si="112"/>
        <v>233154</v>
      </c>
      <c r="D195" s="69">
        <v>255595</v>
      </c>
      <c r="E195" s="11">
        <v>-30520</v>
      </c>
      <c r="F195" s="67">
        <v>4300</v>
      </c>
      <c r="G195" s="11">
        <v>0</v>
      </c>
      <c r="H195" s="67">
        <v>0</v>
      </c>
      <c r="I195" s="11">
        <v>0</v>
      </c>
      <c r="J195" s="67">
        <v>0</v>
      </c>
      <c r="K195" s="11">
        <v>0</v>
      </c>
      <c r="L195" s="69">
        <v>3779</v>
      </c>
    </row>
    <row r="196" spans="1:12" ht="38.25" x14ac:dyDescent="0.25">
      <c r="A196" s="68" t="s">
        <v>510</v>
      </c>
      <c r="B196" s="26" t="s">
        <v>511</v>
      </c>
      <c r="C196" s="23">
        <f t="shared" si="112"/>
        <v>1631996</v>
      </c>
      <c r="D196" s="69">
        <v>1982796</v>
      </c>
      <c r="E196" s="11">
        <v>-967696</v>
      </c>
      <c r="F196" s="67">
        <v>0</v>
      </c>
      <c r="G196" s="11">
        <v>0</v>
      </c>
      <c r="H196" s="67">
        <v>616896</v>
      </c>
      <c r="I196" s="11">
        <v>0</v>
      </c>
      <c r="J196" s="67">
        <v>0</v>
      </c>
      <c r="K196" s="11">
        <v>0</v>
      </c>
      <c r="L196" s="69">
        <v>0</v>
      </c>
    </row>
    <row r="197" spans="1:12" ht="25.5" x14ac:dyDescent="0.25">
      <c r="A197" s="63" t="s">
        <v>297</v>
      </c>
      <c r="B197" s="64" t="s">
        <v>313</v>
      </c>
      <c r="C197" s="23">
        <f>SUM(D197:L197)</f>
        <v>1660053</v>
      </c>
      <c r="D197" s="23">
        <f>SUM(D198:D201)</f>
        <v>1586173</v>
      </c>
      <c r="E197" s="32">
        <f t="shared" ref="E197:L197" si="114">SUM(E198:E201)</f>
        <v>13491</v>
      </c>
      <c r="F197" s="27">
        <f t="shared" si="114"/>
        <v>180</v>
      </c>
      <c r="G197" s="32">
        <f t="shared" si="114"/>
        <v>470</v>
      </c>
      <c r="H197" s="27">
        <f t="shared" si="114"/>
        <v>27000</v>
      </c>
      <c r="I197" s="32">
        <f t="shared" si="114"/>
        <v>0</v>
      </c>
      <c r="J197" s="27">
        <f t="shared" si="114"/>
        <v>0</v>
      </c>
      <c r="K197" s="24">
        <f t="shared" si="114"/>
        <v>0</v>
      </c>
      <c r="L197" s="23">
        <f t="shared" si="114"/>
        <v>32739</v>
      </c>
    </row>
    <row r="198" spans="1:12" ht="38.25" x14ac:dyDescent="0.25">
      <c r="A198" s="68" t="s">
        <v>314</v>
      </c>
      <c r="B198" s="26" t="s">
        <v>360</v>
      </c>
      <c r="C198" s="23">
        <f t="shared" si="112"/>
        <v>1127601</v>
      </c>
      <c r="D198" s="69">
        <v>1119147</v>
      </c>
      <c r="E198" s="11">
        <v>0</v>
      </c>
      <c r="F198" s="67">
        <v>180</v>
      </c>
      <c r="G198" s="11">
        <v>0</v>
      </c>
      <c r="H198" s="67">
        <v>0</v>
      </c>
      <c r="I198" s="11">
        <v>0</v>
      </c>
      <c r="J198" s="67">
        <v>0</v>
      </c>
      <c r="K198" s="11">
        <v>0</v>
      </c>
      <c r="L198" s="69">
        <v>8274</v>
      </c>
    </row>
    <row r="199" spans="1:12" ht="25.5" x14ac:dyDescent="0.25">
      <c r="A199" s="68" t="s">
        <v>298</v>
      </c>
      <c r="B199" s="26" t="s">
        <v>327</v>
      </c>
      <c r="C199" s="23">
        <f t="shared" ref="C199:C200" si="115">SUM(D199:L199)</f>
        <v>75520</v>
      </c>
      <c r="D199" s="69">
        <f>7179+30800</f>
        <v>37979</v>
      </c>
      <c r="E199" s="11">
        <v>10520</v>
      </c>
      <c r="F199" s="67">
        <v>0</v>
      </c>
      <c r="G199" s="11">
        <v>0</v>
      </c>
      <c r="H199" s="67">
        <f>27000</f>
        <v>27000</v>
      </c>
      <c r="I199" s="11">
        <v>0</v>
      </c>
      <c r="J199" s="67">
        <v>0</v>
      </c>
      <c r="K199" s="11">
        <v>0</v>
      </c>
      <c r="L199" s="69">
        <v>21</v>
      </c>
    </row>
    <row r="200" spans="1:12" ht="38.25" x14ac:dyDescent="0.25">
      <c r="A200" s="68" t="s">
        <v>299</v>
      </c>
      <c r="B200" s="26" t="s">
        <v>315</v>
      </c>
      <c r="C200" s="23">
        <f t="shared" si="115"/>
        <v>269250</v>
      </c>
      <c r="D200" s="69">
        <v>244806</v>
      </c>
      <c r="E200" s="11">
        <v>0</v>
      </c>
      <c r="F200" s="69">
        <v>0</v>
      </c>
      <c r="G200" s="11">
        <v>0</v>
      </c>
      <c r="H200" s="69">
        <v>0</v>
      </c>
      <c r="I200" s="11">
        <v>0</v>
      </c>
      <c r="J200" s="69">
        <v>0</v>
      </c>
      <c r="K200" s="11">
        <v>0</v>
      </c>
      <c r="L200" s="69">
        <v>24444</v>
      </c>
    </row>
    <row r="201" spans="1:12" x14ac:dyDescent="0.25">
      <c r="A201" s="65" t="s">
        <v>824</v>
      </c>
      <c r="B201" s="66" t="s">
        <v>825</v>
      </c>
      <c r="C201" s="27">
        <f t="shared" si="112"/>
        <v>187682</v>
      </c>
      <c r="D201" s="67">
        <f>184241</f>
        <v>184241</v>
      </c>
      <c r="E201" s="11">
        <v>2971</v>
      </c>
      <c r="F201" s="67">
        <v>0</v>
      </c>
      <c r="G201" s="11">
        <v>470</v>
      </c>
      <c r="H201" s="67">
        <v>0</v>
      </c>
      <c r="I201" s="11">
        <v>0</v>
      </c>
      <c r="J201" s="67">
        <v>0</v>
      </c>
      <c r="K201" s="11">
        <v>0</v>
      </c>
      <c r="L201" s="67">
        <v>0</v>
      </c>
    </row>
    <row r="202" spans="1:12" x14ac:dyDescent="0.25">
      <c r="A202" s="86"/>
      <c r="B202" s="31" t="s">
        <v>112</v>
      </c>
      <c r="C202" s="29">
        <f>SUM(D202:L202)</f>
        <v>8907198</v>
      </c>
      <c r="D202" s="29">
        <f>D203+D204+D210</f>
        <v>1939040</v>
      </c>
      <c r="E202" s="29">
        <f t="shared" ref="E202:L202" si="116">E203+E204+E210</f>
        <v>-862361</v>
      </c>
      <c r="F202" s="29">
        <f t="shared" si="116"/>
        <v>0</v>
      </c>
      <c r="G202" s="29">
        <f t="shared" si="116"/>
        <v>28377</v>
      </c>
      <c r="H202" s="29">
        <f t="shared" si="116"/>
        <v>388970</v>
      </c>
      <c r="I202" s="29">
        <f t="shared" si="116"/>
        <v>568023</v>
      </c>
      <c r="J202" s="29">
        <f t="shared" si="116"/>
        <v>0</v>
      </c>
      <c r="K202" s="29">
        <f t="shared" si="116"/>
        <v>0</v>
      </c>
      <c r="L202" s="29">
        <f t="shared" si="116"/>
        <v>6845149</v>
      </c>
    </row>
    <row r="203" spans="1:12" ht="25.5" x14ac:dyDescent="0.25">
      <c r="A203" s="63" t="s">
        <v>113</v>
      </c>
      <c r="B203" s="64" t="s">
        <v>124</v>
      </c>
      <c r="C203" s="23">
        <f>SUM(D203:L203)</f>
        <v>7830519</v>
      </c>
      <c r="D203" s="23">
        <v>0</v>
      </c>
      <c r="E203" s="11">
        <v>0</v>
      </c>
      <c r="F203" s="27">
        <v>0</v>
      </c>
      <c r="G203" s="11">
        <v>28377</v>
      </c>
      <c r="H203" s="27">
        <f>388970</f>
        <v>388970</v>
      </c>
      <c r="I203" s="11">
        <v>568023</v>
      </c>
      <c r="J203" s="27">
        <v>0</v>
      </c>
      <c r="K203" s="11">
        <v>0</v>
      </c>
      <c r="L203" s="23">
        <v>6845149</v>
      </c>
    </row>
    <row r="204" spans="1:12" ht="25.5" x14ac:dyDescent="0.25">
      <c r="A204" s="63" t="s">
        <v>114</v>
      </c>
      <c r="B204" s="64" t="s">
        <v>125</v>
      </c>
      <c r="C204" s="23">
        <f>SUM(D204:L204)</f>
        <v>851258</v>
      </c>
      <c r="D204" s="23">
        <f>SUM(D205:D209)</f>
        <v>807335</v>
      </c>
      <c r="E204" s="32">
        <f t="shared" ref="E204:L204" si="117">SUM(E205:E209)</f>
        <v>43923</v>
      </c>
      <c r="F204" s="27">
        <f t="shared" si="117"/>
        <v>0</v>
      </c>
      <c r="G204" s="32">
        <f t="shared" si="117"/>
        <v>0</v>
      </c>
      <c r="H204" s="27">
        <f t="shared" si="117"/>
        <v>0</v>
      </c>
      <c r="I204" s="32">
        <f t="shared" si="117"/>
        <v>0</v>
      </c>
      <c r="J204" s="27">
        <f t="shared" si="117"/>
        <v>0</v>
      </c>
      <c r="K204" s="24">
        <f t="shared" si="117"/>
        <v>0</v>
      </c>
      <c r="L204" s="23">
        <f t="shared" si="117"/>
        <v>0</v>
      </c>
    </row>
    <row r="205" spans="1:12" ht="25.5" hidden="1" x14ac:dyDescent="0.25">
      <c r="A205" s="75"/>
      <c r="B205" s="26" t="s">
        <v>361</v>
      </c>
      <c r="C205" s="23">
        <f t="shared" ref="C205:C209" si="118">SUM(D205:L205)</f>
        <v>0</v>
      </c>
      <c r="D205" s="69">
        <v>0</v>
      </c>
      <c r="E205" s="11">
        <v>0</v>
      </c>
      <c r="F205" s="69">
        <v>0</v>
      </c>
      <c r="G205" s="12">
        <v>0</v>
      </c>
      <c r="H205" s="69">
        <v>0</v>
      </c>
      <c r="I205" s="12">
        <v>0</v>
      </c>
      <c r="J205" s="69">
        <v>0</v>
      </c>
      <c r="K205" s="12">
        <v>0</v>
      </c>
      <c r="L205" s="107">
        <v>0</v>
      </c>
    </row>
    <row r="206" spans="1:12" x14ac:dyDescent="0.25">
      <c r="A206" s="75"/>
      <c r="B206" s="26" t="s">
        <v>337</v>
      </c>
      <c r="C206" s="23">
        <f t="shared" si="118"/>
        <v>24174</v>
      </c>
      <c r="D206" s="69">
        <v>25000</v>
      </c>
      <c r="E206" s="11">
        <v>-826</v>
      </c>
      <c r="F206" s="69">
        <v>0</v>
      </c>
      <c r="G206" s="12">
        <v>0</v>
      </c>
      <c r="H206" s="69">
        <v>0</v>
      </c>
      <c r="I206" s="12">
        <v>0</v>
      </c>
      <c r="J206" s="69">
        <v>0</v>
      </c>
      <c r="K206" s="12">
        <v>0</v>
      </c>
      <c r="L206" s="107">
        <v>0</v>
      </c>
    </row>
    <row r="207" spans="1:12" ht="16.5" customHeight="1" x14ac:dyDescent="0.25">
      <c r="A207" s="75"/>
      <c r="B207" s="26" t="s">
        <v>336</v>
      </c>
      <c r="C207" s="23">
        <f t="shared" si="118"/>
        <v>701392</v>
      </c>
      <c r="D207" s="69">
        <f>573055+109280</f>
        <v>682335</v>
      </c>
      <c r="E207" s="11">
        <v>19057</v>
      </c>
      <c r="F207" s="67">
        <v>0</v>
      </c>
      <c r="G207" s="11">
        <v>0</v>
      </c>
      <c r="H207" s="67">
        <v>0</v>
      </c>
      <c r="I207" s="12">
        <v>0</v>
      </c>
      <c r="J207" s="69">
        <v>0</v>
      </c>
      <c r="K207" s="12">
        <v>0</v>
      </c>
      <c r="L207" s="107">
        <v>0</v>
      </c>
    </row>
    <row r="208" spans="1:12" x14ac:dyDescent="0.25">
      <c r="A208" s="75"/>
      <c r="B208" s="26" t="s">
        <v>335</v>
      </c>
      <c r="C208" s="23">
        <f t="shared" si="118"/>
        <v>125692</v>
      </c>
      <c r="D208" s="69">
        <v>100000</v>
      </c>
      <c r="E208" s="11">
        <v>25692</v>
      </c>
      <c r="F208" s="67">
        <v>0</v>
      </c>
      <c r="G208" s="11">
        <v>0</v>
      </c>
      <c r="H208" s="67">
        <v>0</v>
      </c>
      <c r="I208" s="12">
        <v>0</v>
      </c>
      <c r="J208" s="69">
        <v>0</v>
      </c>
      <c r="K208" s="12">
        <v>0</v>
      </c>
      <c r="L208" s="107">
        <v>0</v>
      </c>
    </row>
    <row r="209" spans="1:12" hidden="1" x14ac:dyDescent="0.25">
      <c r="A209" s="75"/>
      <c r="B209" s="26" t="s">
        <v>334</v>
      </c>
      <c r="C209" s="23">
        <f t="shared" si="118"/>
        <v>0</v>
      </c>
      <c r="D209" s="69">
        <v>0</v>
      </c>
      <c r="E209" s="11">
        <v>0</v>
      </c>
      <c r="F209" s="67">
        <v>0</v>
      </c>
      <c r="G209" s="11">
        <v>0</v>
      </c>
      <c r="H209" s="67">
        <v>0</v>
      </c>
      <c r="I209" s="12">
        <v>0</v>
      </c>
      <c r="J209" s="69">
        <v>0</v>
      </c>
      <c r="K209" s="12">
        <v>0</v>
      </c>
      <c r="L209" s="107">
        <v>0</v>
      </c>
    </row>
    <row r="210" spans="1:12" ht="25.5" x14ac:dyDescent="0.25">
      <c r="A210" s="63" t="s">
        <v>93</v>
      </c>
      <c r="B210" s="64" t="s">
        <v>127</v>
      </c>
      <c r="C210" s="23">
        <f>SUM(D210:L210)</f>
        <v>225421</v>
      </c>
      <c r="D210" s="104">
        <f>1774288-152000-490583</f>
        <v>1131705</v>
      </c>
      <c r="E210" s="121">
        <v>-906284</v>
      </c>
      <c r="F210" s="115">
        <v>0</v>
      </c>
      <c r="G210" s="121">
        <v>0</v>
      </c>
      <c r="H210" s="115">
        <v>0</v>
      </c>
      <c r="I210" s="121">
        <v>0</v>
      </c>
      <c r="J210" s="104">
        <v>0</v>
      </c>
      <c r="K210" s="108">
        <v>0</v>
      </c>
      <c r="L210" s="104">
        <v>0</v>
      </c>
    </row>
    <row r="211" spans="1:12" x14ac:dyDescent="0.25">
      <c r="A211" s="60"/>
      <c r="B211" s="111" t="s">
        <v>317</v>
      </c>
      <c r="C211" s="109">
        <f>C11+C202</f>
        <v>110262317</v>
      </c>
      <c r="D211" s="109">
        <f>D11+D202</f>
        <v>68613864</v>
      </c>
      <c r="E211" s="110">
        <f>E11+E202</f>
        <v>-1048453</v>
      </c>
      <c r="F211" s="109">
        <f t="shared" ref="F211:L211" si="119">F11+F202</f>
        <v>1785496</v>
      </c>
      <c r="G211" s="110">
        <f t="shared" si="119"/>
        <v>-17982</v>
      </c>
      <c r="H211" s="109">
        <f t="shared" si="119"/>
        <v>21044696</v>
      </c>
      <c r="I211" s="110">
        <f t="shared" si="119"/>
        <v>5981494</v>
      </c>
      <c r="J211" s="109">
        <f t="shared" si="119"/>
        <v>690899</v>
      </c>
      <c r="K211" s="110">
        <f t="shared" si="119"/>
        <v>-82752</v>
      </c>
      <c r="L211" s="109">
        <f t="shared" si="119"/>
        <v>13295055</v>
      </c>
    </row>
    <row r="212" spans="1:12" x14ac:dyDescent="0.25">
      <c r="A212" s="9"/>
      <c r="B212" s="8"/>
      <c r="C212" s="17"/>
      <c r="D212" s="9"/>
      <c r="E212" s="88"/>
      <c r="F212" s="9"/>
      <c r="G212" s="88"/>
      <c r="H212" s="9"/>
      <c r="I212" s="88"/>
      <c r="J212" s="9"/>
      <c r="K212" s="88"/>
    </row>
    <row r="213" spans="1:12" ht="18.75" x14ac:dyDescent="0.3">
      <c r="A213" s="383" t="s">
        <v>102</v>
      </c>
      <c r="B213" s="383"/>
      <c r="C213" s="33"/>
      <c r="D213" s="7"/>
      <c r="E213" s="89"/>
      <c r="F213" s="7"/>
      <c r="G213" s="90"/>
      <c r="H213" s="7"/>
      <c r="I213" s="90"/>
      <c r="J213" s="7"/>
      <c r="K213" s="384" t="s">
        <v>103</v>
      </c>
      <c r="L213" s="384"/>
    </row>
    <row r="214" spans="1:12" x14ac:dyDescent="0.25">
      <c r="A214" s="9"/>
      <c r="B214" s="8"/>
      <c r="C214" s="17"/>
      <c r="D214" s="9"/>
      <c r="E214" s="88"/>
      <c r="F214" s="9"/>
      <c r="G214" s="88"/>
      <c r="H214" s="9"/>
      <c r="I214" s="88"/>
      <c r="J214" s="9"/>
      <c r="K214" s="88"/>
    </row>
    <row r="215" spans="1:12" x14ac:dyDescent="0.25">
      <c r="A215" s="9"/>
      <c r="B215" s="8"/>
      <c r="C215" s="17"/>
      <c r="D215" s="9"/>
      <c r="E215" s="163"/>
      <c r="F215" s="9"/>
      <c r="G215" s="88"/>
      <c r="H215" s="9"/>
      <c r="I215" s="88"/>
      <c r="J215" s="9"/>
      <c r="K215" s="88"/>
    </row>
    <row r="216" spans="1:12" x14ac:dyDescent="0.25">
      <c r="A216" s="9"/>
      <c r="C216" s="17"/>
      <c r="D216" s="9"/>
      <c r="E216" s="88"/>
      <c r="F216" s="9"/>
      <c r="G216" s="88"/>
      <c r="H216" s="9"/>
      <c r="I216" s="88"/>
      <c r="J216" s="9"/>
      <c r="K216" s="88"/>
    </row>
    <row r="217" spans="1:12" x14ac:dyDescent="0.25">
      <c r="A217" s="9"/>
      <c r="C217" s="17"/>
      <c r="D217" s="9"/>
      <c r="E217" s="88"/>
      <c r="F217" s="9"/>
      <c r="G217" s="88"/>
      <c r="H217" s="9"/>
      <c r="I217" s="88"/>
      <c r="J217" s="9"/>
      <c r="K217" s="88"/>
    </row>
    <row r="218" spans="1:12" x14ac:dyDescent="0.25">
      <c r="A218" s="9"/>
      <c r="C218" s="17"/>
      <c r="D218" s="9"/>
      <c r="E218" s="88"/>
      <c r="F218" s="9"/>
      <c r="G218" s="88"/>
      <c r="H218" s="9"/>
      <c r="I218" s="88"/>
      <c r="J218" s="9"/>
      <c r="K218" s="88"/>
    </row>
    <row r="219" spans="1:12" x14ac:dyDescent="0.25">
      <c r="A219" s="9"/>
      <c r="C219" s="17"/>
      <c r="D219" s="9"/>
      <c r="E219" s="88"/>
      <c r="F219" s="9"/>
      <c r="G219" s="88"/>
      <c r="H219" s="9"/>
      <c r="I219" s="88"/>
      <c r="J219" s="9"/>
      <c r="K219" s="88"/>
    </row>
    <row r="220" spans="1:12" x14ac:dyDescent="0.25">
      <c r="A220" s="9"/>
      <c r="C220" s="17"/>
      <c r="D220" s="9"/>
      <c r="E220" s="88"/>
      <c r="F220" s="9"/>
      <c r="G220" s="88"/>
      <c r="H220" s="9"/>
      <c r="I220" s="88"/>
      <c r="J220" s="9"/>
      <c r="K220" s="88"/>
    </row>
    <row r="221" spans="1:12" x14ac:dyDescent="0.25">
      <c r="A221" s="9"/>
      <c r="B221" s="8"/>
      <c r="C221" s="17"/>
      <c r="D221" s="9"/>
      <c r="E221" s="88"/>
      <c r="F221" s="9"/>
      <c r="G221" s="88"/>
      <c r="H221" s="9"/>
      <c r="I221" s="88"/>
      <c r="J221" s="9"/>
      <c r="K221" s="88"/>
    </row>
    <row r="222" spans="1:12" x14ac:dyDescent="0.25">
      <c r="A222" s="9"/>
      <c r="B222" s="8"/>
      <c r="C222" s="17"/>
      <c r="D222" s="9"/>
      <c r="E222" s="88"/>
      <c r="F222" s="9"/>
      <c r="G222" s="88"/>
      <c r="H222" s="9"/>
      <c r="I222" s="88"/>
      <c r="J222" s="9"/>
      <c r="K222" s="88"/>
    </row>
    <row r="223" spans="1:12" x14ac:dyDescent="0.25">
      <c r="A223" s="9"/>
      <c r="B223" s="8"/>
      <c r="C223" s="17"/>
      <c r="D223" s="9"/>
      <c r="E223" s="88"/>
      <c r="F223" s="9"/>
      <c r="G223" s="88"/>
      <c r="H223" s="9"/>
      <c r="I223" s="88"/>
      <c r="J223" s="9"/>
      <c r="K223" s="88"/>
    </row>
    <row r="224" spans="1:12" x14ac:dyDescent="0.25">
      <c r="A224" s="9"/>
      <c r="B224" s="8"/>
      <c r="C224" s="17"/>
      <c r="D224" s="9"/>
      <c r="E224" s="88"/>
      <c r="F224" s="9"/>
      <c r="G224" s="88"/>
      <c r="H224" s="9"/>
      <c r="I224" s="88"/>
      <c r="J224" s="9"/>
      <c r="K224" s="88"/>
    </row>
    <row r="225" spans="1:11" x14ac:dyDescent="0.25">
      <c r="A225" s="9"/>
      <c r="B225" s="8"/>
      <c r="C225" s="17"/>
      <c r="D225" s="9"/>
      <c r="E225" s="88"/>
      <c r="F225" s="9"/>
      <c r="G225" s="88"/>
      <c r="H225" s="9"/>
      <c r="I225" s="88"/>
      <c r="J225" s="9"/>
      <c r="K225" s="88"/>
    </row>
    <row r="226" spans="1:11" x14ac:dyDescent="0.25">
      <c r="A226" s="9"/>
      <c r="B226" s="8"/>
      <c r="C226" s="17"/>
      <c r="D226" s="9"/>
      <c r="E226" s="88"/>
      <c r="F226" s="9"/>
      <c r="G226" s="88"/>
      <c r="H226" s="9"/>
      <c r="I226" s="88"/>
      <c r="J226" s="9"/>
      <c r="K226" s="88"/>
    </row>
    <row r="227" spans="1:11" x14ac:dyDescent="0.25">
      <c r="A227" s="9"/>
      <c r="B227" s="8"/>
      <c r="C227" s="17"/>
      <c r="D227" s="9"/>
      <c r="E227" s="88"/>
      <c r="F227" s="9"/>
      <c r="G227" s="88"/>
      <c r="H227" s="9"/>
      <c r="I227" s="88"/>
      <c r="J227" s="9"/>
      <c r="K227" s="88"/>
    </row>
    <row r="228" spans="1:11" x14ac:dyDescent="0.25">
      <c r="A228" s="9"/>
      <c r="B228" s="8"/>
      <c r="C228" s="17"/>
      <c r="D228" s="9"/>
      <c r="E228" s="88"/>
      <c r="F228" s="9"/>
      <c r="G228" s="88"/>
      <c r="H228" s="9"/>
      <c r="I228" s="88"/>
      <c r="J228" s="9"/>
      <c r="K228" s="88"/>
    </row>
    <row r="229" spans="1:11" x14ac:dyDescent="0.25">
      <c r="A229" s="9"/>
      <c r="B229" s="8"/>
      <c r="C229" s="17"/>
      <c r="D229" s="9"/>
      <c r="E229" s="88"/>
      <c r="F229" s="9"/>
      <c r="G229" s="88"/>
      <c r="H229" s="9"/>
      <c r="I229" s="88"/>
      <c r="J229" s="9"/>
      <c r="K229" s="88"/>
    </row>
    <row r="230" spans="1:11" x14ac:dyDescent="0.25">
      <c r="A230" s="9"/>
      <c r="B230" s="8"/>
      <c r="C230" s="17"/>
      <c r="D230" s="9"/>
      <c r="E230" s="88"/>
      <c r="F230" s="9"/>
      <c r="G230" s="88"/>
      <c r="H230" s="9"/>
      <c r="I230" s="88"/>
      <c r="J230" s="9"/>
      <c r="K230" s="88"/>
    </row>
    <row r="231" spans="1:11" x14ac:dyDescent="0.25">
      <c r="A231" s="9"/>
      <c r="B231" s="8"/>
      <c r="C231" s="17"/>
      <c r="D231" s="9"/>
      <c r="E231" s="88"/>
      <c r="F231" s="9"/>
      <c r="G231" s="88"/>
      <c r="H231" s="9"/>
      <c r="I231" s="88"/>
      <c r="J231" s="9"/>
      <c r="K231" s="88"/>
    </row>
    <row r="232" spans="1:11" x14ac:dyDescent="0.25">
      <c r="A232" s="9"/>
      <c r="B232" s="8"/>
      <c r="C232" s="17"/>
      <c r="D232" s="9"/>
      <c r="E232" s="88"/>
      <c r="F232" s="9"/>
      <c r="G232" s="88"/>
      <c r="H232" s="9"/>
      <c r="I232" s="88"/>
      <c r="J232" s="9"/>
      <c r="K232" s="88"/>
    </row>
    <row r="233" spans="1:11" x14ac:dyDescent="0.25">
      <c r="A233" s="9"/>
      <c r="B233" s="8"/>
      <c r="C233" s="17"/>
      <c r="D233" s="9"/>
      <c r="E233" s="88"/>
      <c r="F233" s="9"/>
      <c r="G233" s="88"/>
      <c r="H233" s="9"/>
      <c r="I233" s="88"/>
      <c r="J233" s="9"/>
      <c r="K233" s="88"/>
    </row>
    <row r="234" spans="1:11" x14ac:dyDescent="0.25">
      <c r="A234" s="9"/>
      <c r="B234" s="8"/>
      <c r="C234" s="17"/>
      <c r="D234" s="9"/>
      <c r="E234" s="88"/>
      <c r="F234" s="9"/>
      <c r="G234" s="88"/>
      <c r="H234" s="9"/>
      <c r="I234" s="88"/>
      <c r="J234" s="9"/>
      <c r="K234" s="88"/>
    </row>
    <row r="235" spans="1:11" x14ac:dyDescent="0.25">
      <c r="A235" s="9"/>
      <c r="B235" s="8"/>
      <c r="C235" s="17"/>
      <c r="D235" s="9"/>
      <c r="E235" s="88"/>
      <c r="F235" s="9"/>
      <c r="G235" s="88"/>
      <c r="H235" s="9"/>
      <c r="I235" s="88"/>
      <c r="J235" s="9"/>
      <c r="K235" s="88"/>
    </row>
    <row r="236" spans="1:11" x14ac:dyDescent="0.25">
      <c r="A236" s="9"/>
      <c r="B236" s="8"/>
      <c r="C236" s="17"/>
      <c r="D236" s="9"/>
      <c r="E236" s="88"/>
      <c r="F236" s="9"/>
      <c r="G236" s="88"/>
      <c r="H236" s="9"/>
      <c r="I236" s="88"/>
      <c r="J236" s="9"/>
      <c r="K236" s="88"/>
    </row>
    <row r="237" spans="1:11" x14ac:dyDescent="0.25">
      <c r="A237" s="9"/>
      <c r="B237" s="8"/>
      <c r="C237" s="17"/>
      <c r="D237" s="9"/>
      <c r="E237" s="88"/>
      <c r="F237" s="9"/>
      <c r="G237" s="88"/>
      <c r="H237" s="9"/>
      <c r="I237" s="88"/>
      <c r="J237" s="9"/>
      <c r="K237" s="88"/>
    </row>
    <row r="238" spans="1:11" x14ac:dyDescent="0.25">
      <c r="A238" s="9"/>
      <c r="B238" s="8"/>
      <c r="C238" s="17"/>
      <c r="D238" s="9"/>
      <c r="E238" s="88"/>
      <c r="F238" s="9"/>
      <c r="G238" s="88"/>
      <c r="H238" s="9"/>
      <c r="I238" s="88"/>
      <c r="J238" s="9"/>
      <c r="K238" s="88"/>
    </row>
    <row r="239" spans="1:11" x14ac:dyDescent="0.25">
      <c r="A239" s="9"/>
      <c r="B239" s="8"/>
      <c r="C239" s="17"/>
      <c r="D239" s="9"/>
      <c r="E239" s="88"/>
      <c r="F239" s="9"/>
      <c r="G239" s="88"/>
      <c r="H239" s="9"/>
      <c r="I239" s="88"/>
      <c r="J239" s="9"/>
      <c r="K239" s="88"/>
    </row>
    <row r="240" spans="1:11" x14ac:dyDescent="0.25">
      <c r="A240" s="9"/>
      <c r="B240" s="8"/>
      <c r="C240" s="17"/>
      <c r="D240" s="9"/>
      <c r="E240" s="88"/>
      <c r="F240" s="9"/>
      <c r="G240" s="88"/>
      <c r="H240" s="9"/>
      <c r="I240" s="88"/>
      <c r="J240" s="9"/>
      <c r="K240" s="88"/>
    </row>
    <row r="241" spans="1:11" x14ac:dyDescent="0.25">
      <c r="A241" s="9"/>
      <c r="B241" s="8"/>
      <c r="C241" s="17"/>
      <c r="D241" s="9"/>
      <c r="E241" s="88"/>
      <c r="F241" s="9"/>
      <c r="G241" s="88"/>
      <c r="H241" s="9"/>
      <c r="I241" s="88"/>
      <c r="J241" s="9"/>
      <c r="K241" s="88"/>
    </row>
    <row r="242" spans="1:11" x14ac:dyDescent="0.25">
      <c r="A242" s="9"/>
      <c r="B242" s="8"/>
      <c r="C242" s="17"/>
      <c r="D242" s="9"/>
      <c r="E242" s="88"/>
      <c r="F242" s="9"/>
      <c r="G242" s="88"/>
      <c r="H242" s="9"/>
      <c r="I242" s="88"/>
      <c r="J242" s="9"/>
      <c r="K242" s="88"/>
    </row>
    <row r="243" spans="1:11" x14ac:dyDescent="0.25">
      <c r="A243" s="9"/>
      <c r="B243" s="8"/>
      <c r="C243" s="17"/>
      <c r="D243" s="9"/>
      <c r="E243" s="88"/>
      <c r="F243" s="9"/>
      <c r="G243" s="88"/>
      <c r="H243" s="9"/>
      <c r="I243" s="88"/>
      <c r="J243" s="9"/>
      <c r="K243" s="88"/>
    </row>
  </sheetData>
  <mergeCells count="10">
    <mergeCell ref="A213:B213"/>
    <mergeCell ref="K213:L213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790"/>
  <sheetViews>
    <sheetView showGridLines="0" zoomScaleNormal="100" workbookViewId="0">
      <selection activeCell="C4" sqref="C4:E4"/>
    </sheetView>
  </sheetViews>
  <sheetFormatPr defaultRowHeight="12.75" x14ac:dyDescent="0.2"/>
  <cols>
    <col min="1" max="1" width="5.140625" style="298" customWidth="1"/>
    <col min="2" max="2" width="44.5703125" style="298" customWidth="1"/>
    <col min="3" max="4" width="13.7109375" style="368" customWidth="1"/>
    <col min="5" max="5" width="16.85546875" style="368" customWidth="1"/>
    <col min="6" max="16384" width="9.140625" style="298"/>
  </cols>
  <sheetData>
    <row r="1" spans="1:5" ht="15.75" x14ac:dyDescent="0.25">
      <c r="A1" s="401"/>
      <c r="B1" s="401"/>
      <c r="C1" s="360"/>
      <c r="D1" s="360"/>
      <c r="E1" s="360"/>
    </row>
    <row r="2" spans="1:5" ht="15.75" x14ac:dyDescent="0.2">
      <c r="A2" s="301"/>
      <c r="B2" s="301"/>
      <c r="C2" s="361"/>
      <c r="D2" s="361"/>
      <c r="E2" s="362" t="s">
        <v>514</v>
      </c>
    </row>
    <row r="3" spans="1:5" ht="15" x14ac:dyDescent="0.2">
      <c r="A3" s="301"/>
      <c r="B3" s="301"/>
      <c r="C3" s="392" t="s">
        <v>883</v>
      </c>
      <c r="D3" s="393"/>
      <c r="E3" s="393"/>
    </row>
    <row r="4" spans="1:5" ht="15.75" customHeight="1" x14ac:dyDescent="0.2">
      <c r="A4" s="301"/>
      <c r="B4" s="301"/>
      <c r="C4" s="394" t="s">
        <v>884</v>
      </c>
      <c r="D4" s="395"/>
      <c r="E4" s="395"/>
    </row>
    <row r="6" spans="1:5" ht="56.25" customHeight="1" x14ac:dyDescent="0.2">
      <c r="A6" s="396" t="s">
        <v>818</v>
      </c>
      <c r="B6" s="397"/>
      <c r="C6" s="397"/>
      <c r="D6" s="397"/>
      <c r="E6" s="397"/>
    </row>
    <row r="7" spans="1:5" ht="28.5" customHeight="1" x14ac:dyDescent="0.2">
      <c r="A7" s="398" t="s">
        <v>418</v>
      </c>
      <c r="B7" s="399"/>
      <c r="C7" s="348" t="s">
        <v>817</v>
      </c>
      <c r="D7" s="348" t="s">
        <v>879</v>
      </c>
      <c r="E7" s="363" t="s">
        <v>838</v>
      </c>
    </row>
    <row r="8" spans="1:5" ht="15.75" customHeight="1" x14ac:dyDescent="0.2">
      <c r="A8" s="390" t="s">
        <v>515</v>
      </c>
      <c r="B8" s="391"/>
      <c r="C8" s="391"/>
      <c r="D8" s="391"/>
      <c r="E8" s="391"/>
    </row>
    <row r="9" spans="1:5" ht="15" x14ac:dyDescent="0.2">
      <c r="A9" s="307"/>
      <c r="B9" s="302" t="s">
        <v>516</v>
      </c>
      <c r="C9" s="364">
        <v>35118250</v>
      </c>
      <c r="D9" s="364">
        <v>-2356623</v>
      </c>
      <c r="E9" s="364">
        <v>32761627</v>
      </c>
    </row>
    <row r="10" spans="1:5" ht="15" x14ac:dyDescent="0.2">
      <c r="A10" s="307"/>
      <c r="B10" s="302" t="s">
        <v>517</v>
      </c>
      <c r="C10" s="364">
        <v>3973298</v>
      </c>
      <c r="D10" s="364">
        <v>29501</v>
      </c>
      <c r="E10" s="364">
        <v>4002799</v>
      </c>
    </row>
    <row r="11" spans="1:5" ht="15" x14ac:dyDescent="0.2">
      <c r="A11" s="307"/>
      <c r="B11" s="302" t="s">
        <v>518</v>
      </c>
      <c r="C11" s="364">
        <v>2718974</v>
      </c>
      <c r="D11" s="364">
        <v>-126317</v>
      </c>
      <c r="E11" s="364">
        <v>2592657</v>
      </c>
    </row>
    <row r="12" spans="1:5" ht="15" x14ac:dyDescent="0.2">
      <c r="A12" s="307"/>
      <c r="B12" s="302" t="s">
        <v>519</v>
      </c>
      <c r="C12" s="364">
        <v>64292</v>
      </c>
      <c r="D12" s="364">
        <v>0</v>
      </c>
      <c r="E12" s="364">
        <v>64292</v>
      </c>
    </row>
    <row r="13" spans="1:5" ht="15" x14ac:dyDescent="0.2">
      <c r="A13" s="307"/>
      <c r="B13" s="302" t="s">
        <v>520</v>
      </c>
      <c r="C13" s="364">
        <v>26988362</v>
      </c>
      <c r="D13" s="364">
        <v>-2279958</v>
      </c>
      <c r="E13" s="364">
        <v>24708404</v>
      </c>
    </row>
    <row r="14" spans="1:5" ht="15" x14ac:dyDescent="0.2">
      <c r="A14" s="307"/>
      <c r="B14" s="302" t="s">
        <v>572</v>
      </c>
      <c r="C14" s="364">
        <v>0</v>
      </c>
      <c r="D14" s="364">
        <v>6855</v>
      </c>
      <c r="E14" s="364">
        <v>6855</v>
      </c>
    </row>
    <row r="15" spans="1:5" ht="33.75" customHeight="1" x14ac:dyDescent="0.2">
      <c r="A15" s="307"/>
      <c r="B15" s="302" t="s">
        <v>521</v>
      </c>
      <c r="C15" s="364">
        <v>1373324</v>
      </c>
      <c r="D15" s="364">
        <v>13296</v>
      </c>
      <c r="E15" s="364">
        <v>1386620</v>
      </c>
    </row>
    <row r="17" spans="1:5" ht="15.75" customHeight="1" x14ac:dyDescent="0.2">
      <c r="A17" s="388" t="s">
        <v>522</v>
      </c>
      <c r="B17" s="389"/>
      <c r="C17" s="389"/>
      <c r="D17" s="389"/>
      <c r="E17" s="389"/>
    </row>
    <row r="18" spans="1:5" s="308" customFormat="1" ht="14.25" x14ac:dyDescent="0.2">
      <c r="B18" s="304" t="s">
        <v>516</v>
      </c>
      <c r="C18" s="365">
        <v>4774431</v>
      </c>
      <c r="D18" s="365">
        <v>15363</v>
      </c>
      <c r="E18" s="365">
        <v>4789794</v>
      </c>
    </row>
    <row r="19" spans="1:5" ht="15" x14ac:dyDescent="0.2">
      <c r="B19" s="300" t="s">
        <v>517</v>
      </c>
      <c r="C19" s="366">
        <v>3760872</v>
      </c>
      <c r="D19" s="366">
        <v>0</v>
      </c>
      <c r="E19" s="366">
        <v>3760872</v>
      </c>
    </row>
    <row r="20" spans="1:5" ht="15" x14ac:dyDescent="0.2">
      <c r="B20" s="300" t="s">
        <v>518</v>
      </c>
      <c r="C20" s="366">
        <v>913559</v>
      </c>
      <c r="D20" s="366">
        <v>15363</v>
      </c>
      <c r="E20" s="366">
        <v>928922</v>
      </c>
    </row>
    <row r="21" spans="1:5" ht="15" x14ac:dyDescent="0.2">
      <c r="B21" s="300" t="s">
        <v>520</v>
      </c>
      <c r="C21" s="366">
        <v>100000</v>
      </c>
      <c r="D21" s="366">
        <v>0</v>
      </c>
      <c r="E21" s="366">
        <v>100000</v>
      </c>
    </row>
    <row r="23" spans="1:5" ht="15" x14ac:dyDescent="0.2">
      <c r="A23" s="388" t="s">
        <v>523</v>
      </c>
      <c r="B23" s="389"/>
      <c r="C23" s="389"/>
      <c r="D23" s="389"/>
      <c r="E23" s="389"/>
    </row>
    <row r="24" spans="1:5" s="308" customFormat="1" ht="14.25" x14ac:dyDescent="0.2">
      <c r="B24" s="304" t="s">
        <v>516</v>
      </c>
      <c r="C24" s="365">
        <v>50876</v>
      </c>
      <c r="D24" s="365">
        <v>0</v>
      </c>
      <c r="E24" s="365">
        <v>50876</v>
      </c>
    </row>
    <row r="25" spans="1:5" ht="15" x14ac:dyDescent="0.2">
      <c r="B25" s="300" t="s">
        <v>518</v>
      </c>
      <c r="C25" s="366">
        <v>13459</v>
      </c>
      <c r="D25" s="366">
        <v>0</v>
      </c>
      <c r="E25" s="366">
        <v>13459</v>
      </c>
    </row>
    <row r="26" spans="1:5" ht="30" x14ac:dyDescent="0.2">
      <c r="B26" s="300" t="s">
        <v>521</v>
      </c>
      <c r="C26" s="366">
        <v>37417</v>
      </c>
      <c r="D26" s="366">
        <v>0</v>
      </c>
      <c r="E26" s="366">
        <v>37417</v>
      </c>
    </row>
    <row r="28" spans="1:5" ht="31.5" customHeight="1" x14ac:dyDescent="0.2">
      <c r="A28" s="388" t="s">
        <v>524</v>
      </c>
      <c r="B28" s="389"/>
      <c r="C28" s="389"/>
      <c r="D28" s="389"/>
      <c r="E28" s="389"/>
    </row>
    <row r="29" spans="1:5" s="308" customFormat="1" ht="14.25" x14ac:dyDescent="0.2">
      <c r="B29" s="304" t="s">
        <v>516</v>
      </c>
      <c r="C29" s="365">
        <v>42753</v>
      </c>
      <c r="D29" s="365">
        <v>0</v>
      </c>
      <c r="E29" s="365">
        <v>42753</v>
      </c>
    </row>
    <row r="30" spans="1:5" ht="15" x14ac:dyDescent="0.2">
      <c r="B30" s="300" t="s">
        <v>517</v>
      </c>
      <c r="C30" s="366">
        <v>35753</v>
      </c>
      <c r="D30" s="366">
        <v>3228</v>
      </c>
      <c r="E30" s="366">
        <v>38981</v>
      </c>
    </row>
    <row r="31" spans="1:5" ht="15" x14ac:dyDescent="0.2">
      <c r="B31" s="300" t="s">
        <v>518</v>
      </c>
      <c r="C31" s="366">
        <v>7000</v>
      </c>
      <c r="D31" s="366">
        <v>-3228</v>
      </c>
      <c r="E31" s="366">
        <v>3772</v>
      </c>
    </row>
    <row r="33" spans="1:5" ht="15" x14ac:dyDescent="0.2">
      <c r="A33" s="388" t="s">
        <v>525</v>
      </c>
      <c r="B33" s="389"/>
      <c r="C33" s="389"/>
      <c r="D33" s="389"/>
      <c r="E33" s="389"/>
    </row>
    <row r="34" spans="1:5" s="308" customFormat="1" ht="14.25" x14ac:dyDescent="0.2">
      <c r="B34" s="304" t="s">
        <v>516</v>
      </c>
      <c r="C34" s="365">
        <v>96585</v>
      </c>
      <c r="D34" s="365">
        <v>0</v>
      </c>
      <c r="E34" s="365">
        <v>96585</v>
      </c>
    </row>
    <row r="35" spans="1:5" ht="15" x14ac:dyDescent="0.2">
      <c r="B35" s="300" t="s">
        <v>518</v>
      </c>
      <c r="C35" s="366">
        <v>96585</v>
      </c>
      <c r="D35" s="366">
        <v>0</v>
      </c>
      <c r="E35" s="366">
        <v>96585</v>
      </c>
    </row>
    <row r="37" spans="1:5" ht="15.75" customHeight="1" x14ac:dyDescent="0.2">
      <c r="A37" s="388" t="s">
        <v>526</v>
      </c>
      <c r="B37" s="389"/>
      <c r="C37" s="389"/>
      <c r="D37" s="389"/>
      <c r="E37" s="389"/>
    </row>
    <row r="38" spans="1:5" s="308" customFormat="1" ht="14.25" x14ac:dyDescent="0.2">
      <c r="B38" s="304" t="s">
        <v>516</v>
      </c>
      <c r="C38" s="365">
        <v>493980</v>
      </c>
      <c r="D38" s="365">
        <v>0</v>
      </c>
      <c r="E38" s="365">
        <v>493980</v>
      </c>
    </row>
    <row r="39" spans="1:5" ht="15" x14ac:dyDescent="0.2">
      <c r="B39" s="300" t="s">
        <v>518</v>
      </c>
      <c r="C39" s="366">
        <v>370225</v>
      </c>
      <c r="D39" s="366">
        <v>0</v>
      </c>
      <c r="E39" s="366">
        <v>370225</v>
      </c>
    </row>
    <row r="40" spans="1:5" ht="15" x14ac:dyDescent="0.2">
      <c r="B40" s="300" t="s">
        <v>520</v>
      </c>
      <c r="C40" s="366">
        <v>123755</v>
      </c>
      <c r="D40" s="366">
        <v>0</v>
      </c>
      <c r="E40" s="366">
        <v>123755</v>
      </c>
    </row>
    <row r="42" spans="1:5" ht="31.5" customHeight="1" x14ac:dyDescent="0.2">
      <c r="A42" s="388" t="s">
        <v>527</v>
      </c>
      <c r="B42" s="389"/>
      <c r="C42" s="389"/>
      <c r="D42" s="389"/>
      <c r="E42" s="389"/>
    </row>
    <row r="43" spans="1:5" s="308" customFormat="1" ht="14.25" x14ac:dyDescent="0.2">
      <c r="B43" s="304" t="s">
        <v>516</v>
      </c>
      <c r="C43" s="365">
        <v>156999</v>
      </c>
      <c r="D43" s="365">
        <v>0</v>
      </c>
      <c r="E43" s="365">
        <v>156999</v>
      </c>
    </row>
    <row r="44" spans="1:5" ht="15" x14ac:dyDescent="0.2">
      <c r="B44" s="300" t="s">
        <v>518</v>
      </c>
      <c r="C44" s="366">
        <v>26717</v>
      </c>
      <c r="D44" s="366">
        <v>0</v>
      </c>
      <c r="E44" s="366">
        <v>26717</v>
      </c>
    </row>
    <row r="45" spans="1:5" ht="15" x14ac:dyDescent="0.2">
      <c r="B45" s="300" t="s">
        <v>520</v>
      </c>
      <c r="C45" s="366">
        <v>112420</v>
      </c>
      <c r="D45" s="366">
        <v>0</v>
      </c>
      <c r="E45" s="366">
        <v>112420</v>
      </c>
    </row>
    <row r="46" spans="1:5" ht="30" x14ac:dyDescent="0.2">
      <c r="B46" s="300" t="s">
        <v>521</v>
      </c>
      <c r="C46" s="366">
        <v>17862</v>
      </c>
      <c r="D46" s="366">
        <v>0</v>
      </c>
      <c r="E46" s="366">
        <v>17862</v>
      </c>
    </row>
    <row r="48" spans="1:5" ht="15.75" customHeight="1" x14ac:dyDescent="0.2">
      <c r="A48" s="388" t="s">
        <v>827</v>
      </c>
      <c r="B48" s="389"/>
      <c r="C48" s="389"/>
      <c r="D48" s="389"/>
      <c r="E48" s="389"/>
    </row>
    <row r="49" spans="1:5" s="308" customFormat="1" ht="14.25" x14ac:dyDescent="0.2">
      <c r="B49" s="304" t="s">
        <v>516</v>
      </c>
      <c r="C49" s="365">
        <v>3525</v>
      </c>
      <c r="D49" s="365">
        <v>0</v>
      </c>
      <c r="E49" s="365">
        <v>3525</v>
      </c>
    </row>
    <row r="50" spans="1:5" ht="15" x14ac:dyDescent="0.2">
      <c r="B50" s="300" t="s">
        <v>517</v>
      </c>
      <c r="C50" s="366">
        <v>3525</v>
      </c>
      <c r="D50" s="366">
        <v>0</v>
      </c>
      <c r="E50" s="366">
        <v>3525</v>
      </c>
    </row>
    <row r="52" spans="1:5" ht="15" x14ac:dyDescent="0.2">
      <c r="A52" s="388" t="s">
        <v>873</v>
      </c>
      <c r="B52" s="389"/>
      <c r="C52" s="389"/>
      <c r="D52" s="389"/>
      <c r="E52" s="389"/>
    </row>
    <row r="53" spans="1:5" s="308" customFormat="1" ht="14.25" x14ac:dyDescent="0.2">
      <c r="B53" s="304" t="s">
        <v>516</v>
      </c>
      <c r="C53" s="365">
        <v>0</v>
      </c>
      <c r="D53" s="365">
        <v>286785</v>
      </c>
      <c r="E53" s="365">
        <v>286785</v>
      </c>
    </row>
    <row r="54" spans="1:5" ht="15" x14ac:dyDescent="0.2">
      <c r="B54" s="300" t="s">
        <v>520</v>
      </c>
      <c r="C54" s="366">
        <v>0</v>
      </c>
      <c r="D54" s="366">
        <v>286785</v>
      </c>
      <c r="E54" s="366">
        <v>286785</v>
      </c>
    </row>
    <row r="56" spans="1:5" ht="31.5" customHeight="1" x14ac:dyDescent="0.2">
      <c r="A56" s="388" t="s">
        <v>528</v>
      </c>
      <c r="B56" s="389"/>
      <c r="C56" s="389"/>
      <c r="D56" s="389"/>
      <c r="E56" s="389"/>
    </row>
    <row r="57" spans="1:5" s="308" customFormat="1" ht="14.25" customHeight="1" x14ac:dyDescent="0.2">
      <c r="B57" s="304" t="s">
        <v>516</v>
      </c>
      <c r="C57" s="365">
        <v>9755809</v>
      </c>
      <c r="D57" s="365">
        <v>0</v>
      </c>
      <c r="E57" s="365">
        <v>9755809</v>
      </c>
    </row>
    <row r="58" spans="1:5" ht="15" x14ac:dyDescent="0.2">
      <c r="B58" s="300" t="s">
        <v>520</v>
      </c>
      <c r="C58" s="366">
        <v>9755809</v>
      </c>
      <c r="D58" s="366">
        <v>0</v>
      </c>
      <c r="E58" s="366">
        <v>9755809</v>
      </c>
    </row>
    <row r="60" spans="1:5" ht="31.5" customHeight="1" x14ac:dyDescent="0.2">
      <c r="A60" s="388" t="s">
        <v>529</v>
      </c>
      <c r="B60" s="389"/>
      <c r="C60" s="389"/>
      <c r="D60" s="389"/>
      <c r="E60" s="389"/>
    </row>
    <row r="61" spans="1:5" s="308" customFormat="1" ht="14.25" x14ac:dyDescent="0.2">
      <c r="B61" s="304" t="s">
        <v>516</v>
      </c>
      <c r="C61" s="365">
        <v>4502896</v>
      </c>
      <c r="D61" s="365">
        <v>250000</v>
      </c>
      <c r="E61" s="365">
        <v>4752896</v>
      </c>
    </row>
    <row r="62" spans="1:5" ht="15" x14ac:dyDescent="0.2">
      <c r="B62" s="300" t="s">
        <v>520</v>
      </c>
      <c r="C62" s="366">
        <v>4502896</v>
      </c>
      <c r="D62" s="366">
        <v>250000</v>
      </c>
      <c r="E62" s="366">
        <v>4752896</v>
      </c>
    </row>
    <row r="64" spans="1:5" ht="31.5" customHeight="1" x14ac:dyDescent="0.2">
      <c r="A64" s="388" t="s">
        <v>819</v>
      </c>
      <c r="B64" s="389"/>
      <c r="C64" s="389"/>
      <c r="D64" s="389"/>
      <c r="E64" s="389"/>
    </row>
    <row r="65" spans="1:5" s="308" customFormat="1" ht="14.25" x14ac:dyDescent="0.2">
      <c r="B65" s="304" t="s">
        <v>516</v>
      </c>
      <c r="C65" s="365">
        <v>2375180</v>
      </c>
      <c r="D65" s="365">
        <v>-1182693</v>
      </c>
      <c r="E65" s="365">
        <v>1192487</v>
      </c>
    </row>
    <row r="66" spans="1:5" ht="15" x14ac:dyDescent="0.2">
      <c r="B66" s="300" t="s">
        <v>520</v>
      </c>
      <c r="C66" s="366">
        <v>2375180</v>
      </c>
      <c r="D66" s="366">
        <v>-1182693</v>
      </c>
      <c r="E66" s="366">
        <v>1192487</v>
      </c>
    </row>
    <row r="68" spans="1:5" ht="31.5" customHeight="1" x14ac:dyDescent="0.2">
      <c r="A68" s="388" t="s">
        <v>874</v>
      </c>
      <c r="B68" s="389"/>
      <c r="C68" s="389"/>
      <c r="D68" s="389"/>
      <c r="E68" s="389"/>
    </row>
    <row r="69" spans="1:5" s="308" customFormat="1" ht="14.25" x14ac:dyDescent="0.2">
      <c r="B69" s="304" t="s">
        <v>516</v>
      </c>
      <c r="C69" s="365">
        <v>0</v>
      </c>
      <c r="D69" s="365">
        <v>300000</v>
      </c>
      <c r="E69" s="365">
        <v>300000</v>
      </c>
    </row>
    <row r="70" spans="1:5" ht="15" x14ac:dyDescent="0.2">
      <c r="B70" s="300" t="s">
        <v>520</v>
      </c>
      <c r="C70" s="366">
        <v>0</v>
      </c>
      <c r="D70" s="366">
        <v>300000</v>
      </c>
      <c r="E70" s="366">
        <v>300000</v>
      </c>
    </row>
    <row r="72" spans="1:5" ht="31.5" customHeight="1" x14ac:dyDescent="0.2">
      <c r="A72" s="388" t="s">
        <v>530</v>
      </c>
      <c r="B72" s="389"/>
      <c r="C72" s="389"/>
      <c r="D72" s="389"/>
      <c r="E72" s="389"/>
    </row>
    <row r="73" spans="1:5" s="308" customFormat="1" ht="14.25" x14ac:dyDescent="0.2">
      <c r="B73" s="304" t="s">
        <v>516</v>
      </c>
      <c r="C73" s="365">
        <v>10000</v>
      </c>
      <c r="D73" s="365">
        <v>0</v>
      </c>
      <c r="E73" s="365">
        <v>10000</v>
      </c>
    </row>
    <row r="74" spans="1:5" ht="15" x14ac:dyDescent="0.2">
      <c r="B74" s="300" t="s">
        <v>518</v>
      </c>
      <c r="C74" s="366">
        <v>4080</v>
      </c>
      <c r="D74" s="366">
        <v>0</v>
      </c>
      <c r="E74" s="366">
        <v>4080</v>
      </c>
    </row>
    <row r="75" spans="1:5" ht="15" x14ac:dyDescent="0.2">
      <c r="B75" s="300" t="s">
        <v>520</v>
      </c>
      <c r="C75" s="366">
        <v>5920</v>
      </c>
      <c r="D75" s="366">
        <v>0</v>
      </c>
      <c r="E75" s="366">
        <v>5920</v>
      </c>
    </row>
    <row r="77" spans="1:5" ht="31.5" customHeight="1" x14ac:dyDescent="0.2">
      <c r="A77" s="388" t="s">
        <v>531</v>
      </c>
      <c r="B77" s="389"/>
      <c r="C77" s="389"/>
      <c r="D77" s="389"/>
      <c r="E77" s="389"/>
    </row>
    <row r="78" spans="1:5" s="308" customFormat="1" ht="14.25" x14ac:dyDescent="0.2">
      <c r="B78" s="304" t="s">
        <v>516</v>
      </c>
      <c r="C78" s="365">
        <v>1828829</v>
      </c>
      <c r="D78" s="365">
        <v>-783536</v>
      </c>
      <c r="E78" s="365">
        <v>1045293</v>
      </c>
    </row>
    <row r="79" spans="1:5" ht="15" x14ac:dyDescent="0.2">
      <c r="B79" s="300" t="s">
        <v>517</v>
      </c>
      <c r="C79" s="366">
        <v>0</v>
      </c>
      <c r="D79" s="366">
        <v>6210</v>
      </c>
      <c r="E79" s="366">
        <v>6210</v>
      </c>
    </row>
    <row r="80" spans="1:5" ht="15" x14ac:dyDescent="0.2">
      <c r="B80" s="300" t="s">
        <v>518</v>
      </c>
      <c r="C80" s="366">
        <v>38630</v>
      </c>
      <c r="D80" s="366">
        <v>-38630</v>
      </c>
      <c r="E80" s="366">
        <v>0</v>
      </c>
    </row>
    <row r="81" spans="1:5" ht="15" x14ac:dyDescent="0.2">
      <c r="B81" s="300" t="s">
        <v>519</v>
      </c>
      <c r="C81" s="366">
        <v>18960</v>
      </c>
      <c r="D81" s="366">
        <v>0</v>
      </c>
      <c r="E81" s="366">
        <v>18960</v>
      </c>
    </row>
    <row r="82" spans="1:5" ht="15" x14ac:dyDescent="0.2">
      <c r="B82" s="300" t="s">
        <v>520</v>
      </c>
      <c r="C82" s="366">
        <v>1039871</v>
      </c>
      <c r="D82" s="366">
        <v>-764412</v>
      </c>
      <c r="E82" s="366">
        <v>275459</v>
      </c>
    </row>
    <row r="83" spans="1:5" ht="30" x14ac:dyDescent="0.2">
      <c r="B83" s="300" t="s">
        <v>521</v>
      </c>
      <c r="C83" s="366">
        <v>731368</v>
      </c>
      <c r="D83" s="366">
        <v>13296</v>
      </c>
      <c r="E83" s="366">
        <v>744664</v>
      </c>
    </row>
    <row r="85" spans="1:5" ht="15.75" customHeight="1" x14ac:dyDescent="0.2">
      <c r="A85" s="388" t="s">
        <v>532</v>
      </c>
      <c r="B85" s="389"/>
      <c r="C85" s="389"/>
      <c r="D85" s="389"/>
      <c r="E85" s="389"/>
    </row>
    <row r="86" spans="1:5" s="308" customFormat="1" ht="14.25" x14ac:dyDescent="0.2">
      <c r="B86" s="304" t="s">
        <v>516</v>
      </c>
      <c r="C86" s="365">
        <v>69900</v>
      </c>
      <c r="D86" s="365">
        <v>-30000</v>
      </c>
      <c r="E86" s="365">
        <v>39900</v>
      </c>
    </row>
    <row r="87" spans="1:5" ht="15" x14ac:dyDescent="0.2">
      <c r="B87" s="300" t="s">
        <v>518</v>
      </c>
      <c r="C87" s="366">
        <v>69900</v>
      </c>
      <c r="D87" s="366">
        <v>-30000</v>
      </c>
      <c r="E87" s="366">
        <v>39900</v>
      </c>
    </row>
    <row r="89" spans="1:5" ht="31.5" customHeight="1" x14ac:dyDescent="0.2">
      <c r="A89" s="388" t="s">
        <v>533</v>
      </c>
      <c r="B89" s="389"/>
      <c r="C89" s="389"/>
      <c r="D89" s="389"/>
      <c r="E89" s="389"/>
    </row>
    <row r="90" spans="1:5" s="308" customFormat="1" ht="14.25" x14ac:dyDescent="0.2">
      <c r="B90" s="304" t="s">
        <v>516</v>
      </c>
      <c r="C90" s="365">
        <v>2335848</v>
      </c>
      <c r="D90" s="365">
        <v>0</v>
      </c>
      <c r="E90" s="365">
        <v>2335848</v>
      </c>
    </row>
    <row r="91" spans="1:5" ht="15" x14ac:dyDescent="0.2">
      <c r="B91" s="300" t="s">
        <v>518</v>
      </c>
      <c r="C91" s="366">
        <v>605</v>
      </c>
      <c r="D91" s="366">
        <v>0</v>
      </c>
      <c r="E91" s="366">
        <v>605</v>
      </c>
    </row>
    <row r="92" spans="1:5" ht="15" x14ac:dyDescent="0.2">
      <c r="B92" s="300" t="s">
        <v>520</v>
      </c>
      <c r="C92" s="366">
        <v>2335243</v>
      </c>
      <c r="D92" s="366">
        <v>0</v>
      </c>
      <c r="E92" s="366">
        <v>2335243</v>
      </c>
    </row>
    <row r="94" spans="1:5" ht="31.5" customHeight="1" x14ac:dyDescent="0.2">
      <c r="A94" s="388" t="s">
        <v>534</v>
      </c>
      <c r="B94" s="389"/>
      <c r="C94" s="389"/>
      <c r="D94" s="389"/>
      <c r="E94" s="389"/>
    </row>
    <row r="95" spans="1:5" s="308" customFormat="1" ht="14.25" x14ac:dyDescent="0.2">
      <c r="B95" s="304" t="s">
        <v>516</v>
      </c>
      <c r="C95" s="365">
        <v>324359</v>
      </c>
      <c r="D95" s="365">
        <v>0</v>
      </c>
      <c r="E95" s="365">
        <v>324359</v>
      </c>
    </row>
    <row r="96" spans="1:5" ht="30" x14ac:dyDescent="0.2">
      <c r="B96" s="300" t="s">
        <v>521</v>
      </c>
      <c r="C96" s="366">
        <v>324359</v>
      </c>
      <c r="D96" s="366">
        <v>0</v>
      </c>
      <c r="E96" s="366">
        <v>324359</v>
      </c>
    </row>
    <row r="98" spans="1:5" ht="15.75" customHeight="1" x14ac:dyDescent="0.2">
      <c r="A98" s="388" t="s">
        <v>535</v>
      </c>
      <c r="B98" s="389"/>
      <c r="C98" s="389"/>
      <c r="D98" s="389"/>
      <c r="E98" s="389"/>
    </row>
    <row r="99" spans="1:5" s="308" customFormat="1" ht="14.25" x14ac:dyDescent="0.2">
      <c r="B99" s="304" t="s">
        <v>516</v>
      </c>
      <c r="C99" s="365">
        <v>703281</v>
      </c>
      <c r="D99" s="365">
        <v>0</v>
      </c>
      <c r="E99" s="365">
        <v>703281</v>
      </c>
    </row>
    <row r="100" spans="1:5" ht="15" x14ac:dyDescent="0.2">
      <c r="B100" s="300" t="s">
        <v>517</v>
      </c>
      <c r="C100" s="366">
        <v>0</v>
      </c>
      <c r="D100" s="366">
        <v>14762</v>
      </c>
      <c r="E100" s="366">
        <v>14762</v>
      </c>
    </row>
    <row r="101" spans="1:5" ht="15" x14ac:dyDescent="0.2">
      <c r="B101" s="300" t="s">
        <v>518</v>
      </c>
      <c r="C101" s="366">
        <v>19000</v>
      </c>
      <c r="D101" s="366">
        <v>4000</v>
      </c>
      <c r="E101" s="366">
        <v>23000</v>
      </c>
    </row>
    <row r="102" spans="1:5" ht="15" x14ac:dyDescent="0.2">
      <c r="B102" s="300" t="s">
        <v>520</v>
      </c>
      <c r="C102" s="366">
        <v>684281</v>
      </c>
      <c r="D102" s="366">
        <v>-18762</v>
      </c>
      <c r="E102" s="366">
        <v>665519</v>
      </c>
    </row>
    <row r="104" spans="1:5" ht="15.75" customHeight="1" x14ac:dyDescent="0.2">
      <c r="A104" s="388" t="s">
        <v>536</v>
      </c>
      <c r="B104" s="389"/>
      <c r="C104" s="389"/>
      <c r="D104" s="389"/>
      <c r="E104" s="389"/>
    </row>
    <row r="105" spans="1:5" s="308" customFormat="1" ht="14.25" x14ac:dyDescent="0.2">
      <c r="B105" s="304" t="s">
        <v>516</v>
      </c>
      <c r="C105" s="365">
        <v>318200</v>
      </c>
      <c r="D105" s="365">
        <v>78873</v>
      </c>
      <c r="E105" s="365">
        <v>397073</v>
      </c>
    </row>
    <row r="106" spans="1:5" ht="15" x14ac:dyDescent="0.2">
      <c r="B106" s="300" t="s">
        <v>518</v>
      </c>
      <c r="C106" s="366">
        <v>191200</v>
      </c>
      <c r="D106" s="366">
        <v>63173</v>
      </c>
      <c r="E106" s="366">
        <v>254373</v>
      </c>
    </row>
    <row r="107" spans="1:5" ht="15" x14ac:dyDescent="0.2">
      <c r="B107" s="300" t="s">
        <v>519</v>
      </c>
      <c r="C107" s="366">
        <v>25000</v>
      </c>
      <c r="D107" s="366">
        <v>0</v>
      </c>
      <c r="E107" s="366">
        <v>25000</v>
      </c>
    </row>
    <row r="108" spans="1:5" ht="15" x14ac:dyDescent="0.2">
      <c r="B108" s="300" t="s">
        <v>520</v>
      </c>
      <c r="C108" s="366">
        <v>102000</v>
      </c>
      <c r="D108" s="366">
        <v>15000</v>
      </c>
      <c r="E108" s="366">
        <v>117000</v>
      </c>
    </row>
    <row r="109" spans="1:5" ht="15" x14ac:dyDescent="0.2">
      <c r="B109" s="300" t="s">
        <v>572</v>
      </c>
      <c r="C109" s="366">
        <v>0</v>
      </c>
      <c r="D109" s="366">
        <v>700</v>
      </c>
      <c r="E109" s="366">
        <v>700</v>
      </c>
    </row>
    <row r="111" spans="1:5" ht="15" x14ac:dyDescent="0.2">
      <c r="A111" s="388" t="s">
        <v>537</v>
      </c>
      <c r="B111" s="389"/>
      <c r="C111" s="389"/>
      <c r="D111" s="389"/>
      <c r="E111" s="389"/>
    </row>
    <row r="112" spans="1:5" s="308" customFormat="1" ht="14.25" x14ac:dyDescent="0.2">
      <c r="B112" s="304" t="s">
        <v>516</v>
      </c>
      <c r="C112" s="365">
        <v>9500</v>
      </c>
      <c r="D112" s="365">
        <v>0</v>
      </c>
      <c r="E112" s="365">
        <v>9500</v>
      </c>
    </row>
    <row r="113" spans="1:5" ht="15" x14ac:dyDescent="0.2">
      <c r="B113" s="300" t="s">
        <v>517</v>
      </c>
      <c r="C113" s="366">
        <v>3500</v>
      </c>
      <c r="D113" s="366">
        <v>1000</v>
      </c>
      <c r="E113" s="366">
        <v>4500</v>
      </c>
    </row>
    <row r="114" spans="1:5" ht="15" x14ac:dyDescent="0.2">
      <c r="B114" s="300" t="s">
        <v>518</v>
      </c>
      <c r="C114" s="366">
        <v>6000</v>
      </c>
      <c r="D114" s="366">
        <v>-1000</v>
      </c>
      <c r="E114" s="366">
        <v>5000</v>
      </c>
    </row>
    <row r="116" spans="1:5" ht="31.5" customHeight="1" x14ac:dyDescent="0.2">
      <c r="A116" s="388" t="s">
        <v>538</v>
      </c>
      <c r="B116" s="389"/>
      <c r="C116" s="389"/>
      <c r="D116" s="389"/>
      <c r="E116" s="389"/>
    </row>
    <row r="117" spans="1:5" s="308" customFormat="1" ht="14.25" x14ac:dyDescent="0.2">
      <c r="B117" s="304" t="s">
        <v>516</v>
      </c>
      <c r="C117" s="365">
        <v>15000</v>
      </c>
      <c r="D117" s="365">
        <v>0</v>
      </c>
      <c r="E117" s="365">
        <v>15000</v>
      </c>
    </row>
    <row r="118" spans="1:5" ht="15" x14ac:dyDescent="0.2">
      <c r="B118" s="300" t="s">
        <v>519</v>
      </c>
      <c r="C118" s="366">
        <v>15000</v>
      </c>
      <c r="D118" s="366">
        <v>0</v>
      </c>
      <c r="E118" s="366">
        <v>15000</v>
      </c>
    </row>
    <row r="120" spans="1:5" ht="31.5" customHeight="1" x14ac:dyDescent="0.2">
      <c r="A120" s="388" t="s">
        <v>539</v>
      </c>
      <c r="B120" s="389"/>
      <c r="C120" s="389"/>
      <c r="D120" s="389"/>
      <c r="E120" s="389"/>
    </row>
    <row r="121" spans="1:5" s="308" customFormat="1" ht="14.25" x14ac:dyDescent="0.2">
      <c r="B121" s="304" t="s">
        <v>516</v>
      </c>
      <c r="C121" s="365">
        <v>9474</v>
      </c>
      <c r="D121" s="365">
        <v>0</v>
      </c>
      <c r="E121" s="365">
        <v>9474</v>
      </c>
    </row>
    <row r="122" spans="1:5" ht="15" x14ac:dyDescent="0.2">
      <c r="B122" s="300" t="s">
        <v>517</v>
      </c>
      <c r="C122" s="366">
        <v>3611</v>
      </c>
      <c r="D122" s="366">
        <v>0</v>
      </c>
      <c r="E122" s="366">
        <v>3611</v>
      </c>
    </row>
    <row r="123" spans="1:5" ht="15" x14ac:dyDescent="0.2">
      <c r="B123" s="300" t="s">
        <v>518</v>
      </c>
      <c r="C123" s="366">
        <v>3031</v>
      </c>
      <c r="D123" s="366">
        <v>0</v>
      </c>
      <c r="E123" s="366">
        <v>3031</v>
      </c>
    </row>
    <row r="124" spans="1:5" ht="15" x14ac:dyDescent="0.2">
      <c r="B124" s="300" t="s">
        <v>519</v>
      </c>
      <c r="C124" s="366">
        <v>2832</v>
      </c>
      <c r="D124" s="366">
        <v>0</v>
      </c>
      <c r="E124" s="366">
        <v>2832</v>
      </c>
    </row>
    <row r="126" spans="1:5" ht="31.5" customHeight="1" x14ac:dyDescent="0.2">
      <c r="A126" s="388" t="s">
        <v>540</v>
      </c>
      <c r="B126" s="389"/>
      <c r="C126" s="389"/>
      <c r="D126" s="389"/>
      <c r="E126" s="389"/>
    </row>
    <row r="127" spans="1:5" s="308" customFormat="1" ht="14.25" x14ac:dyDescent="0.2">
      <c r="B127" s="304" t="s">
        <v>516</v>
      </c>
      <c r="C127" s="365">
        <v>93990</v>
      </c>
      <c r="D127" s="365">
        <v>41193</v>
      </c>
      <c r="E127" s="365">
        <v>135183</v>
      </c>
    </row>
    <row r="128" spans="1:5" ht="15" x14ac:dyDescent="0.2">
      <c r="B128" s="300" t="s">
        <v>517</v>
      </c>
      <c r="C128" s="366">
        <v>4109</v>
      </c>
      <c r="D128" s="366">
        <v>7550</v>
      </c>
      <c r="E128" s="366">
        <v>11659</v>
      </c>
    </row>
    <row r="129" spans="1:5" ht="15" x14ac:dyDescent="0.2">
      <c r="B129" s="300" t="s">
        <v>518</v>
      </c>
      <c r="C129" s="366">
        <v>89881</v>
      </c>
      <c r="D129" s="366">
        <v>33643</v>
      </c>
      <c r="E129" s="366">
        <v>123524</v>
      </c>
    </row>
    <row r="131" spans="1:5" ht="15.75" customHeight="1" x14ac:dyDescent="0.2">
      <c r="A131" s="388" t="s">
        <v>541</v>
      </c>
      <c r="B131" s="389"/>
      <c r="C131" s="389"/>
      <c r="D131" s="389"/>
      <c r="E131" s="389"/>
    </row>
    <row r="132" spans="1:5" s="308" customFormat="1" ht="14.25" x14ac:dyDescent="0.2">
      <c r="B132" s="304" t="s">
        <v>516</v>
      </c>
      <c r="C132" s="365">
        <v>690515</v>
      </c>
      <c r="D132" s="365">
        <v>-12000</v>
      </c>
      <c r="E132" s="365">
        <v>678515</v>
      </c>
    </row>
    <row r="133" spans="1:5" ht="15" x14ac:dyDescent="0.2">
      <c r="B133" s="300" t="s">
        <v>517</v>
      </c>
      <c r="C133" s="366">
        <v>55724</v>
      </c>
      <c r="D133" s="366">
        <v>-4000</v>
      </c>
      <c r="E133" s="366">
        <v>51724</v>
      </c>
    </row>
    <row r="134" spans="1:5" ht="15" x14ac:dyDescent="0.2">
      <c r="B134" s="300" t="s">
        <v>518</v>
      </c>
      <c r="C134" s="366">
        <v>599491</v>
      </c>
      <c r="D134" s="366">
        <v>-16601</v>
      </c>
      <c r="E134" s="366">
        <v>582890</v>
      </c>
    </row>
    <row r="135" spans="1:5" ht="15" x14ac:dyDescent="0.2">
      <c r="B135" s="300" t="s">
        <v>519</v>
      </c>
      <c r="C135" s="366">
        <v>2500</v>
      </c>
      <c r="D135" s="366">
        <v>0</v>
      </c>
      <c r="E135" s="366">
        <v>2500</v>
      </c>
    </row>
    <row r="136" spans="1:5" ht="15" x14ac:dyDescent="0.2">
      <c r="B136" s="300" t="s">
        <v>520</v>
      </c>
      <c r="C136" s="366">
        <v>32800</v>
      </c>
      <c r="D136" s="366">
        <v>2446</v>
      </c>
      <c r="E136" s="366">
        <v>35246</v>
      </c>
    </row>
    <row r="137" spans="1:5" ht="15" x14ac:dyDescent="0.2">
      <c r="B137" s="373" t="s">
        <v>572</v>
      </c>
      <c r="C137" s="366">
        <v>0</v>
      </c>
      <c r="D137" s="366">
        <v>6155</v>
      </c>
      <c r="E137" s="366">
        <v>6155</v>
      </c>
    </row>
    <row r="139" spans="1:5" ht="15" x14ac:dyDescent="0.2">
      <c r="A139" s="388" t="s">
        <v>820</v>
      </c>
      <c r="B139" s="389"/>
      <c r="C139" s="389"/>
      <c r="D139" s="389"/>
      <c r="E139" s="389"/>
    </row>
    <row r="140" spans="1:5" s="308" customFormat="1" ht="14.25" x14ac:dyDescent="0.2">
      <c r="B140" s="304" t="s">
        <v>516</v>
      </c>
      <c r="C140" s="365">
        <v>1500000</v>
      </c>
      <c r="D140" s="365">
        <v>-287396</v>
      </c>
      <c r="E140" s="365">
        <v>1212604</v>
      </c>
    </row>
    <row r="141" spans="1:5" ht="15" x14ac:dyDescent="0.2">
      <c r="B141" s="300" t="s">
        <v>520</v>
      </c>
      <c r="C141" s="366">
        <v>1500000</v>
      </c>
      <c r="D141" s="366">
        <v>-287396</v>
      </c>
      <c r="E141" s="366">
        <v>1212604</v>
      </c>
    </row>
    <row r="143" spans="1:5" ht="31.5" customHeight="1" x14ac:dyDescent="0.2">
      <c r="A143" s="388" t="s">
        <v>542</v>
      </c>
      <c r="B143" s="389"/>
      <c r="C143" s="389"/>
      <c r="D143" s="389"/>
      <c r="E143" s="389"/>
    </row>
    <row r="144" spans="1:5" s="308" customFormat="1" ht="14.25" x14ac:dyDescent="0.2">
      <c r="B144" s="304" t="s">
        <v>516</v>
      </c>
      <c r="C144" s="365">
        <v>61250</v>
      </c>
      <c r="D144" s="365">
        <v>0</v>
      </c>
      <c r="E144" s="365">
        <v>61250</v>
      </c>
    </row>
    <row r="145" spans="1:5" ht="15" x14ac:dyDescent="0.2">
      <c r="B145" s="300" t="s">
        <v>520</v>
      </c>
      <c r="C145" s="366">
        <v>61250</v>
      </c>
      <c r="D145" s="366">
        <v>0</v>
      </c>
      <c r="E145" s="366">
        <v>61250</v>
      </c>
    </row>
    <row r="147" spans="1:5" ht="32.25" customHeight="1" x14ac:dyDescent="0.2">
      <c r="A147" s="388" t="s">
        <v>543</v>
      </c>
      <c r="B147" s="389"/>
      <c r="C147" s="389"/>
      <c r="D147" s="389"/>
      <c r="E147" s="389"/>
    </row>
    <row r="148" spans="1:5" s="308" customFormat="1" ht="14.25" x14ac:dyDescent="0.2">
      <c r="B148" s="304" t="s">
        <v>516</v>
      </c>
      <c r="C148" s="365">
        <v>264736</v>
      </c>
      <c r="D148" s="365">
        <v>0</v>
      </c>
      <c r="E148" s="365">
        <v>264736</v>
      </c>
    </row>
    <row r="149" spans="1:5" ht="15" x14ac:dyDescent="0.2">
      <c r="B149" s="300" t="s">
        <v>518</v>
      </c>
      <c r="C149" s="366">
        <v>7418</v>
      </c>
      <c r="D149" s="366">
        <v>0</v>
      </c>
      <c r="E149" s="366">
        <v>7418</v>
      </c>
    </row>
    <row r="150" spans="1:5" ht="30" x14ac:dyDescent="0.2">
      <c r="B150" s="300" t="s">
        <v>521</v>
      </c>
      <c r="C150" s="366">
        <v>257318</v>
      </c>
      <c r="D150" s="366">
        <v>0</v>
      </c>
      <c r="E150" s="366">
        <v>257318</v>
      </c>
    </row>
    <row r="152" spans="1:5" ht="31.5" customHeight="1" x14ac:dyDescent="0.2">
      <c r="A152" s="388" t="s">
        <v>821</v>
      </c>
      <c r="B152" s="389"/>
      <c r="C152" s="389"/>
      <c r="D152" s="389"/>
      <c r="E152" s="389"/>
    </row>
    <row r="153" spans="1:5" s="308" customFormat="1" ht="14.25" x14ac:dyDescent="0.2">
      <c r="B153" s="304" t="s">
        <v>516</v>
      </c>
      <c r="C153" s="365">
        <v>129425</v>
      </c>
      <c r="D153" s="365">
        <v>0</v>
      </c>
      <c r="E153" s="365">
        <v>129425</v>
      </c>
    </row>
    <row r="154" spans="1:5" ht="15" x14ac:dyDescent="0.2">
      <c r="B154" s="300" t="s">
        <v>520</v>
      </c>
      <c r="C154" s="366">
        <v>129425</v>
      </c>
      <c r="D154" s="366">
        <v>0</v>
      </c>
      <c r="E154" s="366">
        <v>129425</v>
      </c>
    </row>
    <row r="156" spans="1:5" ht="31.5" customHeight="1" x14ac:dyDescent="0.2">
      <c r="A156" s="388" t="s">
        <v>544</v>
      </c>
      <c r="B156" s="389"/>
      <c r="C156" s="389"/>
      <c r="D156" s="389"/>
      <c r="E156" s="389"/>
    </row>
    <row r="157" spans="1:5" s="308" customFormat="1" ht="14.25" x14ac:dyDescent="0.2">
      <c r="B157" s="304" t="s">
        <v>516</v>
      </c>
      <c r="C157" s="365">
        <v>640551</v>
      </c>
      <c r="D157" s="365">
        <v>-45610</v>
      </c>
      <c r="E157" s="365">
        <v>594941</v>
      </c>
    </row>
    <row r="158" spans="1:5" ht="15" x14ac:dyDescent="0.2">
      <c r="B158" s="300" t="s">
        <v>518</v>
      </c>
      <c r="C158" s="366">
        <v>132380</v>
      </c>
      <c r="D158" s="366">
        <v>-132380</v>
      </c>
      <c r="E158" s="366">
        <v>0</v>
      </c>
    </row>
    <row r="159" spans="1:5" ht="15" x14ac:dyDescent="0.2">
      <c r="B159" s="300" t="s">
        <v>520</v>
      </c>
      <c r="C159" s="366">
        <v>508171</v>
      </c>
      <c r="D159" s="366">
        <v>86770</v>
      </c>
      <c r="E159" s="366">
        <v>594941</v>
      </c>
    </row>
    <row r="161" spans="1:5" ht="36" customHeight="1" x14ac:dyDescent="0.2">
      <c r="A161" s="388" t="s">
        <v>545</v>
      </c>
      <c r="B161" s="389"/>
      <c r="C161" s="389"/>
      <c r="D161" s="389"/>
      <c r="E161" s="389"/>
    </row>
    <row r="162" spans="1:5" s="308" customFormat="1" ht="14.25" x14ac:dyDescent="0.2">
      <c r="B162" s="304" t="s">
        <v>516</v>
      </c>
      <c r="C162" s="365">
        <v>802205</v>
      </c>
      <c r="D162" s="365">
        <v>0</v>
      </c>
      <c r="E162" s="365">
        <v>802205</v>
      </c>
    </row>
    <row r="163" spans="1:5" ht="15" x14ac:dyDescent="0.2">
      <c r="B163" s="300" t="s">
        <v>520</v>
      </c>
      <c r="C163" s="366">
        <v>802205</v>
      </c>
      <c r="D163" s="366">
        <v>0</v>
      </c>
      <c r="E163" s="366">
        <v>802205</v>
      </c>
    </row>
    <row r="165" spans="1:5" ht="31.5" customHeight="1" x14ac:dyDescent="0.2">
      <c r="A165" s="388" t="s">
        <v>546</v>
      </c>
      <c r="B165" s="389"/>
      <c r="C165" s="389"/>
      <c r="D165" s="389"/>
      <c r="E165" s="389"/>
    </row>
    <row r="166" spans="1:5" s="308" customFormat="1" ht="14.25" x14ac:dyDescent="0.2">
      <c r="B166" s="304" t="s">
        <v>516</v>
      </c>
      <c r="C166" s="365">
        <v>217444</v>
      </c>
      <c r="D166" s="365">
        <v>0</v>
      </c>
      <c r="E166" s="365">
        <v>217444</v>
      </c>
    </row>
    <row r="167" spans="1:5" ht="15" x14ac:dyDescent="0.2">
      <c r="B167" s="300" t="s">
        <v>520</v>
      </c>
      <c r="C167" s="366">
        <v>217444</v>
      </c>
      <c r="D167" s="366">
        <v>0</v>
      </c>
      <c r="E167" s="366">
        <v>217444</v>
      </c>
    </row>
    <row r="169" spans="1:5" ht="15.75" customHeight="1" x14ac:dyDescent="0.2">
      <c r="A169" s="388" t="s">
        <v>547</v>
      </c>
      <c r="B169" s="389"/>
      <c r="C169" s="389"/>
      <c r="D169" s="389"/>
      <c r="E169" s="389"/>
    </row>
    <row r="170" spans="1:5" s="308" customFormat="1" ht="14.25" x14ac:dyDescent="0.2">
      <c r="B170" s="304" t="s">
        <v>516</v>
      </c>
      <c r="C170" s="365">
        <v>76468</v>
      </c>
      <c r="D170" s="365">
        <v>0</v>
      </c>
      <c r="E170" s="365">
        <v>76468</v>
      </c>
    </row>
    <row r="171" spans="1:5" ht="15" x14ac:dyDescent="0.2">
      <c r="B171" s="300" t="s">
        <v>517</v>
      </c>
      <c r="C171" s="366">
        <v>45807</v>
      </c>
      <c r="D171" s="366">
        <v>0</v>
      </c>
      <c r="E171" s="366">
        <v>45807</v>
      </c>
    </row>
    <row r="172" spans="1:5" ht="15" x14ac:dyDescent="0.2">
      <c r="B172" s="300" t="s">
        <v>518</v>
      </c>
      <c r="C172" s="366">
        <v>30661</v>
      </c>
      <c r="D172" s="366">
        <v>0</v>
      </c>
      <c r="E172" s="366">
        <v>30661</v>
      </c>
    </row>
    <row r="174" spans="1:5" ht="15" x14ac:dyDescent="0.2">
      <c r="A174" s="388" t="s">
        <v>882</v>
      </c>
      <c r="B174" s="389"/>
      <c r="C174" s="389"/>
      <c r="D174" s="389"/>
      <c r="E174" s="389"/>
    </row>
    <row r="175" spans="1:5" ht="14.25" x14ac:dyDescent="0.2">
      <c r="A175" s="308"/>
      <c r="B175" s="371" t="s">
        <v>516</v>
      </c>
      <c r="C175" s="365">
        <v>0</v>
      </c>
      <c r="D175" s="365">
        <v>94</v>
      </c>
      <c r="E175" s="365">
        <v>94</v>
      </c>
    </row>
    <row r="176" spans="1:5" ht="15" x14ac:dyDescent="0.2">
      <c r="B176" s="372" t="s">
        <v>517</v>
      </c>
      <c r="C176" s="366">
        <v>0</v>
      </c>
      <c r="D176" s="366">
        <v>94</v>
      </c>
      <c r="E176" s="366">
        <v>94</v>
      </c>
    </row>
    <row r="178" spans="1:5" ht="15.75" customHeight="1" x14ac:dyDescent="0.2">
      <c r="A178" s="388" t="s">
        <v>795</v>
      </c>
      <c r="B178" s="389"/>
      <c r="C178" s="389"/>
      <c r="D178" s="389"/>
      <c r="E178" s="389"/>
    </row>
    <row r="179" spans="1:5" s="308" customFormat="1" ht="14.25" x14ac:dyDescent="0.2">
      <c r="B179" s="304" t="s">
        <v>516</v>
      </c>
      <c r="C179" s="365">
        <v>1475</v>
      </c>
      <c r="D179" s="365">
        <v>0</v>
      </c>
      <c r="E179" s="365">
        <v>1475</v>
      </c>
    </row>
    <row r="180" spans="1:5" ht="15" x14ac:dyDescent="0.2">
      <c r="B180" s="300" t="s">
        <v>517</v>
      </c>
      <c r="C180" s="366">
        <v>698</v>
      </c>
      <c r="D180" s="366">
        <v>657</v>
      </c>
      <c r="E180" s="366">
        <v>1355</v>
      </c>
    </row>
    <row r="181" spans="1:5" ht="15" x14ac:dyDescent="0.2">
      <c r="B181" s="300" t="s">
        <v>518</v>
      </c>
      <c r="C181" s="366">
        <v>777</v>
      </c>
      <c r="D181" s="366">
        <v>-657</v>
      </c>
      <c r="E181" s="366">
        <v>120</v>
      </c>
    </row>
    <row r="183" spans="1:5" ht="15.75" customHeight="1" x14ac:dyDescent="0.2">
      <c r="A183" s="388" t="s">
        <v>548</v>
      </c>
      <c r="B183" s="389"/>
      <c r="C183" s="389"/>
      <c r="D183" s="389"/>
      <c r="E183" s="389"/>
    </row>
    <row r="184" spans="1:5" s="308" customFormat="1" ht="14.25" x14ac:dyDescent="0.2">
      <c r="B184" s="304" t="s">
        <v>516</v>
      </c>
      <c r="C184" s="365">
        <v>163074</v>
      </c>
      <c r="D184" s="365">
        <v>-20000</v>
      </c>
      <c r="E184" s="365">
        <v>143074</v>
      </c>
    </row>
    <row r="185" spans="1:5" ht="15" x14ac:dyDescent="0.2">
      <c r="B185" s="300" t="s">
        <v>517</v>
      </c>
      <c r="C185" s="366">
        <v>59699</v>
      </c>
      <c r="D185" s="366">
        <v>0</v>
      </c>
      <c r="E185" s="366">
        <v>59699</v>
      </c>
    </row>
    <row r="186" spans="1:5" ht="15" x14ac:dyDescent="0.2">
      <c r="B186" s="300" t="s">
        <v>518</v>
      </c>
      <c r="C186" s="366">
        <v>98375</v>
      </c>
      <c r="D186" s="366">
        <v>-20000</v>
      </c>
      <c r="E186" s="366">
        <v>78375</v>
      </c>
    </row>
    <row r="187" spans="1:5" ht="30.75" customHeight="1" x14ac:dyDescent="0.2">
      <c r="B187" s="300" t="s">
        <v>521</v>
      </c>
      <c r="C187" s="366">
        <v>5000</v>
      </c>
      <c r="D187" s="366">
        <v>0</v>
      </c>
      <c r="E187" s="366">
        <v>5000</v>
      </c>
    </row>
    <row r="189" spans="1:5" ht="15" x14ac:dyDescent="0.2">
      <c r="A189" s="388" t="s">
        <v>549</v>
      </c>
      <c r="B189" s="389"/>
      <c r="C189" s="389"/>
      <c r="D189" s="389"/>
      <c r="E189" s="389"/>
    </row>
    <row r="190" spans="1:5" s="308" customFormat="1" ht="14.25" x14ac:dyDescent="0.2">
      <c r="B190" s="304" t="s">
        <v>516</v>
      </c>
      <c r="C190" s="365">
        <v>2599692</v>
      </c>
      <c r="D190" s="365">
        <v>-967696</v>
      </c>
      <c r="E190" s="365">
        <v>1631996</v>
      </c>
    </row>
    <row r="191" spans="1:5" ht="15" x14ac:dyDescent="0.2">
      <c r="B191" s="300" t="s">
        <v>520</v>
      </c>
      <c r="C191" s="366">
        <v>2599692</v>
      </c>
      <c r="D191" s="366">
        <v>-967696</v>
      </c>
      <c r="E191" s="366">
        <v>1631996</v>
      </c>
    </row>
    <row r="192" spans="1:5" ht="15" x14ac:dyDescent="0.2">
      <c r="B192" s="300"/>
      <c r="C192" s="366"/>
      <c r="D192" s="366"/>
      <c r="E192" s="366"/>
    </row>
    <row r="194" spans="1:5" ht="15.75" customHeight="1" x14ac:dyDescent="0.2">
      <c r="A194" s="388" t="s">
        <v>550</v>
      </c>
      <c r="B194" s="389"/>
      <c r="C194" s="389"/>
      <c r="D194" s="389"/>
      <c r="E194" s="389"/>
    </row>
    <row r="195" spans="1:5" s="308" customFormat="1" ht="14.25" x14ac:dyDescent="0.2">
      <c r="A195" s="359"/>
      <c r="B195" s="358" t="s">
        <v>516</v>
      </c>
      <c r="C195" s="367">
        <v>4306382</v>
      </c>
      <c r="D195" s="367">
        <v>410525</v>
      </c>
      <c r="E195" s="367">
        <v>4716907</v>
      </c>
    </row>
    <row r="196" spans="1:5" ht="15" x14ac:dyDescent="0.2">
      <c r="A196" s="307"/>
      <c r="B196" s="302" t="s">
        <v>518</v>
      </c>
      <c r="C196" s="364">
        <v>738167</v>
      </c>
      <c r="D196" s="364">
        <v>-202253</v>
      </c>
      <c r="E196" s="364">
        <v>535914</v>
      </c>
    </row>
    <row r="197" spans="1:5" ht="15" x14ac:dyDescent="0.2">
      <c r="A197" s="307"/>
      <c r="B197" s="302" t="s">
        <v>519</v>
      </c>
      <c r="C197" s="364">
        <v>3514115</v>
      </c>
      <c r="D197" s="364">
        <v>612778</v>
      </c>
      <c r="E197" s="364">
        <v>4126893</v>
      </c>
    </row>
    <row r="198" spans="1:5" ht="15" x14ac:dyDescent="0.2">
      <c r="A198" s="307"/>
      <c r="B198" s="302" t="s">
        <v>796</v>
      </c>
      <c r="C198" s="364">
        <v>50600</v>
      </c>
      <c r="D198" s="364">
        <v>0</v>
      </c>
      <c r="E198" s="364">
        <v>50600</v>
      </c>
    </row>
    <row r="199" spans="1:5" ht="30.75" customHeight="1" x14ac:dyDescent="0.2">
      <c r="A199" s="307"/>
      <c r="B199" s="302" t="s">
        <v>521</v>
      </c>
      <c r="C199" s="364">
        <v>3500</v>
      </c>
      <c r="D199" s="364">
        <v>0</v>
      </c>
      <c r="E199" s="364">
        <v>3500</v>
      </c>
    </row>
    <row r="201" spans="1:5" ht="15.75" customHeight="1" x14ac:dyDescent="0.2">
      <c r="A201" s="388" t="s">
        <v>551</v>
      </c>
      <c r="B201" s="389"/>
      <c r="C201" s="389"/>
      <c r="D201" s="389"/>
      <c r="E201" s="389"/>
    </row>
    <row r="202" spans="1:5" s="308" customFormat="1" ht="14.25" x14ac:dyDescent="0.2">
      <c r="B202" s="304" t="s">
        <v>516</v>
      </c>
      <c r="C202" s="365">
        <v>45250</v>
      </c>
      <c r="D202" s="365">
        <v>0</v>
      </c>
      <c r="E202" s="365">
        <v>45250</v>
      </c>
    </row>
    <row r="203" spans="1:5" ht="15" x14ac:dyDescent="0.2">
      <c r="B203" s="300" t="s">
        <v>518</v>
      </c>
      <c r="C203" s="366">
        <v>45250</v>
      </c>
      <c r="D203" s="366">
        <v>0</v>
      </c>
      <c r="E203" s="366">
        <v>45250</v>
      </c>
    </row>
    <row r="205" spans="1:5" ht="15.75" customHeight="1" x14ac:dyDescent="0.2">
      <c r="A205" s="388" t="s">
        <v>828</v>
      </c>
      <c r="B205" s="389"/>
      <c r="C205" s="389"/>
      <c r="D205" s="389"/>
      <c r="E205" s="389"/>
    </row>
    <row r="206" spans="1:5" s="308" customFormat="1" ht="14.25" x14ac:dyDescent="0.2">
      <c r="B206" s="304" t="s">
        <v>516</v>
      </c>
      <c r="C206" s="365">
        <v>270000</v>
      </c>
      <c r="D206" s="365">
        <v>0</v>
      </c>
      <c r="E206" s="365">
        <v>270000</v>
      </c>
    </row>
    <row r="207" spans="1:5" ht="15" x14ac:dyDescent="0.2">
      <c r="B207" s="300" t="s">
        <v>518</v>
      </c>
      <c r="C207" s="366">
        <v>219400</v>
      </c>
      <c r="D207" s="366">
        <v>0</v>
      </c>
      <c r="E207" s="366">
        <v>219400</v>
      </c>
    </row>
    <row r="208" spans="1:5" ht="15" x14ac:dyDescent="0.2">
      <c r="B208" s="300" t="s">
        <v>796</v>
      </c>
      <c r="C208" s="366">
        <v>50600</v>
      </c>
      <c r="D208" s="366">
        <v>0</v>
      </c>
      <c r="E208" s="366">
        <v>50600</v>
      </c>
    </row>
    <row r="210" spans="1:5" ht="15.75" customHeight="1" x14ac:dyDescent="0.2">
      <c r="A210" s="388" t="s">
        <v>552</v>
      </c>
      <c r="B210" s="389"/>
      <c r="C210" s="389"/>
      <c r="D210" s="389"/>
      <c r="E210" s="389"/>
    </row>
    <row r="211" spans="1:5" s="308" customFormat="1" ht="14.25" x14ac:dyDescent="0.2">
      <c r="B211" s="304" t="s">
        <v>516</v>
      </c>
      <c r="C211" s="365">
        <v>372645</v>
      </c>
      <c r="D211" s="365">
        <v>-202253</v>
      </c>
      <c r="E211" s="365">
        <v>170392</v>
      </c>
    </row>
    <row r="212" spans="1:5" ht="15" x14ac:dyDescent="0.2">
      <c r="B212" s="300" t="s">
        <v>518</v>
      </c>
      <c r="C212" s="366">
        <v>372645</v>
      </c>
      <c r="D212" s="366">
        <v>-202253</v>
      </c>
      <c r="E212" s="366">
        <v>170392</v>
      </c>
    </row>
    <row r="214" spans="1:5" ht="15.75" customHeight="1" x14ac:dyDescent="0.2">
      <c r="A214" s="388" t="s">
        <v>553</v>
      </c>
      <c r="B214" s="389"/>
      <c r="C214" s="389"/>
      <c r="D214" s="389"/>
      <c r="E214" s="389"/>
    </row>
    <row r="215" spans="1:5" s="308" customFormat="1" ht="14.25" x14ac:dyDescent="0.2">
      <c r="B215" s="304" t="s">
        <v>516</v>
      </c>
      <c r="C215" s="365">
        <v>2515164</v>
      </c>
      <c r="D215" s="365">
        <v>502335</v>
      </c>
      <c r="E215" s="365">
        <v>3017499</v>
      </c>
    </row>
    <row r="216" spans="1:5" ht="15" x14ac:dyDescent="0.2">
      <c r="B216" s="300" t="s">
        <v>519</v>
      </c>
      <c r="C216" s="366">
        <v>2515164</v>
      </c>
      <c r="D216" s="366">
        <v>502335</v>
      </c>
      <c r="E216" s="366">
        <v>3017499</v>
      </c>
    </row>
    <row r="218" spans="1:5" ht="15.75" customHeight="1" x14ac:dyDescent="0.2">
      <c r="A218" s="388" t="s">
        <v>554</v>
      </c>
      <c r="B218" s="389"/>
      <c r="C218" s="389"/>
      <c r="D218" s="389"/>
      <c r="E218" s="389"/>
    </row>
    <row r="219" spans="1:5" s="308" customFormat="1" ht="14.25" x14ac:dyDescent="0.2">
      <c r="B219" s="304" t="s">
        <v>516</v>
      </c>
      <c r="C219" s="365">
        <v>3500</v>
      </c>
      <c r="D219" s="365">
        <v>0</v>
      </c>
      <c r="E219" s="365">
        <v>3500</v>
      </c>
    </row>
    <row r="220" spans="1:5" ht="31.5" customHeight="1" x14ac:dyDescent="0.2">
      <c r="B220" s="300" t="s">
        <v>521</v>
      </c>
      <c r="C220" s="366">
        <v>3500</v>
      </c>
      <c r="D220" s="366">
        <v>0</v>
      </c>
      <c r="E220" s="366">
        <v>3500</v>
      </c>
    </row>
    <row r="222" spans="1:5" ht="31.5" customHeight="1" x14ac:dyDescent="0.2">
      <c r="A222" s="388" t="s">
        <v>875</v>
      </c>
      <c r="B222" s="389"/>
      <c r="C222" s="389"/>
      <c r="D222" s="389"/>
      <c r="E222" s="389"/>
    </row>
    <row r="223" spans="1:5" s="308" customFormat="1" ht="14.25" x14ac:dyDescent="0.2">
      <c r="B223" s="304" t="s">
        <v>516</v>
      </c>
      <c r="C223" s="365">
        <v>0</v>
      </c>
      <c r="D223" s="365">
        <v>100000</v>
      </c>
      <c r="E223" s="365">
        <v>100000</v>
      </c>
    </row>
    <row r="224" spans="1:5" ht="15" x14ac:dyDescent="0.2">
      <c r="B224" s="300" t="s">
        <v>519</v>
      </c>
      <c r="C224" s="366">
        <v>0</v>
      </c>
      <c r="D224" s="366">
        <v>100000</v>
      </c>
      <c r="E224" s="366">
        <v>100000</v>
      </c>
    </row>
    <row r="226" spans="1:5" ht="15.75" customHeight="1" x14ac:dyDescent="0.2">
      <c r="A226" s="388" t="s">
        <v>555</v>
      </c>
      <c r="B226" s="389"/>
      <c r="C226" s="389"/>
      <c r="D226" s="389"/>
      <c r="E226" s="389"/>
    </row>
    <row r="227" spans="1:5" s="308" customFormat="1" ht="14.25" x14ac:dyDescent="0.2">
      <c r="B227" s="304" t="s">
        <v>516</v>
      </c>
      <c r="C227" s="365">
        <v>535784</v>
      </c>
      <c r="D227" s="365">
        <v>0</v>
      </c>
      <c r="E227" s="365">
        <v>535784</v>
      </c>
    </row>
    <row r="228" spans="1:5" ht="15" x14ac:dyDescent="0.2">
      <c r="B228" s="300" t="s">
        <v>519</v>
      </c>
      <c r="C228" s="366">
        <v>535784</v>
      </c>
      <c r="D228" s="366">
        <v>0</v>
      </c>
      <c r="E228" s="366">
        <v>535784</v>
      </c>
    </row>
    <row r="230" spans="1:5" ht="15.75" customHeight="1" x14ac:dyDescent="0.2">
      <c r="A230" s="388" t="s">
        <v>829</v>
      </c>
      <c r="B230" s="389"/>
      <c r="C230" s="389"/>
      <c r="D230" s="389"/>
      <c r="E230" s="389"/>
    </row>
    <row r="231" spans="1:5" s="308" customFormat="1" ht="14.25" x14ac:dyDescent="0.2">
      <c r="B231" s="304" t="s">
        <v>516</v>
      </c>
      <c r="C231" s="365">
        <v>56829</v>
      </c>
      <c r="D231" s="365">
        <v>910</v>
      </c>
      <c r="E231" s="365">
        <v>57739</v>
      </c>
    </row>
    <row r="232" spans="1:5" ht="15" x14ac:dyDescent="0.2">
      <c r="B232" s="300" t="s">
        <v>518</v>
      </c>
      <c r="C232" s="366">
        <v>20</v>
      </c>
      <c r="D232" s="366">
        <v>0</v>
      </c>
      <c r="E232" s="366">
        <v>20</v>
      </c>
    </row>
    <row r="233" spans="1:5" ht="15" x14ac:dyDescent="0.2">
      <c r="B233" s="300" t="s">
        <v>519</v>
      </c>
      <c r="C233" s="366">
        <v>56809</v>
      </c>
      <c r="D233" s="366">
        <v>910</v>
      </c>
      <c r="E233" s="366">
        <v>57719</v>
      </c>
    </row>
    <row r="235" spans="1:5" ht="31.5" customHeight="1" x14ac:dyDescent="0.2">
      <c r="A235" s="388" t="s">
        <v>556</v>
      </c>
      <c r="B235" s="389"/>
      <c r="C235" s="389"/>
      <c r="D235" s="389"/>
      <c r="E235" s="389"/>
    </row>
    <row r="236" spans="1:5" s="308" customFormat="1" ht="14.25" x14ac:dyDescent="0.2">
      <c r="B236" s="304" t="s">
        <v>516</v>
      </c>
      <c r="C236" s="365">
        <v>222958</v>
      </c>
      <c r="D236" s="365">
        <v>7533</v>
      </c>
      <c r="E236" s="365">
        <v>230491</v>
      </c>
    </row>
    <row r="237" spans="1:5" ht="15" x14ac:dyDescent="0.2">
      <c r="B237" s="300" t="s">
        <v>519</v>
      </c>
      <c r="C237" s="366">
        <v>222958</v>
      </c>
      <c r="D237" s="366">
        <v>7533</v>
      </c>
      <c r="E237" s="366">
        <v>230491</v>
      </c>
    </row>
    <row r="239" spans="1:5" ht="15.75" customHeight="1" x14ac:dyDescent="0.2">
      <c r="A239" s="388" t="s">
        <v>770</v>
      </c>
      <c r="B239" s="389"/>
      <c r="C239" s="389"/>
      <c r="D239" s="389"/>
      <c r="E239" s="389"/>
    </row>
    <row r="240" spans="1:5" s="308" customFormat="1" ht="14.25" x14ac:dyDescent="0.2">
      <c r="B240" s="304" t="s">
        <v>516</v>
      </c>
      <c r="C240" s="365">
        <v>10000</v>
      </c>
      <c r="D240" s="365">
        <v>0</v>
      </c>
      <c r="E240" s="365">
        <v>10000</v>
      </c>
    </row>
    <row r="241" spans="1:5" ht="15" x14ac:dyDescent="0.2">
      <c r="B241" s="300" t="s">
        <v>519</v>
      </c>
      <c r="C241" s="366">
        <v>10000</v>
      </c>
      <c r="D241" s="366">
        <v>0</v>
      </c>
      <c r="E241" s="366">
        <v>10000</v>
      </c>
    </row>
    <row r="243" spans="1:5" ht="15.75" customHeight="1" x14ac:dyDescent="0.2">
      <c r="A243" s="388" t="s">
        <v>557</v>
      </c>
      <c r="B243" s="389"/>
      <c r="C243" s="389"/>
      <c r="D243" s="389"/>
      <c r="E243" s="389"/>
    </row>
    <row r="244" spans="1:5" s="308" customFormat="1" ht="14.25" x14ac:dyDescent="0.2">
      <c r="B244" s="304" t="s">
        <v>516</v>
      </c>
      <c r="C244" s="365">
        <v>5000</v>
      </c>
      <c r="D244" s="365">
        <v>0</v>
      </c>
      <c r="E244" s="365">
        <v>5000</v>
      </c>
    </row>
    <row r="245" spans="1:5" ht="15" x14ac:dyDescent="0.2">
      <c r="B245" s="300" t="s">
        <v>519</v>
      </c>
      <c r="C245" s="366">
        <v>5000</v>
      </c>
      <c r="D245" s="366">
        <v>0</v>
      </c>
      <c r="E245" s="366">
        <v>5000</v>
      </c>
    </row>
    <row r="247" spans="1:5" ht="15.75" customHeight="1" x14ac:dyDescent="0.2">
      <c r="A247" s="388" t="s">
        <v>558</v>
      </c>
      <c r="B247" s="389"/>
      <c r="C247" s="389"/>
      <c r="D247" s="389"/>
      <c r="E247" s="389"/>
    </row>
    <row r="248" spans="1:5" s="308" customFormat="1" ht="14.25" x14ac:dyDescent="0.2">
      <c r="B248" s="304" t="s">
        <v>516</v>
      </c>
      <c r="C248" s="365">
        <v>155500</v>
      </c>
      <c r="D248" s="365">
        <v>2000</v>
      </c>
      <c r="E248" s="365">
        <v>157500</v>
      </c>
    </row>
    <row r="249" spans="1:5" ht="15" x14ac:dyDescent="0.2">
      <c r="B249" s="300" t="s">
        <v>519</v>
      </c>
      <c r="C249" s="366">
        <v>155500</v>
      </c>
      <c r="D249" s="366">
        <v>2000</v>
      </c>
      <c r="E249" s="366">
        <v>157500</v>
      </c>
    </row>
    <row r="251" spans="1:5" ht="15.75" customHeight="1" x14ac:dyDescent="0.2">
      <c r="A251" s="388" t="s">
        <v>559</v>
      </c>
      <c r="B251" s="389"/>
      <c r="C251" s="389"/>
      <c r="D251" s="389"/>
      <c r="E251" s="389"/>
    </row>
    <row r="252" spans="1:5" s="308" customFormat="1" ht="14.25" x14ac:dyDescent="0.2">
      <c r="B252" s="304" t="s">
        <v>516</v>
      </c>
      <c r="C252" s="365">
        <v>4300</v>
      </c>
      <c r="D252" s="365">
        <v>0</v>
      </c>
      <c r="E252" s="365">
        <v>4300</v>
      </c>
    </row>
    <row r="253" spans="1:5" ht="15" x14ac:dyDescent="0.2">
      <c r="B253" s="300" t="s">
        <v>519</v>
      </c>
      <c r="C253" s="366">
        <v>4300</v>
      </c>
      <c r="D253" s="366">
        <v>0</v>
      </c>
      <c r="E253" s="366">
        <v>4300</v>
      </c>
    </row>
    <row r="255" spans="1:5" ht="15.75" customHeight="1" x14ac:dyDescent="0.2">
      <c r="A255" s="388" t="s">
        <v>560</v>
      </c>
      <c r="B255" s="389"/>
      <c r="C255" s="389"/>
      <c r="D255" s="389"/>
      <c r="E255" s="389"/>
    </row>
    <row r="256" spans="1:5" s="308" customFormat="1" ht="14.25" x14ac:dyDescent="0.2">
      <c r="B256" s="304" t="s">
        <v>516</v>
      </c>
      <c r="C256" s="365">
        <v>100852</v>
      </c>
      <c r="D256" s="365">
        <v>0</v>
      </c>
      <c r="E256" s="365">
        <v>100852</v>
      </c>
    </row>
    <row r="257" spans="1:5" ht="15" x14ac:dyDescent="0.2">
      <c r="B257" s="300" t="s">
        <v>518</v>
      </c>
      <c r="C257" s="366">
        <v>100852</v>
      </c>
      <c r="D257" s="366">
        <v>0</v>
      </c>
      <c r="E257" s="366">
        <v>100852</v>
      </c>
    </row>
    <row r="259" spans="1:5" ht="15.75" customHeight="1" x14ac:dyDescent="0.2">
      <c r="A259" s="388" t="s">
        <v>561</v>
      </c>
      <c r="B259" s="389"/>
      <c r="C259" s="389"/>
      <c r="D259" s="389"/>
      <c r="E259" s="389"/>
    </row>
    <row r="260" spans="1:5" s="308" customFormat="1" ht="14.25" x14ac:dyDescent="0.2">
      <c r="B260" s="304" t="s">
        <v>516</v>
      </c>
      <c r="C260" s="365">
        <v>6000</v>
      </c>
      <c r="D260" s="365">
        <v>0</v>
      </c>
      <c r="E260" s="365">
        <v>6000</v>
      </c>
    </row>
    <row r="261" spans="1:5" ht="15" x14ac:dyDescent="0.2">
      <c r="B261" s="300" t="s">
        <v>519</v>
      </c>
      <c r="C261" s="366">
        <v>6000</v>
      </c>
      <c r="D261" s="366">
        <v>0</v>
      </c>
      <c r="E261" s="366">
        <v>6000</v>
      </c>
    </row>
    <row r="263" spans="1:5" ht="15.75" customHeight="1" x14ac:dyDescent="0.2">
      <c r="A263" s="388" t="s">
        <v>562</v>
      </c>
      <c r="B263" s="389"/>
      <c r="C263" s="389"/>
      <c r="D263" s="389"/>
      <c r="E263" s="389"/>
    </row>
    <row r="264" spans="1:5" s="308" customFormat="1" ht="14.25" x14ac:dyDescent="0.2">
      <c r="B264" s="304" t="s">
        <v>516</v>
      </c>
      <c r="C264" s="365">
        <v>2600</v>
      </c>
      <c r="D264" s="365">
        <v>0</v>
      </c>
      <c r="E264" s="365">
        <v>2600</v>
      </c>
    </row>
    <row r="265" spans="1:5" ht="15" x14ac:dyDescent="0.2">
      <c r="B265" s="300" t="s">
        <v>519</v>
      </c>
      <c r="C265" s="366">
        <v>2600</v>
      </c>
      <c r="D265" s="366">
        <v>0</v>
      </c>
      <c r="E265" s="366">
        <v>2600</v>
      </c>
    </row>
    <row r="268" spans="1:5" ht="31.5" customHeight="1" x14ac:dyDescent="0.2">
      <c r="A268" s="390" t="s">
        <v>563</v>
      </c>
      <c r="B268" s="391"/>
      <c r="C268" s="391"/>
      <c r="D268" s="391"/>
      <c r="E268" s="391"/>
    </row>
    <row r="269" spans="1:5" ht="15" x14ac:dyDescent="0.2">
      <c r="A269" s="307"/>
      <c r="B269" s="302" t="s">
        <v>516</v>
      </c>
      <c r="C269" s="364">
        <v>293041</v>
      </c>
      <c r="D269" s="364">
        <v>0</v>
      </c>
      <c r="E269" s="364">
        <v>293041</v>
      </c>
    </row>
    <row r="270" spans="1:5" ht="15" x14ac:dyDescent="0.2">
      <c r="A270" s="307"/>
      <c r="B270" s="302" t="s">
        <v>517</v>
      </c>
      <c r="C270" s="364">
        <v>274470</v>
      </c>
      <c r="D270" s="364">
        <v>0</v>
      </c>
      <c r="E270" s="364">
        <v>274470</v>
      </c>
    </row>
    <row r="271" spans="1:5" ht="15" x14ac:dyDescent="0.2">
      <c r="A271" s="307"/>
      <c r="B271" s="302" t="s">
        <v>518</v>
      </c>
      <c r="C271" s="364">
        <v>14571</v>
      </c>
      <c r="D271" s="364">
        <v>0</v>
      </c>
      <c r="E271" s="364">
        <v>14571</v>
      </c>
    </row>
    <row r="272" spans="1:5" ht="15" x14ac:dyDescent="0.2">
      <c r="A272" s="307"/>
      <c r="B272" s="302" t="s">
        <v>520</v>
      </c>
      <c r="C272" s="364">
        <v>4000</v>
      </c>
      <c r="D272" s="364">
        <v>0</v>
      </c>
      <c r="E272" s="364">
        <v>4000</v>
      </c>
    </row>
    <row r="274" spans="1:5" ht="15.75" customHeight="1" x14ac:dyDescent="0.2">
      <c r="A274" s="388" t="s">
        <v>564</v>
      </c>
      <c r="B274" s="389"/>
      <c r="C274" s="389"/>
      <c r="D274" s="389"/>
      <c r="E274" s="389"/>
    </row>
    <row r="275" spans="1:5" s="308" customFormat="1" ht="14.25" x14ac:dyDescent="0.2">
      <c r="B275" s="304" t="s">
        <v>516</v>
      </c>
      <c r="C275" s="365">
        <v>293041</v>
      </c>
      <c r="D275" s="365">
        <v>0</v>
      </c>
      <c r="E275" s="365">
        <v>293041</v>
      </c>
    </row>
    <row r="276" spans="1:5" ht="15" x14ac:dyDescent="0.2">
      <c r="B276" s="300" t="s">
        <v>517</v>
      </c>
      <c r="C276" s="366">
        <v>274470</v>
      </c>
      <c r="D276" s="366">
        <v>0</v>
      </c>
      <c r="E276" s="366">
        <v>274470</v>
      </c>
    </row>
    <row r="277" spans="1:5" ht="15" x14ac:dyDescent="0.2">
      <c r="B277" s="300" t="s">
        <v>518</v>
      </c>
      <c r="C277" s="366">
        <v>14571</v>
      </c>
      <c r="D277" s="366">
        <v>0</v>
      </c>
      <c r="E277" s="366">
        <v>14571</v>
      </c>
    </row>
    <row r="278" spans="1:5" ht="15" x14ac:dyDescent="0.2">
      <c r="B278" s="300" t="s">
        <v>520</v>
      </c>
      <c r="C278" s="366">
        <v>4000</v>
      </c>
      <c r="D278" s="366">
        <v>0</v>
      </c>
      <c r="E278" s="366">
        <v>4000</v>
      </c>
    </row>
    <row r="281" spans="1:5" ht="31.5" customHeight="1" x14ac:dyDescent="0.2">
      <c r="A281" s="390" t="s">
        <v>565</v>
      </c>
      <c r="B281" s="391"/>
      <c r="C281" s="391"/>
      <c r="D281" s="391"/>
      <c r="E281" s="391"/>
    </row>
    <row r="282" spans="1:5" s="308" customFormat="1" ht="14.25" x14ac:dyDescent="0.2">
      <c r="A282" s="359"/>
      <c r="B282" s="358" t="s">
        <v>516</v>
      </c>
      <c r="C282" s="367">
        <v>3093463</v>
      </c>
      <c r="D282" s="367">
        <v>157008</v>
      </c>
      <c r="E282" s="367">
        <v>3250471</v>
      </c>
    </row>
    <row r="283" spans="1:5" ht="15" x14ac:dyDescent="0.2">
      <c r="A283" s="307"/>
      <c r="B283" s="302" t="s">
        <v>517</v>
      </c>
      <c r="C283" s="364">
        <v>2752780</v>
      </c>
      <c r="D283" s="364">
        <v>130312</v>
      </c>
      <c r="E283" s="364">
        <v>2883092</v>
      </c>
    </row>
    <row r="284" spans="1:5" ht="15" x14ac:dyDescent="0.2">
      <c r="A284" s="307"/>
      <c r="B284" s="302" t="s">
        <v>518</v>
      </c>
      <c r="C284" s="364">
        <v>287683</v>
      </c>
      <c r="D284" s="364">
        <v>26196</v>
      </c>
      <c r="E284" s="364">
        <v>313879</v>
      </c>
    </row>
    <row r="285" spans="1:5" ht="15" x14ac:dyDescent="0.2">
      <c r="A285" s="307"/>
      <c r="B285" s="302" t="s">
        <v>520</v>
      </c>
      <c r="C285" s="364">
        <v>53000</v>
      </c>
      <c r="D285" s="364">
        <v>0</v>
      </c>
      <c r="E285" s="364">
        <v>53000</v>
      </c>
    </row>
    <row r="286" spans="1:5" ht="15" x14ac:dyDescent="0.2">
      <c r="A286" s="307"/>
      <c r="B286" s="302" t="s">
        <v>572</v>
      </c>
      <c r="C286" s="364">
        <v>0</v>
      </c>
      <c r="D286" s="364">
        <v>500</v>
      </c>
      <c r="E286" s="364">
        <v>500</v>
      </c>
    </row>
    <row r="288" spans="1:5" ht="15.75" customHeight="1" x14ac:dyDescent="0.2">
      <c r="A288" s="388" t="s">
        <v>566</v>
      </c>
      <c r="B288" s="389"/>
      <c r="C288" s="389"/>
      <c r="D288" s="389"/>
      <c r="E288" s="389"/>
    </row>
    <row r="289" spans="1:5" s="308" customFormat="1" ht="14.25" x14ac:dyDescent="0.2">
      <c r="B289" s="304" t="s">
        <v>516</v>
      </c>
      <c r="C289" s="365">
        <v>3093463</v>
      </c>
      <c r="D289" s="365">
        <v>157008</v>
      </c>
      <c r="E289" s="365">
        <v>3250471</v>
      </c>
    </row>
    <row r="290" spans="1:5" ht="15" x14ac:dyDescent="0.2">
      <c r="B290" s="300" t="s">
        <v>517</v>
      </c>
      <c r="C290" s="366">
        <v>2752780</v>
      </c>
      <c r="D290" s="366">
        <v>130312</v>
      </c>
      <c r="E290" s="366">
        <v>2883092</v>
      </c>
    </row>
    <row r="291" spans="1:5" ht="15" x14ac:dyDescent="0.2">
      <c r="B291" s="300" t="s">
        <v>518</v>
      </c>
      <c r="C291" s="366">
        <v>287683</v>
      </c>
      <c r="D291" s="366">
        <v>26196</v>
      </c>
      <c r="E291" s="366">
        <v>313879</v>
      </c>
    </row>
    <row r="292" spans="1:5" ht="15" x14ac:dyDescent="0.2">
      <c r="B292" s="300" t="s">
        <v>520</v>
      </c>
      <c r="C292" s="366">
        <v>53000</v>
      </c>
      <c r="D292" s="366">
        <v>0</v>
      </c>
      <c r="E292" s="366">
        <v>53000</v>
      </c>
    </row>
    <row r="293" spans="1:5" ht="15" x14ac:dyDescent="0.2">
      <c r="B293" s="300" t="s">
        <v>572</v>
      </c>
      <c r="C293" s="366">
        <v>0</v>
      </c>
      <c r="D293" s="366">
        <v>500</v>
      </c>
      <c r="E293" s="366">
        <v>500</v>
      </c>
    </row>
    <row r="296" spans="1:5" ht="31.5" customHeight="1" x14ac:dyDescent="0.2">
      <c r="A296" s="390" t="s">
        <v>567</v>
      </c>
      <c r="B296" s="391"/>
      <c r="C296" s="391"/>
      <c r="D296" s="391"/>
      <c r="E296" s="391"/>
    </row>
    <row r="297" spans="1:5" s="308" customFormat="1" ht="15" x14ac:dyDescent="0.2">
      <c r="A297" s="359"/>
      <c r="B297" s="302" t="s">
        <v>516</v>
      </c>
      <c r="C297" s="364">
        <v>429341</v>
      </c>
      <c r="D297" s="364">
        <v>-4999</v>
      </c>
      <c r="E297" s="364">
        <v>424342</v>
      </c>
    </row>
    <row r="298" spans="1:5" ht="15" x14ac:dyDescent="0.2">
      <c r="A298" s="307"/>
      <c r="B298" s="302" t="s">
        <v>517</v>
      </c>
      <c r="C298" s="364">
        <v>279099</v>
      </c>
      <c r="D298" s="364">
        <v>-19000</v>
      </c>
      <c r="E298" s="364">
        <v>260099</v>
      </c>
    </row>
    <row r="299" spans="1:5" ht="15" x14ac:dyDescent="0.2">
      <c r="A299" s="307"/>
      <c r="B299" s="302" t="s">
        <v>518</v>
      </c>
      <c r="C299" s="364">
        <v>136938</v>
      </c>
      <c r="D299" s="364">
        <v>-8684</v>
      </c>
      <c r="E299" s="364">
        <v>128254</v>
      </c>
    </row>
    <row r="300" spans="1:5" ht="15" x14ac:dyDescent="0.2">
      <c r="A300" s="307"/>
      <c r="B300" s="302" t="s">
        <v>520</v>
      </c>
      <c r="C300" s="364">
        <v>13304</v>
      </c>
      <c r="D300" s="364">
        <v>22685</v>
      </c>
      <c r="E300" s="364">
        <v>35989</v>
      </c>
    </row>
    <row r="302" spans="1:5" ht="15.75" customHeight="1" x14ac:dyDescent="0.2">
      <c r="A302" s="388" t="s">
        <v>568</v>
      </c>
      <c r="B302" s="389"/>
      <c r="C302" s="389"/>
      <c r="D302" s="389"/>
      <c r="E302" s="389"/>
    </row>
    <row r="303" spans="1:5" s="308" customFormat="1" ht="14.25" x14ac:dyDescent="0.2">
      <c r="B303" s="304" t="s">
        <v>516</v>
      </c>
      <c r="C303" s="365">
        <v>426760</v>
      </c>
      <c r="D303" s="365">
        <v>-25000</v>
      </c>
      <c r="E303" s="365">
        <v>401760</v>
      </c>
    </row>
    <row r="304" spans="1:5" ht="15" x14ac:dyDescent="0.2">
      <c r="B304" s="300" t="s">
        <v>517</v>
      </c>
      <c r="C304" s="366">
        <v>278921</v>
      </c>
      <c r="D304" s="366">
        <v>-19000</v>
      </c>
      <c r="E304" s="366">
        <v>259921</v>
      </c>
    </row>
    <row r="305" spans="1:5" ht="15" x14ac:dyDescent="0.2">
      <c r="B305" s="300" t="s">
        <v>518</v>
      </c>
      <c r="C305" s="366">
        <v>134535</v>
      </c>
      <c r="D305" s="366">
        <v>-8684</v>
      </c>
      <c r="E305" s="366">
        <v>125851</v>
      </c>
    </row>
    <row r="306" spans="1:5" ht="15" x14ac:dyDescent="0.2">
      <c r="B306" s="300" t="s">
        <v>520</v>
      </c>
      <c r="C306" s="366">
        <v>13304</v>
      </c>
      <c r="D306" s="366">
        <v>2684</v>
      </c>
      <c r="E306" s="366">
        <v>15988</v>
      </c>
    </row>
    <row r="308" spans="1:5" ht="31.5" customHeight="1" x14ac:dyDescent="0.2">
      <c r="A308" s="388" t="s">
        <v>769</v>
      </c>
      <c r="B308" s="389"/>
      <c r="C308" s="389"/>
      <c r="D308" s="389"/>
      <c r="E308" s="389"/>
    </row>
    <row r="309" spans="1:5" s="308" customFormat="1" ht="14.25" x14ac:dyDescent="0.2">
      <c r="B309" s="304" t="s">
        <v>516</v>
      </c>
      <c r="C309" s="365">
        <v>2581</v>
      </c>
      <c r="D309" s="365">
        <v>0</v>
      </c>
      <c r="E309" s="365">
        <v>2581</v>
      </c>
    </row>
    <row r="310" spans="1:5" ht="15" x14ac:dyDescent="0.2">
      <c r="B310" s="300" t="s">
        <v>517</v>
      </c>
      <c r="C310" s="366">
        <v>178</v>
      </c>
      <c r="D310" s="366">
        <v>0</v>
      </c>
      <c r="E310" s="366">
        <v>178</v>
      </c>
    </row>
    <row r="311" spans="1:5" ht="15" x14ac:dyDescent="0.2">
      <c r="B311" s="300" t="s">
        <v>518</v>
      </c>
      <c r="C311" s="366">
        <v>2403</v>
      </c>
      <c r="D311" s="366">
        <v>0</v>
      </c>
      <c r="E311" s="366">
        <v>2403</v>
      </c>
    </row>
    <row r="313" spans="1:5" ht="15.75" customHeight="1" x14ac:dyDescent="0.2">
      <c r="A313" s="388" t="s">
        <v>876</v>
      </c>
      <c r="B313" s="389"/>
      <c r="C313" s="389"/>
      <c r="D313" s="389"/>
      <c r="E313" s="389"/>
    </row>
    <row r="314" spans="1:5" s="308" customFormat="1" ht="14.25" x14ac:dyDescent="0.2">
      <c r="B314" s="304" t="s">
        <v>516</v>
      </c>
      <c r="C314" s="365">
        <v>0</v>
      </c>
      <c r="D314" s="365">
        <v>20001</v>
      </c>
      <c r="E314" s="365">
        <v>20001</v>
      </c>
    </row>
    <row r="315" spans="1:5" ht="15" x14ac:dyDescent="0.2">
      <c r="B315" s="300" t="s">
        <v>520</v>
      </c>
      <c r="C315" s="366">
        <v>0</v>
      </c>
      <c r="D315" s="366">
        <v>20001</v>
      </c>
      <c r="E315" s="366">
        <v>20001</v>
      </c>
    </row>
    <row r="318" spans="1:5" ht="31.5" customHeight="1" x14ac:dyDescent="0.2">
      <c r="A318" s="390" t="s">
        <v>569</v>
      </c>
      <c r="B318" s="391"/>
      <c r="C318" s="391"/>
      <c r="D318" s="391"/>
      <c r="E318" s="391"/>
    </row>
    <row r="319" spans="1:5" ht="15" x14ac:dyDescent="0.2">
      <c r="A319" s="307"/>
      <c r="B319" s="302" t="s">
        <v>516</v>
      </c>
      <c r="C319" s="364">
        <v>444409</v>
      </c>
      <c r="D319" s="364">
        <v>0</v>
      </c>
      <c r="E319" s="364">
        <v>444409</v>
      </c>
    </row>
    <row r="320" spans="1:5" ht="15" x14ac:dyDescent="0.2">
      <c r="A320" s="307"/>
      <c r="B320" s="302" t="s">
        <v>517</v>
      </c>
      <c r="C320" s="364">
        <v>274163</v>
      </c>
      <c r="D320" s="364">
        <v>0</v>
      </c>
      <c r="E320" s="364">
        <v>274163</v>
      </c>
    </row>
    <row r="321" spans="1:5" ht="15" x14ac:dyDescent="0.2">
      <c r="A321" s="307"/>
      <c r="B321" s="302" t="s">
        <v>518</v>
      </c>
      <c r="C321" s="364">
        <v>163246</v>
      </c>
      <c r="D321" s="364">
        <v>0</v>
      </c>
      <c r="E321" s="364">
        <v>163246</v>
      </c>
    </row>
    <row r="322" spans="1:5" ht="15" x14ac:dyDescent="0.2">
      <c r="A322" s="307"/>
      <c r="B322" s="302" t="s">
        <v>520</v>
      </c>
      <c r="C322" s="364">
        <v>7000</v>
      </c>
      <c r="D322" s="364">
        <v>0</v>
      </c>
      <c r="E322" s="364">
        <v>7000</v>
      </c>
    </row>
    <row r="324" spans="1:5" ht="15.75" customHeight="1" x14ac:dyDescent="0.2">
      <c r="A324" s="388" t="s">
        <v>570</v>
      </c>
      <c r="B324" s="389"/>
      <c r="C324" s="389"/>
      <c r="D324" s="389"/>
      <c r="E324" s="389"/>
    </row>
    <row r="325" spans="1:5" s="308" customFormat="1" ht="14.25" x14ac:dyDescent="0.2">
      <c r="B325" s="304" t="s">
        <v>516</v>
      </c>
      <c r="C325" s="365">
        <v>444409</v>
      </c>
      <c r="D325" s="365">
        <v>0</v>
      </c>
      <c r="E325" s="365">
        <v>444409</v>
      </c>
    </row>
    <row r="326" spans="1:5" ht="15" x14ac:dyDescent="0.2">
      <c r="B326" s="300" t="s">
        <v>517</v>
      </c>
      <c r="C326" s="366">
        <v>274163</v>
      </c>
      <c r="D326" s="366">
        <v>0</v>
      </c>
      <c r="E326" s="366">
        <v>274163</v>
      </c>
    </row>
    <row r="327" spans="1:5" ht="15" x14ac:dyDescent="0.2">
      <c r="B327" s="300" t="s">
        <v>518</v>
      </c>
      <c r="C327" s="366">
        <v>163246</v>
      </c>
      <c r="D327" s="366">
        <v>0</v>
      </c>
      <c r="E327" s="366">
        <v>163246</v>
      </c>
    </row>
    <row r="328" spans="1:5" ht="15" x14ac:dyDescent="0.2">
      <c r="B328" s="300" t="s">
        <v>520</v>
      </c>
      <c r="C328" s="366">
        <v>7000</v>
      </c>
      <c r="D328" s="366">
        <v>0</v>
      </c>
      <c r="E328" s="366">
        <v>7000</v>
      </c>
    </row>
    <row r="331" spans="1:5" ht="15.75" customHeight="1" x14ac:dyDescent="0.2">
      <c r="A331" s="390" t="s">
        <v>571</v>
      </c>
      <c r="B331" s="391"/>
      <c r="C331" s="391"/>
      <c r="D331" s="391"/>
      <c r="E331" s="391"/>
    </row>
    <row r="332" spans="1:5" ht="15" x14ac:dyDescent="0.2">
      <c r="A332" s="307"/>
      <c r="B332" s="302" t="s">
        <v>516</v>
      </c>
      <c r="C332" s="364">
        <v>10420365</v>
      </c>
      <c r="D332" s="364">
        <v>1489670</v>
      </c>
      <c r="E332" s="364">
        <v>11910035</v>
      </c>
    </row>
    <row r="333" spans="1:5" ht="15" x14ac:dyDescent="0.2">
      <c r="A333" s="307"/>
      <c r="B333" s="302" t="s">
        <v>517</v>
      </c>
      <c r="C333" s="364">
        <v>887903</v>
      </c>
      <c r="D333" s="364">
        <v>18813</v>
      </c>
      <c r="E333" s="364">
        <v>906716</v>
      </c>
    </row>
    <row r="334" spans="1:5" ht="15" x14ac:dyDescent="0.2">
      <c r="A334" s="307"/>
      <c r="B334" s="302" t="s">
        <v>518</v>
      </c>
      <c r="C334" s="364">
        <v>4727240</v>
      </c>
      <c r="D334" s="364">
        <v>-55776</v>
      </c>
      <c r="E334" s="364">
        <v>4671464</v>
      </c>
    </row>
    <row r="335" spans="1:5" ht="15" x14ac:dyDescent="0.2">
      <c r="A335" s="307"/>
      <c r="B335" s="302" t="s">
        <v>519</v>
      </c>
      <c r="C335" s="364">
        <v>100000</v>
      </c>
      <c r="D335" s="364">
        <v>0</v>
      </c>
      <c r="E335" s="364">
        <v>100000</v>
      </c>
    </row>
    <row r="336" spans="1:5" ht="15" x14ac:dyDescent="0.2">
      <c r="A336" s="307"/>
      <c r="B336" s="302" t="s">
        <v>520</v>
      </c>
      <c r="C336" s="364">
        <v>4677022</v>
      </c>
      <c r="D336" s="364">
        <v>1526833</v>
      </c>
      <c r="E336" s="364">
        <v>6203855</v>
      </c>
    </row>
    <row r="337" spans="1:5" ht="15" x14ac:dyDescent="0.2">
      <c r="A337" s="307"/>
      <c r="B337" s="302" t="s">
        <v>572</v>
      </c>
      <c r="C337" s="364">
        <v>28200</v>
      </c>
      <c r="D337" s="364">
        <v>-200</v>
      </c>
      <c r="E337" s="364">
        <v>28000</v>
      </c>
    </row>
    <row r="339" spans="1:5" ht="15" x14ac:dyDescent="0.2">
      <c r="A339" s="388" t="s">
        <v>573</v>
      </c>
      <c r="B339" s="389"/>
      <c r="C339" s="389"/>
      <c r="D339" s="389"/>
      <c r="E339" s="389"/>
    </row>
    <row r="340" spans="1:5" s="308" customFormat="1" ht="14.25" x14ac:dyDescent="0.2">
      <c r="B340" s="304" t="s">
        <v>516</v>
      </c>
      <c r="C340" s="365">
        <v>3336522</v>
      </c>
      <c r="D340" s="365">
        <v>1090769</v>
      </c>
      <c r="E340" s="365">
        <v>4427291</v>
      </c>
    </row>
    <row r="341" spans="1:5" ht="15" x14ac:dyDescent="0.2">
      <c r="B341" s="300" t="s">
        <v>517</v>
      </c>
      <c r="C341" s="366">
        <v>66223</v>
      </c>
      <c r="D341" s="366">
        <v>0</v>
      </c>
      <c r="E341" s="366">
        <v>66223</v>
      </c>
    </row>
    <row r="342" spans="1:5" ht="15" x14ac:dyDescent="0.2">
      <c r="B342" s="300" t="s">
        <v>518</v>
      </c>
      <c r="C342" s="366">
        <v>1293274</v>
      </c>
      <c r="D342" s="366">
        <v>0</v>
      </c>
      <c r="E342" s="366">
        <v>1293274</v>
      </c>
    </row>
    <row r="343" spans="1:5" ht="15" x14ac:dyDescent="0.2">
      <c r="B343" s="300" t="s">
        <v>520</v>
      </c>
      <c r="C343" s="366">
        <v>1977025</v>
      </c>
      <c r="D343" s="366">
        <v>1090769</v>
      </c>
      <c r="E343" s="366">
        <v>3067794</v>
      </c>
    </row>
    <row r="345" spans="1:5" ht="31.5" customHeight="1" x14ac:dyDescent="0.2">
      <c r="A345" s="388" t="s">
        <v>574</v>
      </c>
      <c r="B345" s="389"/>
      <c r="C345" s="389"/>
      <c r="D345" s="389"/>
      <c r="E345" s="389"/>
    </row>
    <row r="346" spans="1:5" s="308" customFormat="1" ht="14.25" x14ac:dyDescent="0.2">
      <c r="B346" s="304" t="s">
        <v>516</v>
      </c>
      <c r="C346" s="365">
        <v>1040402</v>
      </c>
      <c r="D346" s="365">
        <v>0</v>
      </c>
      <c r="E346" s="365">
        <v>1040402</v>
      </c>
    </row>
    <row r="347" spans="1:5" ht="15" x14ac:dyDescent="0.2">
      <c r="B347" s="300" t="s">
        <v>520</v>
      </c>
      <c r="C347" s="366">
        <v>1040402</v>
      </c>
      <c r="D347" s="366">
        <v>0</v>
      </c>
      <c r="E347" s="366">
        <v>1040402</v>
      </c>
    </row>
    <row r="349" spans="1:5" ht="15" x14ac:dyDescent="0.2">
      <c r="A349" s="388" t="s">
        <v>575</v>
      </c>
      <c r="B349" s="389"/>
      <c r="C349" s="389"/>
      <c r="D349" s="389"/>
      <c r="E349" s="389"/>
    </row>
    <row r="350" spans="1:5" s="308" customFormat="1" ht="14.25" x14ac:dyDescent="0.2">
      <c r="B350" s="304" t="s">
        <v>516</v>
      </c>
      <c r="C350" s="365">
        <v>323343</v>
      </c>
      <c r="D350" s="365">
        <v>0</v>
      </c>
      <c r="E350" s="365">
        <v>323343</v>
      </c>
    </row>
    <row r="351" spans="1:5" ht="15" x14ac:dyDescent="0.2">
      <c r="B351" s="300" t="s">
        <v>520</v>
      </c>
      <c r="C351" s="366">
        <v>323343</v>
      </c>
      <c r="D351" s="366">
        <v>0</v>
      </c>
      <c r="E351" s="366">
        <v>323343</v>
      </c>
    </row>
    <row r="353" spans="1:5" ht="15.75" customHeight="1" x14ac:dyDescent="0.2">
      <c r="A353" s="388" t="s">
        <v>576</v>
      </c>
      <c r="B353" s="389"/>
      <c r="C353" s="389"/>
      <c r="D353" s="389"/>
      <c r="E353" s="389"/>
    </row>
    <row r="354" spans="1:5" s="308" customFormat="1" ht="14.25" x14ac:dyDescent="0.2">
      <c r="B354" s="304" t="s">
        <v>516</v>
      </c>
      <c r="C354" s="365">
        <v>1158310</v>
      </c>
      <c r="D354" s="365">
        <v>15447</v>
      </c>
      <c r="E354" s="365">
        <v>1173757</v>
      </c>
    </row>
    <row r="355" spans="1:5" ht="15" x14ac:dyDescent="0.2">
      <c r="B355" s="300" t="s">
        <v>518</v>
      </c>
      <c r="C355" s="366">
        <v>1151322</v>
      </c>
      <c r="D355" s="366">
        <v>15447</v>
      </c>
      <c r="E355" s="366">
        <v>1166769</v>
      </c>
    </row>
    <row r="356" spans="1:5" ht="15" x14ac:dyDescent="0.2">
      <c r="B356" s="300" t="s">
        <v>520</v>
      </c>
      <c r="C356" s="366">
        <v>6988</v>
      </c>
      <c r="D356" s="366">
        <v>0</v>
      </c>
      <c r="E356" s="366">
        <v>6988</v>
      </c>
    </row>
    <row r="358" spans="1:5" ht="15.75" customHeight="1" x14ac:dyDescent="0.2">
      <c r="A358" s="388" t="s">
        <v>577</v>
      </c>
      <c r="B358" s="389"/>
      <c r="C358" s="389"/>
      <c r="D358" s="389"/>
      <c r="E358" s="389"/>
    </row>
    <row r="359" spans="1:5" s="308" customFormat="1" ht="14.25" x14ac:dyDescent="0.2">
      <c r="B359" s="304" t="s">
        <v>516</v>
      </c>
      <c r="C359" s="365">
        <v>636420</v>
      </c>
      <c r="D359" s="365">
        <v>33055</v>
      </c>
      <c r="E359" s="365">
        <v>669475</v>
      </c>
    </row>
    <row r="360" spans="1:5" ht="15" x14ac:dyDescent="0.2">
      <c r="B360" s="300" t="s">
        <v>518</v>
      </c>
      <c r="C360" s="366">
        <v>505107</v>
      </c>
      <c r="D360" s="366">
        <v>-7233</v>
      </c>
      <c r="E360" s="366">
        <v>497874</v>
      </c>
    </row>
    <row r="361" spans="1:5" ht="15" x14ac:dyDescent="0.2">
      <c r="B361" s="300" t="s">
        <v>520</v>
      </c>
      <c r="C361" s="366">
        <v>131313</v>
      </c>
      <c r="D361" s="366">
        <v>40288</v>
      </c>
      <c r="E361" s="366">
        <v>171601</v>
      </c>
    </row>
    <row r="363" spans="1:5" ht="15.75" customHeight="1" x14ac:dyDescent="0.2">
      <c r="A363" s="388" t="s">
        <v>578</v>
      </c>
      <c r="B363" s="389"/>
      <c r="C363" s="389"/>
      <c r="D363" s="389"/>
      <c r="E363" s="389"/>
    </row>
    <row r="364" spans="1:5" s="308" customFormat="1" ht="14.25" x14ac:dyDescent="0.2">
      <c r="B364" s="304" t="s">
        <v>516</v>
      </c>
      <c r="C364" s="365">
        <v>693609</v>
      </c>
      <c r="D364" s="365">
        <v>49804</v>
      </c>
      <c r="E364" s="365">
        <v>743413</v>
      </c>
    </row>
    <row r="365" spans="1:5" ht="15" x14ac:dyDescent="0.2">
      <c r="B365" s="300" t="s">
        <v>518</v>
      </c>
      <c r="C365" s="366">
        <v>562055</v>
      </c>
      <c r="D365" s="366">
        <v>-45078</v>
      </c>
      <c r="E365" s="366">
        <v>516977</v>
      </c>
    </row>
    <row r="366" spans="1:5" ht="15" x14ac:dyDescent="0.2">
      <c r="B366" s="300" t="s">
        <v>520</v>
      </c>
      <c r="C366" s="366">
        <v>131554</v>
      </c>
      <c r="D366" s="366">
        <v>94882</v>
      </c>
      <c r="E366" s="366">
        <v>226436</v>
      </c>
    </row>
    <row r="368" spans="1:5" ht="31.5" customHeight="1" x14ac:dyDescent="0.2">
      <c r="A368" s="388" t="s">
        <v>579</v>
      </c>
      <c r="B368" s="389"/>
      <c r="C368" s="389"/>
      <c r="D368" s="389"/>
      <c r="E368" s="389"/>
    </row>
    <row r="369" spans="1:5" s="308" customFormat="1" ht="14.25" x14ac:dyDescent="0.2">
      <c r="B369" s="304" t="s">
        <v>516</v>
      </c>
      <c r="C369" s="365">
        <v>937155</v>
      </c>
      <c r="D369" s="365">
        <v>231745</v>
      </c>
      <c r="E369" s="365">
        <v>1168900</v>
      </c>
    </row>
    <row r="370" spans="1:5" ht="15" x14ac:dyDescent="0.2">
      <c r="B370" s="300" t="s">
        <v>520</v>
      </c>
      <c r="C370" s="366">
        <v>937155</v>
      </c>
      <c r="D370" s="366">
        <v>231745</v>
      </c>
      <c r="E370" s="366">
        <v>1168900</v>
      </c>
    </row>
    <row r="372" spans="1:5" ht="15.75" customHeight="1" x14ac:dyDescent="0.2">
      <c r="A372" s="388" t="s">
        <v>580</v>
      </c>
      <c r="B372" s="389"/>
      <c r="C372" s="389"/>
      <c r="D372" s="389"/>
      <c r="E372" s="389"/>
    </row>
    <row r="373" spans="1:5" s="308" customFormat="1" ht="14.25" x14ac:dyDescent="0.2">
      <c r="B373" s="304" t="s">
        <v>516</v>
      </c>
      <c r="C373" s="365">
        <v>970043</v>
      </c>
      <c r="D373" s="365">
        <v>28536</v>
      </c>
      <c r="E373" s="365">
        <v>998579</v>
      </c>
    </row>
    <row r="374" spans="1:5" ht="15" x14ac:dyDescent="0.2">
      <c r="B374" s="300" t="s">
        <v>517</v>
      </c>
      <c r="C374" s="366">
        <v>819880</v>
      </c>
      <c r="D374" s="366">
        <v>18613</v>
      </c>
      <c r="E374" s="366">
        <v>838493</v>
      </c>
    </row>
    <row r="375" spans="1:5" ht="15" x14ac:dyDescent="0.2">
      <c r="B375" s="300" t="s">
        <v>518</v>
      </c>
      <c r="C375" s="366">
        <v>98463</v>
      </c>
      <c r="D375" s="366">
        <v>-1844</v>
      </c>
      <c r="E375" s="366">
        <v>96619</v>
      </c>
    </row>
    <row r="376" spans="1:5" ht="15" x14ac:dyDescent="0.2">
      <c r="B376" s="300" t="s">
        <v>520</v>
      </c>
      <c r="C376" s="366">
        <v>51700</v>
      </c>
      <c r="D376" s="366">
        <v>11767</v>
      </c>
      <c r="E376" s="366">
        <v>63467</v>
      </c>
    </row>
    <row r="378" spans="1:5" ht="20.25" customHeight="1" x14ac:dyDescent="0.2">
      <c r="A378" s="388" t="s">
        <v>830</v>
      </c>
      <c r="B378" s="389"/>
      <c r="C378" s="389"/>
      <c r="D378" s="389"/>
      <c r="E378" s="389"/>
    </row>
    <row r="379" spans="1:5" s="308" customFormat="1" ht="14.25" x14ac:dyDescent="0.2">
      <c r="B379" s="304" t="s">
        <v>516</v>
      </c>
      <c r="C379" s="365">
        <v>1271561</v>
      </c>
      <c r="D379" s="365">
        <v>40314</v>
      </c>
      <c r="E379" s="365">
        <v>1311875</v>
      </c>
    </row>
    <row r="380" spans="1:5" ht="15" x14ac:dyDescent="0.2">
      <c r="B380" s="300" t="s">
        <v>518</v>
      </c>
      <c r="C380" s="366">
        <v>1094019</v>
      </c>
      <c r="D380" s="366">
        <v>-17068</v>
      </c>
      <c r="E380" s="366">
        <v>1076951</v>
      </c>
    </row>
    <row r="381" spans="1:5" ht="15" x14ac:dyDescent="0.2">
      <c r="B381" s="300" t="s">
        <v>519</v>
      </c>
      <c r="C381" s="366">
        <v>100000</v>
      </c>
      <c r="D381" s="366">
        <v>0</v>
      </c>
      <c r="E381" s="366">
        <v>100000</v>
      </c>
    </row>
    <row r="382" spans="1:5" ht="15" x14ac:dyDescent="0.2">
      <c r="B382" s="300" t="s">
        <v>520</v>
      </c>
      <c r="C382" s="366">
        <v>77542</v>
      </c>
      <c r="D382" s="366">
        <v>57382</v>
      </c>
      <c r="E382" s="366">
        <v>134924</v>
      </c>
    </row>
    <row r="384" spans="1:5" ht="15.75" customHeight="1" x14ac:dyDescent="0.2">
      <c r="A384" s="388" t="s">
        <v>581</v>
      </c>
      <c r="B384" s="389"/>
      <c r="C384" s="389"/>
      <c r="D384" s="389"/>
      <c r="E384" s="389"/>
    </row>
    <row r="385" spans="1:5" s="308" customFormat="1" ht="14.25" x14ac:dyDescent="0.2">
      <c r="B385" s="304" t="s">
        <v>516</v>
      </c>
      <c r="C385" s="365">
        <v>53000</v>
      </c>
      <c r="D385" s="365">
        <v>0</v>
      </c>
      <c r="E385" s="365">
        <v>53000</v>
      </c>
    </row>
    <row r="386" spans="1:5" ht="15" x14ac:dyDescent="0.2">
      <c r="B386" s="300" t="s">
        <v>517</v>
      </c>
      <c r="C386" s="366">
        <v>1800</v>
      </c>
      <c r="D386" s="366">
        <v>200</v>
      </c>
      <c r="E386" s="366">
        <v>2000</v>
      </c>
    </row>
    <row r="387" spans="1:5" ht="15" x14ac:dyDescent="0.2">
      <c r="B387" s="300" t="s">
        <v>518</v>
      </c>
      <c r="C387" s="366">
        <v>23000</v>
      </c>
      <c r="D387" s="366">
        <v>0</v>
      </c>
      <c r="E387" s="366">
        <v>23000</v>
      </c>
    </row>
    <row r="388" spans="1:5" ht="15" x14ac:dyDescent="0.2">
      <c r="B388" s="300" t="s">
        <v>572</v>
      </c>
      <c r="C388" s="366">
        <v>28200</v>
      </c>
      <c r="D388" s="366">
        <v>-200</v>
      </c>
      <c r="E388" s="366">
        <v>28000</v>
      </c>
    </row>
    <row r="391" spans="1:5" ht="15.75" customHeight="1" x14ac:dyDescent="0.2">
      <c r="A391" s="390" t="s">
        <v>582</v>
      </c>
      <c r="B391" s="400"/>
      <c r="C391" s="400"/>
      <c r="D391" s="400"/>
      <c r="E391" s="400"/>
    </row>
    <row r="392" spans="1:5" ht="15" x14ac:dyDescent="0.2">
      <c r="A392" s="359"/>
      <c r="B392" s="302" t="s">
        <v>516</v>
      </c>
      <c r="C392" s="364">
        <v>3612263</v>
      </c>
      <c r="D392" s="364">
        <v>31469</v>
      </c>
      <c r="E392" s="364">
        <v>3643732</v>
      </c>
    </row>
    <row r="393" spans="1:5" ht="15" x14ac:dyDescent="0.2">
      <c r="A393" s="359"/>
      <c r="B393" s="302" t="s">
        <v>517</v>
      </c>
      <c r="C393" s="364">
        <v>1478165</v>
      </c>
      <c r="D393" s="364">
        <v>18054</v>
      </c>
      <c r="E393" s="364">
        <v>1496219</v>
      </c>
    </row>
    <row r="394" spans="1:5" ht="15" x14ac:dyDescent="0.2">
      <c r="A394" s="359"/>
      <c r="B394" s="302" t="s">
        <v>518</v>
      </c>
      <c r="C394" s="364">
        <v>1614815</v>
      </c>
      <c r="D394" s="364">
        <v>-124665</v>
      </c>
      <c r="E394" s="364">
        <v>1490150</v>
      </c>
    </row>
    <row r="395" spans="1:5" ht="15" x14ac:dyDescent="0.2">
      <c r="A395" s="359"/>
      <c r="B395" s="302" t="s">
        <v>519</v>
      </c>
      <c r="C395" s="364">
        <v>426518</v>
      </c>
      <c r="D395" s="364">
        <v>138449</v>
      </c>
      <c r="E395" s="364">
        <v>564967</v>
      </c>
    </row>
    <row r="396" spans="1:5" ht="15" x14ac:dyDescent="0.2">
      <c r="A396" s="359"/>
      <c r="B396" s="302" t="s">
        <v>520</v>
      </c>
      <c r="C396" s="364">
        <v>92765</v>
      </c>
      <c r="D396" s="364">
        <v>-369</v>
      </c>
      <c r="E396" s="364">
        <v>92396</v>
      </c>
    </row>
    <row r="398" spans="1:5" ht="15.75" customHeight="1" x14ac:dyDescent="0.2">
      <c r="A398" s="388" t="s">
        <v>583</v>
      </c>
      <c r="B398" s="389"/>
      <c r="C398" s="389"/>
      <c r="D398" s="389"/>
      <c r="E398" s="389"/>
    </row>
    <row r="399" spans="1:5" s="308" customFormat="1" ht="14.25" x14ac:dyDescent="0.2">
      <c r="B399" s="304" t="s">
        <v>516</v>
      </c>
      <c r="C399" s="365">
        <v>644686</v>
      </c>
      <c r="D399" s="365">
        <v>0</v>
      </c>
      <c r="E399" s="365">
        <v>644686</v>
      </c>
    </row>
    <row r="400" spans="1:5" ht="15" x14ac:dyDescent="0.2">
      <c r="B400" s="300" t="s">
        <v>517</v>
      </c>
      <c r="C400" s="366">
        <v>322531</v>
      </c>
      <c r="D400" s="366">
        <v>0</v>
      </c>
      <c r="E400" s="366">
        <v>322531</v>
      </c>
    </row>
    <row r="401" spans="1:5" ht="15" x14ac:dyDescent="0.2">
      <c r="B401" s="300" t="s">
        <v>518</v>
      </c>
      <c r="C401" s="366">
        <v>238155</v>
      </c>
      <c r="D401" s="366">
        <v>-6000</v>
      </c>
      <c r="E401" s="366">
        <v>232155</v>
      </c>
    </row>
    <row r="402" spans="1:5" ht="15" x14ac:dyDescent="0.2">
      <c r="B402" s="300" t="s">
        <v>520</v>
      </c>
      <c r="C402" s="366">
        <v>84000</v>
      </c>
      <c r="D402" s="366">
        <v>6000</v>
      </c>
      <c r="E402" s="366">
        <v>90000</v>
      </c>
    </row>
    <row r="404" spans="1:5" ht="15.75" customHeight="1" x14ac:dyDescent="0.2">
      <c r="A404" s="388" t="s">
        <v>584</v>
      </c>
      <c r="B404" s="389"/>
      <c r="C404" s="389"/>
      <c r="D404" s="389"/>
      <c r="E404" s="389"/>
    </row>
    <row r="405" spans="1:5" s="308" customFormat="1" ht="14.25" x14ac:dyDescent="0.2">
      <c r="B405" s="304" t="s">
        <v>516</v>
      </c>
      <c r="C405" s="365">
        <v>645400</v>
      </c>
      <c r="D405" s="365">
        <v>20890</v>
      </c>
      <c r="E405" s="365">
        <v>666290</v>
      </c>
    </row>
    <row r="406" spans="1:5" ht="15" x14ac:dyDescent="0.2">
      <c r="B406" s="300" t="s">
        <v>517</v>
      </c>
      <c r="C406" s="366">
        <v>9777</v>
      </c>
      <c r="D406" s="366">
        <v>-6290</v>
      </c>
      <c r="E406" s="366">
        <v>3487</v>
      </c>
    </row>
    <row r="407" spans="1:5" ht="15" x14ac:dyDescent="0.2">
      <c r="B407" s="300" t="s">
        <v>518</v>
      </c>
      <c r="C407" s="366">
        <v>204105</v>
      </c>
      <c r="D407" s="366">
        <v>-108665</v>
      </c>
      <c r="E407" s="366">
        <v>95440</v>
      </c>
    </row>
    <row r="408" spans="1:5" ht="15" x14ac:dyDescent="0.2">
      <c r="B408" s="300" t="s">
        <v>519</v>
      </c>
      <c r="C408" s="366">
        <v>426518</v>
      </c>
      <c r="D408" s="366">
        <v>138449</v>
      </c>
      <c r="E408" s="366">
        <v>564967</v>
      </c>
    </row>
    <row r="409" spans="1:5" ht="15" x14ac:dyDescent="0.2">
      <c r="B409" s="300" t="s">
        <v>520</v>
      </c>
      <c r="C409" s="366">
        <v>5000</v>
      </c>
      <c r="D409" s="366">
        <v>-2604</v>
      </c>
      <c r="E409" s="366">
        <v>2396</v>
      </c>
    </row>
    <row r="411" spans="1:5" ht="15.75" customHeight="1" x14ac:dyDescent="0.2">
      <c r="A411" s="388" t="s">
        <v>585</v>
      </c>
      <c r="B411" s="389"/>
      <c r="C411" s="389"/>
      <c r="D411" s="389"/>
      <c r="E411" s="389"/>
    </row>
    <row r="412" spans="1:5" s="308" customFormat="1" ht="14.25" x14ac:dyDescent="0.2">
      <c r="B412" s="304" t="s">
        <v>516</v>
      </c>
      <c r="C412" s="365">
        <v>2322177</v>
      </c>
      <c r="D412" s="365">
        <v>10579</v>
      </c>
      <c r="E412" s="365">
        <v>2332756</v>
      </c>
    </row>
    <row r="413" spans="1:5" ht="15" x14ac:dyDescent="0.2">
      <c r="B413" s="300" t="s">
        <v>517</v>
      </c>
      <c r="C413" s="366">
        <v>1145857</v>
      </c>
      <c r="D413" s="366">
        <v>24344</v>
      </c>
      <c r="E413" s="366">
        <v>1170201</v>
      </c>
    </row>
    <row r="414" spans="1:5" ht="15" x14ac:dyDescent="0.2">
      <c r="B414" s="300" t="s">
        <v>518</v>
      </c>
      <c r="C414" s="366">
        <v>1172555</v>
      </c>
      <c r="D414" s="366">
        <v>-10000</v>
      </c>
      <c r="E414" s="366">
        <v>1162555</v>
      </c>
    </row>
    <row r="415" spans="1:5" ht="15" x14ac:dyDescent="0.2">
      <c r="B415" s="300" t="s">
        <v>520</v>
      </c>
      <c r="C415" s="366">
        <v>3765</v>
      </c>
      <c r="D415" s="366">
        <v>-3765</v>
      </c>
      <c r="E415" s="366">
        <v>0</v>
      </c>
    </row>
    <row r="418" spans="1:5" ht="15" x14ac:dyDescent="0.2">
      <c r="A418" s="390" t="s">
        <v>586</v>
      </c>
      <c r="B418" s="391"/>
      <c r="C418" s="391"/>
      <c r="D418" s="391"/>
      <c r="E418" s="391"/>
    </row>
    <row r="419" spans="1:5" ht="15" x14ac:dyDescent="0.2">
      <c r="A419" s="307"/>
      <c r="B419" s="302" t="s">
        <v>516</v>
      </c>
      <c r="C419" s="364">
        <v>906905</v>
      </c>
      <c r="D419" s="364">
        <v>5851</v>
      </c>
      <c r="E419" s="364">
        <v>912756</v>
      </c>
    </row>
    <row r="420" spans="1:5" ht="15" x14ac:dyDescent="0.2">
      <c r="A420" s="307"/>
      <c r="B420" s="302" t="s">
        <v>517</v>
      </c>
      <c r="C420" s="364">
        <v>556843</v>
      </c>
      <c r="D420" s="364">
        <v>13432</v>
      </c>
      <c r="E420" s="364">
        <v>570275</v>
      </c>
    </row>
    <row r="421" spans="1:5" ht="15" x14ac:dyDescent="0.2">
      <c r="A421" s="307"/>
      <c r="B421" s="302" t="s">
        <v>518</v>
      </c>
      <c r="C421" s="364">
        <v>150895</v>
      </c>
      <c r="D421" s="364">
        <v>-5474</v>
      </c>
      <c r="E421" s="364">
        <v>145421</v>
      </c>
    </row>
    <row r="422" spans="1:5" ht="15" x14ac:dyDescent="0.2">
      <c r="A422" s="307"/>
      <c r="B422" s="302" t="s">
        <v>520</v>
      </c>
      <c r="C422" s="364">
        <v>101538</v>
      </c>
      <c r="D422" s="364">
        <v>-2107</v>
      </c>
      <c r="E422" s="364">
        <v>99431</v>
      </c>
    </row>
    <row r="423" spans="1:5" ht="30" x14ac:dyDescent="0.2">
      <c r="A423" s="307"/>
      <c r="B423" s="302" t="s">
        <v>521</v>
      </c>
      <c r="C423" s="364">
        <v>97629</v>
      </c>
      <c r="D423" s="364">
        <v>0</v>
      </c>
      <c r="E423" s="364">
        <v>97629</v>
      </c>
    </row>
    <row r="425" spans="1:5" ht="15.75" customHeight="1" x14ac:dyDescent="0.2">
      <c r="A425" s="388" t="s">
        <v>587</v>
      </c>
      <c r="B425" s="389"/>
      <c r="C425" s="389"/>
      <c r="D425" s="389"/>
      <c r="E425" s="389"/>
    </row>
    <row r="426" spans="1:5" s="308" customFormat="1" ht="14.25" x14ac:dyDescent="0.2">
      <c r="B426" s="304" t="s">
        <v>516</v>
      </c>
      <c r="C426" s="365">
        <v>806874</v>
      </c>
      <c r="D426" s="365">
        <v>1500</v>
      </c>
      <c r="E426" s="365">
        <v>808374</v>
      </c>
    </row>
    <row r="427" spans="1:5" ht="15" x14ac:dyDescent="0.2">
      <c r="B427" s="300" t="s">
        <v>517</v>
      </c>
      <c r="C427" s="366">
        <v>556843</v>
      </c>
      <c r="D427" s="366">
        <v>13432</v>
      </c>
      <c r="E427" s="366">
        <v>570275</v>
      </c>
    </row>
    <row r="428" spans="1:5" ht="15" x14ac:dyDescent="0.2">
      <c r="B428" s="300" t="s">
        <v>518</v>
      </c>
      <c r="C428" s="366">
        <v>148493</v>
      </c>
      <c r="D428" s="366">
        <v>-9825</v>
      </c>
      <c r="E428" s="366">
        <v>138668</v>
      </c>
    </row>
    <row r="429" spans="1:5" ht="15" x14ac:dyDescent="0.2">
      <c r="B429" s="300" t="s">
        <v>520</v>
      </c>
      <c r="C429" s="366">
        <v>101538</v>
      </c>
      <c r="D429" s="366">
        <v>-2107</v>
      </c>
      <c r="E429" s="366">
        <v>99431</v>
      </c>
    </row>
    <row r="431" spans="1:5" ht="31.5" customHeight="1" x14ac:dyDescent="0.2">
      <c r="A431" s="388" t="s">
        <v>588</v>
      </c>
      <c r="B431" s="389"/>
      <c r="C431" s="389"/>
      <c r="D431" s="389"/>
      <c r="E431" s="389"/>
    </row>
    <row r="432" spans="1:5" s="308" customFormat="1" ht="14.25" x14ac:dyDescent="0.2">
      <c r="B432" s="304" t="s">
        <v>516</v>
      </c>
      <c r="C432" s="365">
        <v>100031</v>
      </c>
      <c r="D432" s="365">
        <v>0</v>
      </c>
      <c r="E432" s="365">
        <v>100031</v>
      </c>
    </row>
    <row r="433" spans="1:5" ht="15" x14ac:dyDescent="0.2">
      <c r="B433" s="300" t="s">
        <v>518</v>
      </c>
      <c r="C433" s="366">
        <v>2402</v>
      </c>
      <c r="D433" s="366">
        <v>0</v>
      </c>
      <c r="E433" s="366">
        <v>2402</v>
      </c>
    </row>
    <row r="434" spans="1:5" ht="30" x14ac:dyDescent="0.2">
      <c r="B434" s="300" t="s">
        <v>521</v>
      </c>
      <c r="C434" s="366">
        <v>97629</v>
      </c>
      <c r="D434" s="366">
        <v>0</v>
      </c>
      <c r="E434" s="366">
        <v>97629</v>
      </c>
    </row>
    <row r="436" spans="1:5" ht="31.5" customHeight="1" x14ac:dyDescent="0.2">
      <c r="A436" s="388" t="s">
        <v>877</v>
      </c>
      <c r="B436" s="389"/>
      <c r="C436" s="389"/>
      <c r="D436" s="389"/>
      <c r="E436" s="389"/>
    </row>
    <row r="437" spans="1:5" s="308" customFormat="1" ht="14.25" x14ac:dyDescent="0.2">
      <c r="B437" s="304" t="s">
        <v>516</v>
      </c>
      <c r="C437" s="365">
        <v>0</v>
      </c>
      <c r="D437" s="365">
        <v>4351</v>
      </c>
      <c r="E437" s="365">
        <v>4351</v>
      </c>
    </row>
    <row r="438" spans="1:5" ht="15" x14ac:dyDescent="0.2">
      <c r="B438" s="300" t="s">
        <v>518</v>
      </c>
      <c r="C438" s="366">
        <v>0</v>
      </c>
      <c r="D438" s="366">
        <v>4351</v>
      </c>
      <c r="E438" s="366">
        <v>4351</v>
      </c>
    </row>
    <row r="441" spans="1:5" ht="31.5" customHeight="1" x14ac:dyDescent="0.2">
      <c r="A441" s="390" t="s">
        <v>589</v>
      </c>
      <c r="B441" s="391"/>
      <c r="C441" s="391"/>
      <c r="D441" s="391"/>
      <c r="E441" s="391"/>
    </row>
    <row r="442" spans="1:5" ht="15" x14ac:dyDescent="0.2">
      <c r="A442" s="307"/>
      <c r="B442" s="302" t="s">
        <v>516</v>
      </c>
      <c r="C442" s="364">
        <v>602542</v>
      </c>
      <c r="D442" s="364">
        <v>0</v>
      </c>
      <c r="E442" s="364">
        <v>602542</v>
      </c>
    </row>
    <row r="443" spans="1:5" ht="15" x14ac:dyDescent="0.2">
      <c r="A443" s="307"/>
      <c r="B443" s="302" t="s">
        <v>517</v>
      </c>
      <c r="C443" s="364">
        <v>415678</v>
      </c>
      <c r="D443" s="364">
        <v>0</v>
      </c>
      <c r="E443" s="364">
        <v>415678</v>
      </c>
    </row>
    <row r="444" spans="1:5" ht="15" x14ac:dyDescent="0.2">
      <c r="A444" s="307"/>
      <c r="B444" s="302" t="s">
        <v>518</v>
      </c>
      <c r="C444" s="364">
        <v>126864</v>
      </c>
      <c r="D444" s="364">
        <v>-17750</v>
      </c>
      <c r="E444" s="364">
        <v>109114</v>
      </c>
    </row>
    <row r="445" spans="1:5" ht="15" x14ac:dyDescent="0.2">
      <c r="A445" s="307"/>
      <c r="B445" s="302" t="s">
        <v>520</v>
      </c>
      <c r="C445" s="364">
        <v>60000</v>
      </c>
      <c r="D445" s="364">
        <v>13896</v>
      </c>
      <c r="E445" s="364">
        <v>73896</v>
      </c>
    </row>
    <row r="446" spans="1:5" ht="15" x14ac:dyDescent="0.2">
      <c r="A446" s="307"/>
      <c r="B446" s="302" t="s">
        <v>572</v>
      </c>
      <c r="C446" s="364">
        <v>0</v>
      </c>
      <c r="D446" s="364">
        <v>3854</v>
      </c>
      <c r="E446" s="364">
        <v>3854</v>
      </c>
    </row>
    <row r="448" spans="1:5" ht="15.75" customHeight="1" x14ac:dyDescent="0.2">
      <c r="A448" s="388" t="s">
        <v>590</v>
      </c>
      <c r="B448" s="389"/>
      <c r="C448" s="389"/>
      <c r="D448" s="389"/>
      <c r="E448" s="389"/>
    </row>
    <row r="449" spans="1:5" s="308" customFormat="1" ht="14.25" x14ac:dyDescent="0.2">
      <c r="B449" s="304" t="s">
        <v>516</v>
      </c>
      <c r="C449" s="365">
        <v>602542</v>
      </c>
      <c r="D449" s="365">
        <v>0</v>
      </c>
      <c r="E449" s="365">
        <v>602542</v>
      </c>
    </row>
    <row r="450" spans="1:5" ht="15" x14ac:dyDescent="0.2">
      <c r="B450" s="300" t="s">
        <v>517</v>
      </c>
      <c r="C450" s="366">
        <v>415678</v>
      </c>
      <c r="D450" s="366">
        <v>0</v>
      </c>
      <c r="E450" s="366">
        <v>415678</v>
      </c>
    </row>
    <row r="451" spans="1:5" ht="15" x14ac:dyDescent="0.2">
      <c r="B451" s="300" t="s">
        <v>518</v>
      </c>
      <c r="C451" s="366">
        <v>126864</v>
      </c>
      <c r="D451" s="366">
        <v>-17750</v>
      </c>
      <c r="E451" s="366">
        <v>109114</v>
      </c>
    </row>
    <row r="452" spans="1:5" ht="15" x14ac:dyDescent="0.2">
      <c r="B452" s="300" t="s">
        <v>520</v>
      </c>
      <c r="C452" s="366">
        <v>60000</v>
      </c>
      <c r="D452" s="366">
        <v>13896</v>
      </c>
      <c r="E452" s="366">
        <v>73896</v>
      </c>
    </row>
    <row r="453" spans="1:5" ht="15" x14ac:dyDescent="0.2">
      <c r="B453" s="300" t="s">
        <v>572</v>
      </c>
      <c r="C453" s="366">
        <v>0</v>
      </c>
      <c r="D453" s="366">
        <v>3854</v>
      </c>
      <c r="E453" s="366">
        <v>3854</v>
      </c>
    </row>
    <row r="456" spans="1:5" ht="15.75" customHeight="1" x14ac:dyDescent="0.2">
      <c r="A456" s="390" t="s">
        <v>591</v>
      </c>
      <c r="B456" s="400"/>
      <c r="C456" s="400"/>
      <c r="D456" s="400"/>
      <c r="E456" s="400"/>
    </row>
    <row r="457" spans="1:5" ht="15" x14ac:dyDescent="0.2">
      <c r="A457" s="359"/>
      <c r="B457" s="302" t="s">
        <v>516</v>
      </c>
      <c r="C457" s="364">
        <v>3167656</v>
      </c>
      <c r="D457" s="364">
        <v>-80000</v>
      </c>
      <c r="E457" s="364">
        <v>3087656</v>
      </c>
    </row>
    <row r="458" spans="1:5" ht="15" x14ac:dyDescent="0.2">
      <c r="A458" s="359"/>
      <c r="B458" s="302" t="s">
        <v>517</v>
      </c>
      <c r="C458" s="364">
        <v>1657979</v>
      </c>
      <c r="D458" s="364">
        <v>-17430</v>
      </c>
      <c r="E458" s="364">
        <v>1640549</v>
      </c>
    </row>
    <row r="459" spans="1:5" ht="15" x14ac:dyDescent="0.2">
      <c r="A459" s="359"/>
      <c r="B459" s="302" t="s">
        <v>518</v>
      </c>
      <c r="C459" s="364">
        <v>1323394</v>
      </c>
      <c r="D459" s="364">
        <v>-135730</v>
      </c>
      <c r="E459" s="364">
        <v>1187664</v>
      </c>
    </row>
    <row r="460" spans="1:5" ht="15" x14ac:dyDescent="0.2">
      <c r="A460" s="359"/>
      <c r="B460" s="302" t="s">
        <v>519</v>
      </c>
      <c r="C460" s="364">
        <v>11200</v>
      </c>
      <c r="D460" s="364">
        <v>750</v>
      </c>
      <c r="E460" s="364">
        <v>11950</v>
      </c>
    </row>
    <row r="461" spans="1:5" ht="15" x14ac:dyDescent="0.2">
      <c r="A461" s="359"/>
      <c r="B461" s="302" t="s">
        <v>520</v>
      </c>
      <c r="C461" s="364">
        <v>144759</v>
      </c>
      <c r="D461" s="364">
        <v>65724</v>
      </c>
      <c r="E461" s="364">
        <v>210483</v>
      </c>
    </row>
    <row r="462" spans="1:5" ht="15" x14ac:dyDescent="0.2">
      <c r="A462" s="359"/>
      <c r="B462" s="302" t="s">
        <v>572</v>
      </c>
      <c r="C462" s="364">
        <v>22146</v>
      </c>
      <c r="D462" s="364">
        <v>4883</v>
      </c>
      <c r="E462" s="364">
        <v>27029</v>
      </c>
    </row>
    <row r="463" spans="1:5" ht="30" x14ac:dyDescent="0.2">
      <c r="A463" s="359"/>
      <c r="B463" s="302" t="s">
        <v>521</v>
      </c>
      <c r="C463" s="364">
        <v>8178</v>
      </c>
      <c r="D463" s="364">
        <v>1803</v>
      </c>
      <c r="E463" s="364">
        <v>9981</v>
      </c>
    </row>
    <row r="465" spans="1:5" ht="15.75" customHeight="1" x14ac:dyDescent="0.2">
      <c r="A465" s="388" t="s">
        <v>592</v>
      </c>
      <c r="B465" s="389"/>
      <c r="C465" s="389"/>
      <c r="D465" s="389"/>
      <c r="E465" s="389"/>
    </row>
    <row r="466" spans="1:5" s="308" customFormat="1" ht="14.25" x14ac:dyDescent="0.2">
      <c r="B466" s="304" t="s">
        <v>516</v>
      </c>
      <c r="C466" s="365">
        <v>1694317</v>
      </c>
      <c r="D466" s="365">
        <v>0</v>
      </c>
      <c r="E466" s="365">
        <v>1694317</v>
      </c>
    </row>
    <row r="467" spans="1:5" ht="15" x14ac:dyDescent="0.2">
      <c r="B467" s="300" t="s">
        <v>517</v>
      </c>
      <c r="C467" s="366">
        <v>971375</v>
      </c>
      <c r="D467" s="366">
        <v>0</v>
      </c>
      <c r="E467" s="366">
        <v>971375</v>
      </c>
    </row>
    <row r="468" spans="1:5" ht="15" x14ac:dyDescent="0.2">
      <c r="B468" s="300" t="s">
        <v>518</v>
      </c>
      <c r="C468" s="366">
        <v>595338</v>
      </c>
      <c r="D468" s="366">
        <v>-61895</v>
      </c>
      <c r="E468" s="366">
        <v>533443</v>
      </c>
    </row>
    <row r="469" spans="1:5" ht="15" x14ac:dyDescent="0.2">
      <c r="B469" s="300" t="s">
        <v>520</v>
      </c>
      <c r="C469" s="366">
        <v>127604</v>
      </c>
      <c r="D469" s="366">
        <v>61895</v>
      </c>
      <c r="E469" s="366">
        <v>189499</v>
      </c>
    </row>
    <row r="471" spans="1:5" ht="15.75" customHeight="1" x14ac:dyDescent="0.2">
      <c r="A471" s="388" t="s">
        <v>593</v>
      </c>
      <c r="B471" s="389"/>
      <c r="C471" s="389"/>
      <c r="D471" s="389"/>
      <c r="E471" s="389"/>
    </row>
    <row r="472" spans="1:5" s="308" customFormat="1" ht="14.25" x14ac:dyDescent="0.2">
      <c r="B472" s="304" t="s">
        <v>516</v>
      </c>
      <c r="C472" s="365">
        <v>780097</v>
      </c>
      <c r="D472" s="365">
        <v>-80000</v>
      </c>
      <c r="E472" s="365">
        <v>700097</v>
      </c>
    </row>
    <row r="473" spans="1:5" ht="15" x14ac:dyDescent="0.2">
      <c r="B473" s="300" t="s">
        <v>517</v>
      </c>
      <c r="C473" s="366">
        <v>101411</v>
      </c>
      <c r="D473" s="366">
        <v>-28500</v>
      </c>
      <c r="E473" s="366">
        <v>72911</v>
      </c>
    </row>
    <row r="474" spans="1:5" ht="15" x14ac:dyDescent="0.2">
      <c r="B474" s="300" t="s">
        <v>518</v>
      </c>
      <c r="C474" s="366">
        <v>643540</v>
      </c>
      <c r="D474" s="366">
        <v>-56383</v>
      </c>
      <c r="E474" s="366">
        <v>587157</v>
      </c>
    </row>
    <row r="475" spans="1:5" ht="15" x14ac:dyDescent="0.2">
      <c r="B475" s="300" t="s">
        <v>520</v>
      </c>
      <c r="C475" s="366">
        <v>13000</v>
      </c>
      <c r="D475" s="366">
        <v>0</v>
      </c>
      <c r="E475" s="366">
        <v>13000</v>
      </c>
    </row>
    <row r="476" spans="1:5" ht="15" x14ac:dyDescent="0.2">
      <c r="B476" s="300" t="s">
        <v>572</v>
      </c>
      <c r="C476" s="366">
        <v>22146</v>
      </c>
      <c r="D476" s="366">
        <v>4883</v>
      </c>
      <c r="E476" s="366">
        <v>27029</v>
      </c>
    </row>
    <row r="478" spans="1:5" ht="15.75" customHeight="1" x14ac:dyDescent="0.2">
      <c r="A478" s="388" t="s">
        <v>594</v>
      </c>
      <c r="B478" s="389"/>
      <c r="C478" s="389"/>
      <c r="D478" s="389"/>
      <c r="E478" s="389"/>
    </row>
    <row r="479" spans="1:5" s="308" customFormat="1" ht="14.25" x14ac:dyDescent="0.2">
      <c r="B479" s="304" t="s">
        <v>516</v>
      </c>
      <c r="C479" s="365">
        <v>98712</v>
      </c>
      <c r="D479" s="365">
        <v>0</v>
      </c>
      <c r="E479" s="365">
        <v>98712</v>
      </c>
    </row>
    <row r="480" spans="1:5" ht="15" x14ac:dyDescent="0.2">
      <c r="B480" s="300" t="s">
        <v>517</v>
      </c>
      <c r="C480" s="366">
        <v>96712</v>
      </c>
      <c r="D480" s="366">
        <v>0</v>
      </c>
      <c r="E480" s="366">
        <v>96712</v>
      </c>
    </row>
    <row r="481" spans="1:5" ht="15" x14ac:dyDescent="0.2">
      <c r="B481" s="300" t="s">
        <v>518</v>
      </c>
      <c r="C481" s="366">
        <v>2000</v>
      </c>
      <c r="D481" s="366">
        <v>0</v>
      </c>
      <c r="E481" s="366">
        <v>2000</v>
      </c>
    </row>
    <row r="483" spans="1:5" ht="15.75" customHeight="1" x14ac:dyDescent="0.2">
      <c r="A483" s="388" t="s">
        <v>595</v>
      </c>
      <c r="B483" s="389"/>
      <c r="C483" s="389"/>
      <c r="D483" s="389"/>
      <c r="E483" s="389"/>
    </row>
    <row r="484" spans="1:5" s="308" customFormat="1" ht="14.25" x14ac:dyDescent="0.2">
      <c r="B484" s="304" t="s">
        <v>516</v>
      </c>
      <c r="C484" s="365">
        <v>83253</v>
      </c>
      <c r="D484" s="365">
        <v>0</v>
      </c>
      <c r="E484" s="365">
        <v>83253</v>
      </c>
    </row>
    <row r="485" spans="1:5" ht="15" x14ac:dyDescent="0.2">
      <c r="B485" s="300" t="s">
        <v>517</v>
      </c>
      <c r="C485" s="366">
        <v>75398</v>
      </c>
      <c r="D485" s="366">
        <v>0</v>
      </c>
      <c r="E485" s="366">
        <v>75398</v>
      </c>
    </row>
    <row r="486" spans="1:5" ht="15" x14ac:dyDescent="0.2">
      <c r="B486" s="300" t="s">
        <v>518</v>
      </c>
      <c r="C486" s="366">
        <v>7855</v>
      </c>
      <c r="D486" s="366">
        <v>-3135</v>
      </c>
      <c r="E486" s="366">
        <v>4720</v>
      </c>
    </row>
    <row r="487" spans="1:5" ht="15" x14ac:dyDescent="0.2">
      <c r="B487" s="300" t="s">
        <v>520</v>
      </c>
      <c r="C487" s="366">
        <v>0</v>
      </c>
      <c r="D487" s="366">
        <v>3135</v>
      </c>
      <c r="E487" s="366">
        <v>3135</v>
      </c>
    </row>
    <row r="489" spans="1:5" ht="15.75" customHeight="1" x14ac:dyDescent="0.2">
      <c r="A489" s="388" t="s">
        <v>596</v>
      </c>
      <c r="B489" s="389"/>
      <c r="C489" s="389"/>
      <c r="D489" s="389"/>
      <c r="E489" s="389"/>
    </row>
    <row r="490" spans="1:5" s="308" customFormat="1" ht="14.25" x14ac:dyDescent="0.2">
      <c r="B490" s="304" t="s">
        <v>516</v>
      </c>
      <c r="C490" s="365">
        <v>21310</v>
      </c>
      <c r="D490" s="365">
        <v>0</v>
      </c>
      <c r="E490" s="365">
        <v>21310</v>
      </c>
    </row>
    <row r="491" spans="1:5" ht="15" x14ac:dyDescent="0.2">
      <c r="B491" s="300" t="s">
        <v>517</v>
      </c>
      <c r="C491" s="366">
        <v>15599</v>
      </c>
      <c r="D491" s="366">
        <v>0</v>
      </c>
      <c r="E491" s="366">
        <v>15599</v>
      </c>
    </row>
    <row r="492" spans="1:5" ht="15" x14ac:dyDescent="0.2">
      <c r="B492" s="300" t="s">
        <v>518</v>
      </c>
      <c r="C492" s="366">
        <v>5711</v>
      </c>
      <c r="D492" s="366">
        <v>0</v>
      </c>
      <c r="E492" s="366">
        <v>5711</v>
      </c>
    </row>
    <row r="494" spans="1:5" ht="15.75" customHeight="1" x14ac:dyDescent="0.2">
      <c r="A494" s="388" t="s">
        <v>597</v>
      </c>
      <c r="B494" s="389"/>
      <c r="C494" s="389"/>
      <c r="D494" s="389"/>
      <c r="E494" s="389"/>
    </row>
    <row r="495" spans="1:5" s="308" customFormat="1" ht="14.25" x14ac:dyDescent="0.2">
      <c r="B495" s="304" t="s">
        <v>516</v>
      </c>
      <c r="C495" s="365">
        <v>458706</v>
      </c>
      <c r="D495" s="365">
        <v>0</v>
      </c>
      <c r="E495" s="365">
        <v>458706</v>
      </c>
    </row>
    <row r="496" spans="1:5" ht="15" x14ac:dyDescent="0.2">
      <c r="B496" s="300" t="s">
        <v>517</v>
      </c>
      <c r="C496" s="366">
        <v>389974</v>
      </c>
      <c r="D496" s="366">
        <v>12070</v>
      </c>
      <c r="E496" s="366">
        <v>402044</v>
      </c>
    </row>
    <row r="497" spans="1:5" ht="15" x14ac:dyDescent="0.2">
      <c r="B497" s="300" t="s">
        <v>518</v>
      </c>
      <c r="C497" s="366">
        <v>57649</v>
      </c>
      <c r="D497" s="366">
        <v>-12667</v>
      </c>
      <c r="E497" s="366">
        <v>44982</v>
      </c>
    </row>
    <row r="498" spans="1:5" ht="15" x14ac:dyDescent="0.2">
      <c r="B498" s="300" t="s">
        <v>520</v>
      </c>
      <c r="C498" s="366">
        <v>3155</v>
      </c>
      <c r="D498" s="366">
        <v>694</v>
      </c>
      <c r="E498" s="366">
        <v>3849</v>
      </c>
    </row>
    <row r="499" spans="1:5" ht="30" x14ac:dyDescent="0.2">
      <c r="B499" s="300" t="s">
        <v>521</v>
      </c>
      <c r="C499" s="366">
        <v>7928</v>
      </c>
      <c r="D499" s="366">
        <v>-97</v>
      </c>
      <c r="E499" s="366">
        <v>7831</v>
      </c>
    </row>
    <row r="501" spans="1:5" ht="15.75" customHeight="1" x14ac:dyDescent="0.2">
      <c r="A501" s="388" t="s">
        <v>598</v>
      </c>
      <c r="B501" s="389"/>
      <c r="C501" s="389"/>
      <c r="D501" s="389"/>
      <c r="E501" s="389"/>
    </row>
    <row r="502" spans="1:5" s="308" customFormat="1" ht="14.25" x14ac:dyDescent="0.2">
      <c r="B502" s="304" t="s">
        <v>516</v>
      </c>
      <c r="C502" s="365">
        <v>31261</v>
      </c>
      <c r="D502" s="365">
        <v>0</v>
      </c>
      <c r="E502" s="365">
        <v>31261</v>
      </c>
    </row>
    <row r="503" spans="1:5" ht="15" x14ac:dyDescent="0.2">
      <c r="B503" s="300" t="s">
        <v>517</v>
      </c>
      <c r="C503" s="366">
        <v>7510</v>
      </c>
      <c r="D503" s="366">
        <v>-1000</v>
      </c>
      <c r="E503" s="366">
        <v>6510</v>
      </c>
    </row>
    <row r="504" spans="1:5" ht="15" x14ac:dyDescent="0.2">
      <c r="B504" s="300" t="s">
        <v>518</v>
      </c>
      <c r="C504" s="366">
        <v>11301</v>
      </c>
      <c r="D504" s="366">
        <v>-1650</v>
      </c>
      <c r="E504" s="366">
        <v>9651</v>
      </c>
    </row>
    <row r="505" spans="1:5" ht="15" x14ac:dyDescent="0.2">
      <c r="B505" s="300" t="s">
        <v>519</v>
      </c>
      <c r="C505" s="366">
        <v>11200</v>
      </c>
      <c r="D505" s="366">
        <v>750</v>
      </c>
      <c r="E505" s="366">
        <v>11950</v>
      </c>
    </row>
    <row r="506" spans="1:5" ht="15" x14ac:dyDescent="0.2">
      <c r="B506" s="300" t="s">
        <v>520</v>
      </c>
      <c r="C506" s="366">
        <v>1000</v>
      </c>
      <c r="D506" s="366">
        <v>0</v>
      </c>
      <c r="E506" s="366">
        <v>1000</v>
      </c>
    </row>
    <row r="507" spans="1:5" ht="30" x14ac:dyDescent="0.2">
      <c r="B507" s="300" t="s">
        <v>521</v>
      </c>
      <c r="C507" s="366">
        <v>250</v>
      </c>
      <c r="D507" s="366">
        <v>1900</v>
      </c>
      <c r="E507" s="366">
        <v>2150</v>
      </c>
    </row>
    <row r="510" spans="1:5" ht="31.5" customHeight="1" x14ac:dyDescent="0.2">
      <c r="A510" s="390" t="s">
        <v>831</v>
      </c>
      <c r="B510" s="400"/>
      <c r="C510" s="400"/>
      <c r="D510" s="400"/>
      <c r="E510" s="400"/>
    </row>
    <row r="511" spans="1:5" ht="14.25" x14ac:dyDescent="0.2">
      <c r="A511" s="359"/>
      <c r="B511" s="358" t="s">
        <v>516</v>
      </c>
      <c r="C511" s="367">
        <v>1328998</v>
      </c>
      <c r="D511" s="367">
        <v>46410</v>
      </c>
      <c r="E511" s="367">
        <v>1375408</v>
      </c>
    </row>
    <row r="512" spans="1:5" ht="14.25" x14ac:dyDescent="0.2">
      <c r="A512" s="359"/>
      <c r="B512" s="358" t="s">
        <v>517</v>
      </c>
      <c r="C512" s="367">
        <v>748633</v>
      </c>
      <c r="D512" s="367">
        <v>14897</v>
      </c>
      <c r="E512" s="367">
        <v>763530</v>
      </c>
    </row>
    <row r="513" spans="1:5" ht="14.25" x14ac:dyDescent="0.2">
      <c r="A513" s="359"/>
      <c r="B513" s="358" t="s">
        <v>518</v>
      </c>
      <c r="C513" s="367">
        <v>517008</v>
      </c>
      <c r="D513" s="367">
        <v>3991</v>
      </c>
      <c r="E513" s="367">
        <v>520999</v>
      </c>
    </row>
    <row r="514" spans="1:5" ht="14.25" x14ac:dyDescent="0.2">
      <c r="A514" s="359"/>
      <c r="B514" s="358" t="s">
        <v>520</v>
      </c>
      <c r="C514" s="367">
        <v>5105</v>
      </c>
      <c r="D514" s="367">
        <v>20522</v>
      </c>
      <c r="E514" s="367">
        <v>25627</v>
      </c>
    </row>
    <row r="515" spans="1:5" ht="14.25" x14ac:dyDescent="0.2">
      <c r="A515" s="359"/>
      <c r="B515" s="358" t="s">
        <v>572</v>
      </c>
      <c r="C515" s="367">
        <v>15681</v>
      </c>
      <c r="D515" s="367">
        <v>7000</v>
      </c>
      <c r="E515" s="367">
        <v>22681</v>
      </c>
    </row>
    <row r="516" spans="1:5" ht="28.5" x14ac:dyDescent="0.2">
      <c r="A516" s="359"/>
      <c r="B516" s="358" t="s">
        <v>521</v>
      </c>
      <c r="C516" s="367">
        <v>42571</v>
      </c>
      <c r="D516" s="367">
        <v>0</v>
      </c>
      <c r="E516" s="367">
        <v>42571</v>
      </c>
    </row>
    <row r="518" spans="1:5" ht="15.75" customHeight="1" x14ac:dyDescent="0.2">
      <c r="A518" s="388" t="s">
        <v>599</v>
      </c>
      <c r="B518" s="389"/>
      <c r="C518" s="389"/>
      <c r="D518" s="389"/>
      <c r="E518" s="389"/>
    </row>
    <row r="519" spans="1:5" s="308" customFormat="1" ht="14.25" x14ac:dyDescent="0.2">
      <c r="B519" s="304" t="s">
        <v>516</v>
      </c>
      <c r="C519" s="365">
        <v>1142737</v>
      </c>
      <c r="D519" s="365">
        <v>320</v>
      </c>
      <c r="E519" s="365">
        <v>1143057</v>
      </c>
    </row>
    <row r="520" spans="1:5" ht="15" x14ac:dyDescent="0.2">
      <c r="B520" s="300" t="s">
        <v>517</v>
      </c>
      <c r="C520" s="366">
        <v>705544</v>
      </c>
      <c r="D520" s="366">
        <v>12697</v>
      </c>
      <c r="E520" s="366">
        <v>718241</v>
      </c>
    </row>
    <row r="521" spans="1:5" ht="15" x14ac:dyDescent="0.2">
      <c r="B521" s="300" t="s">
        <v>518</v>
      </c>
      <c r="C521" s="366">
        <v>429793</v>
      </c>
      <c r="D521" s="366">
        <v>-27839</v>
      </c>
      <c r="E521" s="366">
        <v>401954</v>
      </c>
    </row>
    <row r="522" spans="1:5" ht="15" x14ac:dyDescent="0.2">
      <c r="B522" s="300" t="s">
        <v>520</v>
      </c>
      <c r="C522" s="366">
        <v>2000</v>
      </c>
      <c r="D522" s="366">
        <v>15462</v>
      </c>
      <c r="E522" s="366">
        <v>17462</v>
      </c>
    </row>
    <row r="523" spans="1:5" ht="15" x14ac:dyDescent="0.2">
      <c r="B523" s="300" t="s">
        <v>572</v>
      </c>
      <c r="C523" s="366">
        <v>5400</v>
      </c>
      <c r="D523" s="366">
        <v>0</v>
      </c>
      <c r="E523" s="366">
        <v>5400</v>
      </c>
    </row>
    <row r="525" spans="1:5" ht="15.75" customHeight="1" x14ac:dyDescent="0.2">
      <c r="A525" s="388" t="s">
        <v>600</v>
      </c>
      <c r="B525" s="389"/>
      <c r="C525" s="389"/>
      <c r="D525" s="389"/>
      <c r="E525" s="389"/>
    </row>
    <row r="526" spans="1:5" s="308" customFormat="1" ht="14.25" x14ac:dyDescent="0.2">
      <c r="B526" s="304" t="s">
        <v>516</v>
      </c>
      <c r="C526" s="365">
        <v>186261</v>
      </c>
      <c r="D526" s="365">
        <v>46090</v>
      </c>
      <c r="E526" s="365">
        <v>232351</v>
      </c>
    </row>
    <row r="527" spans="1:5" ht="15" x14ac:dyDescent="0.2">
      <c r="B527" s="300" t="s">
        <v>517</v>
      </c>
      <c r="C527" s="366">
        <v>43089</v>
      </c>
      <c r="D527" s="366">
        <v>2200</v>
      </c>
      <c r="E527" s="366">
        <v>45289</v>
      </c>
    </row>
    <row r="528" spans="1:5" ht="15" x14ac:dyDescent="0.2">
      <c r="B528" s="300" t="s">
        <v>518</v>
      </c>
      <c r="C528" s="366">
        <v>87215</v>
      </c>
      <c r="D528" s="366">
        <v>31830</v>
      </c>
      <c r="E528" s="366">
        <v>119045</v>
      </c>
    </row>
    <row r="529" spans="1:5" ht="15" x14ac:dyDescent="0.2">
      <c r="B529" s="300" t="s">
        <v>520</v>
      </c>
      <c r="C529" s="366">
        <v>3105</v>
      </c>
      <c r="D529" s="366">
        <v>5060</v>
      </c>
      <c r="E529" s="366">
        <v>8165</v>
      </c>
    </row>
    <row r="530" spans="1:5" ht="15" x14ac:dyDescent="0.2">
      <c r="B530" s="300" t="s">
        <v>572</v>
      </c>
      <c r="C530" s="366">
        <v>10281</v>
      </c>
      <c r="D530" s="366">
        <v>7000</v>
      </c>
      <c r="E530" s="366">
        <v>17281</v>
      </c>
    </row>
    <row r="531" spans="1:5" ht="30" x14ac:dyDescent="0.2">
      <c r="B531" s="300" t="s">
        <v>521</v>
      </c>
      <c r="C531" s="366">
        <v>42571</v>
      </c>
      <c r="D531" s="366">
        <v>0</v>
      </c>
      <c r="E531" s="366">
        <v>42571</v>
      </c>
    </row>
    <row r="534" spans="1:5" ht="15" x14ac:dyDescent="0.2">
      <c r="A534" s="390" t="s">
        <v>832</v>
      </c>
      <c r="B534" s="391"/>
      <c r="C534" s="391"/>
      <c r="D534" s="391"/>
      <c r="E534" s="391"/>
    </row>
    <row r="535" spans="1:5" ht="15" x14ac:dyDescent="0.2">
      <c r="A535" s="307"/>
      <c r="B535" s="302" t="s">
        <v>516</v>
      </c>
      <c r="C535" s="364">
        <v>27125954</v>
      </c>
      <c r="D535" s="364">
        <v>5517389</v>
      </c>
      <c r="E535" s="364">
        <v>32643343</v>
      </c>
    </row>
    <row r="536" spans="1:5" ht="15" x14ac:dyDescent="0.2">
      <c r="A536" s="307"/>
      <c r="B536" s="302" t="s">
        <v>517</v>
      </c>
      <c r="C536" s="364">
        <v>16800647</v>
      </c>
      <c r="D536" s="364">
        <v>4452524</v>
      </c>
      <c r="E536" s="364">
        <v>21253171</v>
      </c>
    </row>
    <row r="537" spans="1:5" ht="15" x14ac:dyDescent="0.2">
      <c r="A537" s="307"/>
      <c r="B537" s="302" t="s">
        <v>518</v>
      </c>
      <c r="C537" s="364">
        <v>4713101</v>
      </c>
      <c r="D537" s="364">
        <v>506748</v>
      </c>
      <c r="E537" s="364">
        <v>5219849</v>
      </c>
    </row>
    <row r="538" spans="1:5" ht="15" x14ac:dyDescent="0.2">
      <c r="A538" s="307"/>
      <c r="B538" s="302" t="s">
        <v>519</v>
      </c>
      <c r="C538" s="364">
        <v>2631259</v>
      </c>
      <c r="D538" s="364">
        <v>183586</v>
      </c>
      <c r="E538" s="364">
        <v>2814845</v>
      </c>
    </row>
    <row r="539" spans="1:5" ht="15" x14ac:dyDescent="0.2">
      <c r="A539" s="307"/>
      <c r="B539" s="302" t="s">
        <v>520</v>
      </c>
      <c r="C539" s="364">
        <v>1469658</v>
      </c>
      <c r="D539" s="364">
        <v>229204</v>
      </c>
      <c r="E539" s="364">
        <v>1698862</v>
      </c>
    </row>
    <row r="540" spans="1:5" ht="15" x14ac:dyDescent="0.2">
      <c r="A540" s="307"/>
      <c r="B540" s="302" t="s">
        <v>572</v>
      </c>
      <c r="C540" s="364">
        <v>651587</v>
      </c>
      <c r="D540" s="364">
        <v>13819</v>
      </c>
      <c r="E540" s="364">
        <v>665406</v>
      </c>
    </row>
    <row r="541" spans="1:5" ht="30" x14ac:dyDescent="0.2">
      <c r="A541" s="307"/>
      <c r="B541" s="302" t="s">
        <v>521</v>
      </c>
      <c r="C541" s="364">
        <v>859702</v>
      </c>
      <c r="D541" s="364">
        <v>131508</v>
      </c>
      <c r="E541" s="364">
        <v>991210</v>
      </c>
    </row>
    <row r="543" spans="1:5" ht="15.75" customHeight="1" x14ac:dyDescent="0.2">
      <c r="A543" s="388" t="s">
        <v>601</v>
      </c>
      <c r="B543" s="389"/>
      <c r="C543" s="389"/>
      <c r="D543" s="389"/>
      <c r="E543" s="389"/>
    </row>
    <row r="544" spans="1:5" s="308" customFormat="1" ht="14.25" x14ac:dyDescent="0.2">
      <c r="B544" s="304" t="s">
        <v>516</v>
      </c>
      <c r="C544" s="365">
        <v>858909</v>
      </c>
      <c r="D544" s="365">
        <v>131531</v>
      </c>
      <c r="E544" s="365">
        <v>990440</v>
      </c>
    </row>
    <row r="545" spans="1:5" ht="15" x14ac:dyDescent="0.2">
      <c r="B545" s="300" t="s">
        <v>518</v>
      </c>
      <c r="C545" s="366">
        <v>100</v>
      </c>
      <c r="D545" s="366">
        <v>0</v>
      </c>
      <c r="E545" s="366">
        <v>100</v>
      </c>
    </row>
    <row r="546" spans="1:5" ht="30" x14ac:dyDescent="0.2">
      <c r="B546" s="300" t="s">
        <v>521</v>
      </c>
      <c r="C546" s="366">
        <v>858809</v>
      </c>
      <c r="D546" s="366">
        <v>131531</v>
      </c>
      <c r="E546" s="366">
        <v>990340</v>
      </c>
    </row>
    <row r="548" spans="1:5" ht="15.75" customHeight="1" x14ac:dyDescent="0.2">
      <c r="A548" s="388" t="s">
        <v>602</v>
      </c>
      <c r="B548" s="389"/>
      <c r="C548" s="389"/>
      <c r="D548" s="389"/>
      <c r="E548" s="389"/>
    </row>
    <row r="549" spans="1:5" s="308" customFormat="1" ht="14.25" x14ac:dyDescent="0.2">
      <c r="B549" s="304" t="s">
        <v>516</v>
      </c>
      <c r="C549" s="365">
        <v>8846847</v>
      </c>
      <c r="D549" s="365">
        <v>587605</v>
      </c>
      <c r="E549" s="365">
        <v>9434452</v>
      </c>
    </row>
    <row r="550" spans="1:5" ht="15" x14ac:dyDescent="0.2">
      <c r="B550" s="300" t="s">
        <v>517</v>
      </c>
      <c r="C550" s="366">
        <v>4682656</v>
      </c>
      <c r="D550" s="366">
        <v>343813</v>
      </c>
      <c r="E550" s="366">
        <v>5026469</v>
      </c>
    </row>
    <row r="551" spans="1:5" ht="15" x14ac:dyDescent="0.2">
      <c r="B551" s="300" t="s">
        <v>518</v>
      </c>
      <c r="C551" s="366">
        <v>985452</v>
      </c>
      <c r="D551" s="366">
        <v>-9444</v>
      </c>
      <c r="E551" s="366">
        <v>976008</v>
      </c>
    </row>
    <row r="552" spans="1:5" ht="15" x14ac:dyDescent="0.2">
      <c r="B552" s="300" t="s">
        <v>519</v>
      </c>
      <c r="C552" s="366">
        <v>2375850</v>
      </c>
      <c r="D552" s="366">
        <v>164884</v>
      </c>
      <c r="E552" s="366">
        <v>2540734</v>
      </c>
    </row>
    <row r="553" spans="1:5" ht="15" x14ac:dyDescent="0.2">
      <c r="B553" s="300" t="s">
        <v>520</v>
      </c>
      <c r="C553" s="366">
        <v>802889</v>
      </c>
      <c r="D553" s="366">
        <v>88352</v>
      </c>
      <c r="E553" s="366">
        <v>891241</v>
      </c>
    </row>
    <row r="555" spans="1:5" ht="15.75" customHeight="1" x14ac:dyDescent="0.2">
      <c r="A555" s="388" t="s">
        <v>603</v>
      </c>
      <c r="B555" s="389"/>
      <c r="C555" s="389"/>
      <c r="D555" s="389"/>
      <c r="E555" s="389"/>
    </row>
    <row r="556" spans="1:5" s="308" customFormat="1" ht="14.25" x14ac:dyDescent="0.2">
      <c r="B556" s="304" t="s">
        <v>516</v>
      </c>
      <c r="C556" s="365">
        <v>10952160</v>
      </c>
      <c r="D556" s="365">
        <v>3286578</v>
      </c>
      <c r="E556" s="365">
        <v>14238738</v>
      </c>
    </row>
    <row r="557" spans="1:5" ht="15" x14ac:dyDescent="0.2">
      <c r="B557" s="300" t="s">
        <v>517</v>
      </c>
      <c r="C557" s="366">
        <v>7837786</v>
      </c>
      <c r="D557" s="366">
        <v>3015452</v>
      </c>
      <c r="E557" s="366">
        <v>10853238</v>
      </c>
    </row>
    <row r="558" spans="1:5" ht="15" x14ac:dyDescent="0.2">
      <c r="B558" s="300" t="s">
        <v>518</v>
      </c>
      <c r="C558" s="366">
        <v>2275630</v>
      </c>
      <c r="D558" s="366">
        <v>125495</v>
      </c>
      <c r="E558" s="366">
        <v>2401125</v>
      </c>
    </row>
    <row r="559" spans="1:5" ht="15" x14ac:dyDescent="0.2">
      <c r="B559" s="300" t="s">
        <v>519</v>
      </c>
      <c r="C559" s="366">
        <v>240181</v>
      </c>
      <c r="D559" s="366">
        <v>15866</v>
      </c>
      <c r="E559" s="366">
        <v>256047</v>
      </c>
    </row>
    <row r="560" spans="1:5" ht="15" x14ac:dyDescent="0.2">
      <c r="B560" s="300" t="s">
        <v>520</v>
      </c>
      <c r="C560" s="366">
        <v>558663</v>
      </c>
      <c r="D560" s="366">
        <v>129765</v>
      </c>
      <c r="E560" s="366">
        <v>688428</v>
      </c>
    </row>
    <row r="561" spans="1:5" ht="15" x14ac:dyDescent="0.2">
      <c r="B561" s="300" t="s">
        <v>572</v>
      </c>
      <c r="C561" s="366">
        <v>39900</v>
      </c>
      <c r="D561" s="366">
        <v>0</v>
      </c>
      <c r="E561" s="366">
        <v>39900</v>
      </c>
    </row>
    <row r="563" spans="1:5" ht="15" x14ac:dyDescent="0.2">
      <c r="A563" s="388" t="s">
        <v>797</v>
      </c>
      <c r="B563" s="389"/>
      <c r="C563" s="389"/>
      <c r="D563" s="389"/>
      <c r="E563" s="389"/>
    </row>
    <row r="564" spans="1:5" s="308" customFormat="1" ht="14.25" x14ac:dyDescent="0.2">
      <c r="B564" s="304" t="s">
        <v>516</v>
      </c>
      <c r="C564" s="365">
        <v>1583152</v>
      </c>
      <c r="D564" s="365">
        <v>670060</v>
      </c>
      <c r="E564" s="365">
        <v>2253212</v>
      </c>
    </row>
    <row r="565" spans="1:5" ht="15" x14ac:dyDescent="0.2">
      <c r="B565" s="300" t="s">
        <v>517</v>
      </c>
      <c r="C565" s="366">
        <v>1209440</v>
      </c>
      <c r="D565" s="366">
        <v>560251</v>
      </c>
      <c r="E565" s="366">
        <v>1769691</v>
      </c>
    </row>
    <row r="566" spans="1:5" ht="15" x14ac:dyDescent="0.2">
      <c r="B566" s="300" t="s">
        <v>518</v>
      </c>
      <c r="C566" s="366">
        <v>289587</v>
      </c>
      <c r="D566" s="366">
        <v>122370</v>
      </c>
      <c r="E566" s="366">
        <v>411957</v>
      </c>
    </row>
    <row r="567" spans="1:5" ht="15" x14ac:dyDescent="0.2">
      <c r="B567" s="300" t="s">
        <v>520</v>
      </c>
      <c r="C567" s="366">
        <v>84125</v>
      </c>
      <c r="D567" s="366">
        <v>-12561</v>
      </c>
      <c r="E567" s="366">
        <v>71564</v>
      </c>
    </row>
    <row r="569" spans="1:5" ht="15.75" customHeight="1" x14ac:dyDescent="0.2">
      <c r="A569" s="388" t="s">
        <v>604</v>
      </c>
      <c r="B569" s="389"/>
      <c r="C569" s="389"/>
      <c r="D569" s="389"/>
      <c r="E569" s="389"/>
    </row>
    <row r="570" spans="1:5" s="308" customFormat="1" ht="14.25" x14ac:dyDescent="0.2">
      <c r="B570" s="304" t="s">
        <v>516</v>
      </c>
      <c r="C570" s="365">
        <v>174058</v>
      </c>
      <c r="D570" s="365">
        <v>225366</v>
      </c>
      <c r="E570" s="365">
        <v>399424</v>
      </c>
    </row>
    <row r="571" spans="1:5" ht="15" x14ac:dyDescent="0.2">
      <c r="B571" s="300" t="s">
        <v>517</v>
      </c>
      <c r="C571" s="366">
        <v>273</v>
      </c>
      <c r="D571" s="366">
        <v>3000</v>
      </c>
      <c r="E571" s="366">
        <v>3273</v>
      </c>
    </row>
    <row r="572" spans="1:5" ht="15" x14ac:dyDescent="0.2">
      <c r="B572" s="300" t="s">
        <v>518</v>
      </c>
      <c r="C572" s="366">
        <v>172964</v>
      </c>
      <c r="D572" s="366">
        <v>205993</v>
      </c>
      <c r="E572" s="366">
        <v>378957</v>
      </c>
    </row>
    <row r="573" spans="1:5" ht="15" x14ac:dyDescent="0.2">
      <c r="B573" s="300" t="s">
        <v>520</v>
      </c>
      <c r="C573" s="366">
        <v>653</v>
      </c>
      <c r="D573" s="366">
        <v>16396</v>
      </c>
      <c r="E573" s="366">
        <v>17049</v>
      </c>
    </row>
    <row r="574" spans="1:5" ht="30" x14ac:dyDescent="0.2">
      <c r="B574" s="300" t="s">
        <v>521</v>
      </c>
      <c r="C574" s="366">
        <v>168</v>
      </c>
      <c r="D574" s="366">
        <v>-23</v>
      </c>
      <c r="E574" s="366">
        <v>145</v>
      </c>
    </row>
    <row r="576" spans="1:5" ht="15.75" customHeight="1" x14ac:dyDescent="0.2">
      <c r="A576" s="388" t="s">
        <v>605</v>
      </c>
      <c r="B576" s="389"/>
      <c r="C576" s="389"/>
      <c r="D576" s="389"/>
      <c r="E576" s="389"/>
    </row>
    <row r="577" spans="1:5" s="308" customFormat="1" ht="14.25" x14ac:dyDescent="0.2">
      <c r="B577" s="304" t="s">
        <v>516</v>
      </c>
      <c r="C577" s="365">
        <v>893785</v>
      </c>
      <c r="D577" s="365">
        <v>238143</v>
      </c>
      <c r="E577" s="365">
        <v>1131928</v>
      </c>
    </row>
    <row r="578" spans="1:5" ht="15" x14ac:dyDescent="0.2">
      <c r="B578" s="300" t="s">
        <v>517</v>
      </c>
      <c r="C578" s="366">
        <v>641330</v>
      </c>
      <c r="D578" s="366">
        <v>237628</v>
      </c>
      <c r="E578" s="366">
        <v>878958</v>
      </c>
    </row>
    <row r="579" spans="1:5" ht="15" x14ac:dyDescent="0.2">
      <c r="B579" s="300" t="s">
        <v>518</v>
      </c>
      <c r="C579" s="366">
        <v>189189</v>
      </c>
      <c r="D579" s="366">
        <v>-9863</v>
      </c>
      <c r="E579" s="366">
        <v>179326</v>
      </c>
    </row>
    <row r="580" spans="1:5" ht="15" x14ac:dyDescent="0.2">
      <c r="B580" s="300" t="s">
        <v>520</v>
      </c>
      <c r="C580" s="366">
        <v>3810</v>
      </c>
      <c r="D580" s="366">
        <v>0</v>
      </c>
      <c r="E580" s="366">
        <v>3810</v>
      </c>
    </row>
    <row r="581" spans="1:5" ht="15" x14ac:dyDescent="0.2">
      <c r="B581" s="300" t="s">
        <v>572</v>
      </c>
      <c r="C581" s="366">
        <v>59456</v>
      </c>
      <c r="D581" s="366">
        <v>10378</v>
      </c>
      <c r="E581" s="366">
        <v>69834</v>
      </c>
    </row>
    <row r="583" spans="1:5" ht="15.75" customHeight="1" x14ac:dyDescent="0.2">
      <c r="A583" s="388" t="s">
        <v>606</v>
      </c>
      <c r="B583" s="389"/>
      <c r="C583" s="389"/>
      <c r="D583" s="389"/>
      <c r="E583" s="389"/>
    </row>
    <row r="584" spans="1:5" s="308" customFormat="1" ht="14.25" x14ac:dyDescent="0.2">
      <c r="B584" s="304" t="s">
        <v>516</v>
      </c>
      <c r="C584" s="365">
        <v>742748</v>
      </c>
      <c r="D584" s="365">
        <v>105164</v>
      </c>
      <c r="E584" s="365">
        <v>847912</v>
      </c>
    </row>
    <row r="585" spans="1:5" ht="15" x14ac:dyDescent="0.2">
      <c r="B585" s="300" t="s">
        <v>517</v>
      </c>
      <c r="C585" s="366">
        <v>320156</v>
      </c>
      <c r="D585" s="366">
        <v>20650</v>
      </c>
      <c r="E585" s="366">
        <v>340806</v>
      </c>
    </row>
    <row r="586" spans="1:5" ht="15" x14ac:dyDescent="0.2">
      <c r="B586" s="300" t="s">
        <v>518</v>
      </c>
      <c r="C586" s="366">
        <v>323852</v>
      </c>
      <c r="D586" s="366">
        <v>81514</v>
      </c>
      <c r="E586" s="366">
        <v>405366</v>
      </c>
    </row>
    <row r="587" spans="1:5" ht="15" x14ac:dyDescent="0.2">
      <c r="B587" s="300" t="s">
        <v>520</v>
      </c>
      <c r="C587" s="366">
        <v>0</v>
      </c>
      <c r="D587" s="366">
        <v>3000</v>
      </c>
      <c r="E587" s="366">
        <v>3000</v>
      </c>
    </row>
    <row r="588" spans="1:5" ht="15" x14ac:dyDescent="0.2">
      <c r="B588" s="300" t="s">
        <v>572</v>
      </c>
      <c r="C588" s="366">
        <v>98740</v>
      </c>
      <c r="D588" s="366">
        <v>0</v>
      </c>
      <c r="E588" s="366">
        <v>98740</v>
      </c>
    </row>
    <row r="590" spans="1:5" ht="15.75" customHeight="1" x14ac:dyDescent="0.2">
      <c r="A590" s="388" t="s">
        <v>878</v>
      </c>
      <c r="B590" s="389"/>
      <c r="C590" s="389"/>
      <c r="D590" s="389"/>
      <c r="E590" s="389"/>
    </row>
    <row r="591" spans="1:5" s="308" customFormat="1" ht="14.25" x14ac:dyDescent="0.2">
      <c r="B591" s="304" t="s">
        <v>516</v>
      </c>
      <c r="C591" s="365">
        <v>924714</v>
      </c>
      <c r="D591" s="365">
        <v>183335</v>
      </c>
      <c r="E591" s="365">
        <v>1108049</v>
      </c>
    </row>
    <row r="592" spans="1:5" ht="15" x14ac:dyDescent="0.2">
      <c r="B592" s="300" t="s">
        <v>517</v>
      </c>
      <c r="C592" s="366">
        <v>657265</v>
      </c>
      <c r="D592" s="366">
        <v>180499</v>
      </c>
      <c r="E592" s="366">
        <v>837764</v>
      </c>
    </row>
    <row r="593" spans="1:5" ht="15" x14ac:dyDescent="0.2">
      <c r="B593" s="300" t="s">
        <v>518</v>
      </c>
      <c r="C593" s="366">
        <v>242179</v>
      </c>
      <c r="D593" s="366">
        <v>-60</v>
      </c>
      <c r="E593" s="366">
        <v>242119</v>
      </c>
    </row>
    <row r="594" spans="1:5" ht="15" x14ac:dyDescent="0.2">
      <c r="B594" s="300" t="s">
        <v>519</v>
      </c>
      <c r="C594" s="366">
        <v>14588</v>
      </c>
      <c r="D594" s="366">
        <v>2836</v>
      </c>
      <c r="E594" s="366">
        <v>17424</v>
      </c>
    </row>
    <row r="595" spans="1:5" ht="15" x14ac:dyDescent="0.2">
      <c r="B595" s="300" t="s">
        <v>520</v>
      </c>
      <c r="C595" s="366">
        <v>10682</v>
      </c>
      <c r="D595" s="366">
        <v>60</v>
      </c>
      <c r="E595" s="366">
        <v>10742</v>
      </c>
    </row>
    <row r="597" spans="1:5" ht="15.75" customHeight="1" x14ac:dyDescent="0.2">
      <c r="A597" s="388" t="s">
        <v>607</v>
      </c>
      <c r="B597" s="389"/>
      <c r="C597" s="389"/>
      <c r="D597" s="389"/>
      <c r="E597" s="389"/>
    </row>
    <row r="598" spans="1:5" s="308" customFormat="1" ht="14.25" x14ac:dyDescent="0.2">
      <c r="B598" s="304" t="s">
        <v>516</v>
      </c>
      <c r="C598" s="365">
        <v>252348</v>
      </c>
      <c r="D598" s="365">
        <v>1465</v>
      </c>
      <c r="E598" s="365">
        <v>253813</v>
      </c>
    </row>
    <row r="599" spans="1:5" ht="15" x14ac:dyDescent="0.2">
      <c r="B599" s="300" t="s">
        <v>517</v>
      </c>
      <c r="C599" s="366">
        <v>203750</v>
      </c>
      <c r="D599" s="366">
        <v>1465</v>
      </c>
      <c r="E599" s="366">
        <v>205215</v>
      </c>
    </row>
    <row r="600" spans="1:5" ht="15" x14ac:dyDescent="0.2">
      <c r="B600" s="300" t="s">
        <v>518</v>
      </c>
      <c r="C600" s="366">
        <v>47873</v>
      </c>
      <c r="D600" s="366">
        <v>0</v>
      </c>
      <c r="E600" s="366">
        <v>47873</v>
      </c>
    </row>
    <row r="601" spans="1:5" ht="30" x14ac:dyDescent="0.2">
      <c r="B601" s="300" t="s">
        <v>521</v>
      </c>
      <c r="C601" s="366">
        <v>725</v>
      </c>
      <c r="D601" s="366">
        <v>0</v>
      </c>
      <c r="E601" s="366">
        <v>725</v>
      </c>
    </row>
    <row r="603" spans="1:5" ht="15.75" customHeight="1" x14ac:dyDescent="0.2">
      <c r="A603" s="388" t="s">
        <v>608</v>
      </c>
      <c r="B603" s="389"/>
      <c r="C603" s="389"/>
      <c r="D603" s="389"/>
      <c r="E603" s="389"/>
    </row>
    <row r="604" spans="1:5" s="308" customFormat="1" ht="14.25" x14ac:dyDescent="0.2">
      <c r="B604" s="304" t="s">
        <v>516</v>
      </c>
      <c r="C604" s="365">
        <v>725802</v>
      </c>
      <c r="D604" s="365">
        <v>22766</v>
      </c>
      <c r="E604" s="365">
        <v>748568</v>
      </c>
    </row>
    <row r="605" spans="1:5" ht="15" x14ac:dyDescent="0.2">
      <c r="B605" s="300" t="s">
        <v>517</v>
      </c>
      <c r="C605" s="366">
        <v>626256</v>
      </c>
      <c r="D605" s="366">
        <v>19266</v>
      </c>
      <c r="E605" s="366">
        <v>645522</v>
      </c>
    </row>
    <row r="606" spans="1:5" ht="15" x14ac:dyDescent="0.2">
      <c r="B606" s="300" t="s">
        <v>518</v>
      </c>
      <c r="C606" s="366">
        <v>96910</v>
      </c>
      <c r="D606" s="366">
        <v>-1392</v>
      </c>
      <c r="E606" s="366">
        <v>95518</v>
      </c>
    </row>
    <row r="607" spans="1:5" ht="15" x14ac:dyDescent="0.2">
      <c r="B607" s="300" t="s">
        <v>520</v>
      </c>
      <c r="C607" s="366">
        <v>2636</v>
      </c>
      <c r="D607" s="366">
        <v>4892</v>
      </c>
      <c r="E607" s="366">
        <v>7528</v>
      </c>
    </row>
    <row r="608" spans="1:5" ht="15" x14ac:dyDescent="0.2">
      <c r="B608" s="300" t="s">
        <v>572</v>
      </c>
      <c r="C608" s="366">
        <v>0</v>
      </c>
      <c r="D608" s="366">
        <v>0</v>
      </c>
      <c r="E608" s="366">
        <v>0</v>
      </c>
    </row>
    <row r="610" spans="1:5" ht="15.75" customHeight="1" x14ac:dyDescent="0.2">
      <c r="A610" s="388" t="s">
        <v>609</v>
      </c>
      <c r="B610" s="389"/>
      <c r="C610" s="389"/>
      <c r="D610" s="389"/>
      <c r="E610" s="389"/>
    </row>
    <row r="611" spans="1:5" s="308" customFormat="1" ht="14.25" x14ac:dyDescent="0.2">
      <c r="B611" s="304" t="s">
        <v>516</v>
      </c>
      <c r="C611" s="365">
        <v>641210</v>
      </c>
      <c r="D611" s="365">
        <v>64993</v>
      </c>
      <c r="E611" s="365">
        <v>706203</v>
      </c>
    </row>
    <row r="612" spans="1:5" ht="15" x14ac:dyDescent="0.2">
      <c r="B612" s="300" t="s">
        <v>517</v>
      </c>
      <c r="C612" s="366">
        <v>550990</v>
      </c>
      <c r="D612" s="366">
        <v>73558</v>
      </c>
      <c r="E612" s="366">
        <v>624548</v>
      </c>
    </row>
    <row r="613" spans="1:5" ht="15" x14ac:dyDescent="0.2">
      <c r="B613" s="300" t="s">
        <v>518</v>
      </c>
      <c r="C613" s="366">
        <v>83380</v>
      </c>
      <c r="D613" s="366">
        <v>-7865</v>
      </c>
      <c r="E613" s="366">
        <v>75515</v>
      </c>
    </row>
    <row r="614" spans="1:5" ht="15" x14ac:dyDescent="0.2">
      <c r="B614" s="300" t="s">
        <v>519</v>
      </c>
      <c r="C614" s="366">
        <v>640</v>
      </c>
      <c r="D614" s="366">
        <v>0</v>
      </c>
      <c r="E614" s="366">
        <v>640</v>
      </c>
    </row>
    <row r="615" spans="1:5" ht="15" x14ac:dyDescent="0.2">
      <c r="B615" s="300" t="s">
        <v>520</v>
      </c>
      <c r="C615" s="366">
        <v>6200</v>
      </c>
      <c r="D615" s="366">
        <v>-700</v>
      </c>
      <c r="E615" s="366">
        <v>5500</v>
      </c>
    </row>
    <row r="617" spans="1:5" ht="15.75" customHeight="1" x14ac:dyDescent="0.2">
      <c r="A617" s="388" t="s">
        <v>610</v>
      </c>
      <c r="B617" s="389"/>
      <c r="C617" s="389"/>
      <c r="D617" s="389"/>
      <c r="E617" s="389"/>
    </row>
    <row r="618" spans="1:5" s="308" customFormat="1" ht="14.25" x14ac:dyDescent="0.2">
      <c r="B618" s="304" t="s">
        <v>516</v>
      </c>
      <c r="C618" s="365">
        <v>76730</v>
      </c>
      <c r="D618" s="365">
        <v>-3058</v>
      </c>
      <c r="E618" s="365">
        <v>73672</v>
      </c>
    </row>
    <row r="619" spans="1:5" ht="15" x14ac:dyDescent="0.2">
      <c r="B619" s="300" t="s">
        <v>517</v>
      </c>
      <c r="C619" s="366">
        <v>70745</v>
      </c>
      <c r="D619" s="366">
        <v>-3058</v>
      </c>
      <c r="E619" s="366">
        <v>67687</v>
      </c>
    </row>
    <row r="620" spans="1:5" ht="15" x14ac:dyDescent="0.2">
      <c r="B620" s="300" t="s">
        <v>518</v>
      </c>
      <c r="C620" s="366">
        <v>5985</v>
      </c>
      <c r="D620" s="366">
        <v>0</v>
      </c>
      <c r="E620" s="366">
        <v>5985</v>
      </c>
    </row>
    <row r="622" spans="1:5" ht="15.75" customHeight="1" x14ac:dyDescent="0.2">
      <c r="A622" s="388" t="s">
        <v>611</v>
      </c>
      <c r="B622" s="389"/>
      <c r="C622" s="389"/>
      <c r="D622" s="389"/>
      <c r="E622" s="389"/>
    </row>
    <row r="623" spans="1:5" s="308" customFormat="1" ht="14.25" x14ac:dyDescent="0.2">
      <c r="B623" s="304" t="s">
        <v>516</v>
      </c>
      <c r="C623" s="365">
        <v>269250</v>
      </c>
      <c r="D623" s="365">
        <v>0</v>
      </c>
      <c r="E623" s="365">
        <v>269250</v>
      </c>
    </row>
    <row r="624" spans="1:5" ht="15" x14ac:dyDescent="0.2">
      <c r="B624" s="300" t="s">
        <v>572</v>
      </c>
      <c r="C624" s="366">
        <v>269250</v>
      </c>
      <c r="D624" s="366">
        <v>0</v>
      </c>
      <c r="E624" s="366">
        <v>269250</v>
      </c>
    </row>
    <row r="626" spans="1:5" ht="15.75" customHeight="1" x14ac:dyDescent="0.2">
      <c r="A626" s="388" t="s">
        <v>833</v>
      </c>
      <c r="B626" s="389"/>
      <c r="C626" s="389"/>
      <c r="D626" s="389"/>
      <c r="E626" s="389"/>
    </row>
    <row r="627" spans="1:5" s="308" customFormat="1" ht="14.25" x14ac:dyDescent="0.2">
      <c r="B627" s="304" t="s">
        <v>516</v>
      </c>
      <c r="C627" s="365">
        <v>184241</v>
      </c>
      <c r="D627" s="365">
        <v>3441</v>
      </c>
      <c r="E627" s="365">
        <v>187682</v>
      </c>
    </row>
    <row r="628" spans="1:5" ht="15" x14ac:dyDescent="0.2">
      <c r="B628" s="300" t="s">
        <v>572</v>
      </c>
      <c r="C628" s="366">
        <v>184241</v>
      </c>
      <c r="D628" s="366">
        <v>3441</v>
      </c>
      <c r="E628" s="366">
        <v>187682</v>
      </c>
    </row>
    <row r="631" spans="1:5" ht="15" x14ac:dyDescent="0.2">
      <c r="A631" s="390" t="s">
        <v>834</v>
      </c>
      <c r="B631" s="400"/>
      <c r="C631" s="400"/>
      <c r="D631" s="400"/>
      <c r="E631" s="400"/>
    </row>
    <row r="632" spans="1:5" ht="15" x14ac:dyDescent="0.2">
      <c r="A632" s="359"/>
      <c r="B632" s="302" t="s">
        <v>516</v>
      </c>
      <c r="C632" s="364">
        <v>194725</v>
      </c>
      <c r="D632" s="364">
        <v>400</v>
      </c>
      <c r="E632" s="364">
        <v>195125</v>
      </c>
    </row>
    <row r="633" spans="1:5" ht="15" x14ac:dyDescent="0.2">
      <c r="A633" s="359"/>
      <c r="B633" s="302" t="s">
        <v>517</v>
      </c>
      <c r="C633" s="364">
        <v>168854</v>
      </c>
      <c r="D633" s="364">
        <v>2900</v>
      </c>
      <c r="E633" s="364">
        <v>171754</v>
      </c>
    </row>
    <row r="634" spans="1:5" ht="15" x14ac:dyDescent="0.2">
      <c r="A634" s="359"/>
      <c r="B634" s="302" t="s">
        <v>518</v>
      </c>
      <c r="C634" s="364">
        <v>25871</v>
      </c>
      <c r="D634" s="364">
        <v>-2500</v>
      </c>
      <c r="E634" s="364">
        <v>23371</v>
      </c>
    </row>
    <row r="636" spans="1:5" ht="15.75" customHeight="1" x14ac:dyDescent="0.2">
      <c r="A636" s="388" t="s">
        <v>612</v>
      </c>
      <c r="B636" s="389"/>
      <c r="C636" s="389"/>
      <c r="D636" s="389"/>
      <c r="E636" s="389"/>
    </row>
    <row r="637" spans="1:5" s="308" customFormat="1" ht="14.25" x14ac:dyDescent="0.2">
      <c r="B637" s="304" t="s">
        <v>516</v>
      </c>
      <c r="C637" s="365">
        <v>194725</v>
      </c>
      <c r="D637" s="365">
        <v>400</v>
      </c>
      <c r="E637" s="365">
        <v>195125</v>
      </c>
    </row>
    <row r="638" spans="1:5" ht="15" x14ac:dyDescent="0.2">
      <c r="B638" s="300" t="s">
        <v>517</v>
      </c>
      <c r="C638" s="366">
        <v>168854</v>
      </c>
      <c r="D638" s="366">
        <v>2900</v>
      </c>
      <c r="E638" s="366">
        <v>171754</v>
      </c>
    </row>
    <row r="639" spans="1:5" ht="15" x14ac:dyDescent="0.2">
      <c r="B639" s="300" t="s">
        <v>518</v>
      </c>
      <c r="C639" s="366">
        <v>25871</v>
      </c>
      <c r="D639" s="366">
        <v>-2500</v>
      </c>
      <c r="E639" s="366">
        <v>23371</v>
      </c>
    </row>
    <row r="642" spans="1:5" ht="15" x14ac:dyDescent="0.2">
      <c r="A642" s="390" t="s">
        <v>835</v>
      </c>
      <c r="B642" s="400"/>
      <c r="C642" s="400"/>
      <c r="D642" s="400"/>
      <c r="E642" s="400"/>
    </row>
    <row r="643" spans="1:5" ht="15" x14ac:dyDescent="0.2">
      <c r="A643" s="359"/>
      <c r="B643" s="302" t="s">
        <v>516</v>
      </c>
      <c r="C643" s="364">
        <v>5212557</v>
      </c>
      <c r="D643" s="364">
        <v>-118832</v>
      </c>
      <c r="E643" s="364">
        <v>5093725</v>
      </c>
    </row>
    <row r="644" spans="1:5" ht="15" x14ac:dyDescent="0.2">
      <c r="A644" s="359"/>
      <c r="B644" s="302" t="s">
        <v>517</v>
      </c>
      <c r="C644" s="364">
        <v>1921581</v>
      </c>
      <c r="D644" s="364">
        <v>17816</v>
      </c>
      <c r="E644" s="364">
        <v>1939397</v>
      </c>
    </row>
    <row r="645" spans="1:5" ht="15" x14ac:dyDescent="0.2">
      <c r="A645" s="359"/>
      <c r="B645" s="302" t="s">
        <v>518</v>
      </c>
      <c r="C645" s="364">
        <v>424135</v>
      </c>
      <c r="D645" s="364">
        <v>-39118</v>
      </c>
      <c r="E645" s="364">
        <v>385017</v>
      </c>
    </row>
    <row r="646" spans="1:5" ht="15" x14ac:dyDescent="0.2">
      <c r="A646" s="359"/>
      <c r="B646" s="302" t="s">
        <v>519</v>
      </c>
      <c r="C646" s="364">
        <v>928</v>
      </c>
      <c r="D646" s="364">
        <v>0</v>
      </c>
      <c r="E646" s="364">
        <v>928</v>
      </c>
    </row>
    <row r="647" spans="1:5" ht="15" x14ac:dyDescent="0.2">
      <c r="A647" s="359"/>
      <c r="B647" s="302" t="s">
        <v>520</v>
      </c>
      <c r="C647" s="364">
        <v>9100</v>
      </c>
      <c r="D647" s="364">
        <v>1095</v>
      </c>
      <c r="E647" s="364">
        <v>10195</v>
      </c>
    </row>
    <row r="648" spans="1:5" ht="15" x14ac:dyDescent="0.2">
      <c r="A648" s="359"/>
      <c r="B648" s="302" t="s">
        <v>572</v>
      </c>
      <c r="C648" s="364">
        <v>2203778</v>
      </c>
      <c r="D648" s="364">
        <v>-100877</v>
      </c>
      <c r="E648" s="364">
        <v>2102901</v>
      </c>
    </row>
    <row r="649" spans="1:5" ht="30" x14ac:dyDescent="0.2">
      <c r="A649" s="359"/>
      <c r="B649" s="302" t="s">
        <v>521</v>
      </c>
      <c r="C649" s="364">
        <v>653035</v>
      </c>
      <c r="D649" s="364">
        <v>2252</v>
      </c>
      <c r="E649" s="364">
        <v>655287</v>
      </c>
    </row>
    <row r="651" spans="1:5" ht="15.75" customHeight="1" x14ac:dyDescent="0.2">
      <c r="A651" s="388" t="s">
        <v>613</v>
      </c>
      <c r="B651" s="389"/>
      <c r="C651" s="389"/>
      <c r="D651" s="389"/>
      <c r="E651" s="389"/>
    </row>
    <row r="652" spans="1:5" s="308" customFormat="1" ht="14.25" x14ac:dyDescent="0.2">
      <c r="B652" s="304" t="s">
        <v>516</v>
      </c>
      <c r="C652" s="365">
        <v>650157</v>
      </c>
      <c r="D652" s="365">
        <v>0</v>
      </c>
      <c r="E652" s="365">
        <v>650157</v>
      </c>
    </row>
    <row r="653" spans="1:5" ht="30" x14ac:dyDescent="0.2">
      <c r="B653" s="300" t="s">
        <v>521</v>
      </c>
      <c r="C653" s="366">
        <v>650157</v>
      </c>
      <c r="D653" s="366">
        <v>0</v>
      </c>
      <c r="E653" s="366">
        <v>650157</v>
      </c>
    </row>
    <row r="655" spans="1:5" ht="15.75" customHeight="1" x14ac:dyDescent="0.2">
      <c r="A655" s="388" t="s">
        <v>614</v>
      </c>
      <c r="B655" s="389"/>
      <c r="C655" s="389"/>
      <c r="D655" s="389"/>
      <c r="E655" s="389"/>
    </row>
    <row r="656" spans="1:5" s="308" customFormat="1" ht="14.25" x14ac:dyDescent="0.2">
      <c r="B656" s="304" t="s">
        <v>516</v>
      </c>
      <c r="C656" s="365">
        <v>67600</v>
      </c>
      <c r="D656" s="365">
        <v>5000</v>
      </c>
      <c r="E656" s="365">
        <v>72600</v>
      </c>
    </row>
    <row r="657" spans="1:5" ht="15" x14ac:dyDescent="0.2">
      <c r="B657" s="300" t="s">
        <v>572</v>
      </c>
      <c r="C657" s="366">
        <v>67600</v>
      </c>
      <c r="D657" s="366">
        <v>5000</v>
      </c>
      <c r="E657" s="366">
        <v>72600</v>
      </c>
    </row>
    <row r="659" spans="1:5" ht="15.75" customHeight="1" x14ac:dyDescent="0.2">
      <c r="A659" s="388" t="s">
        <v>615</v>
      </c>
      <c r="B659" s="389"/>
      <c r="C659" s="389"/>
      <c r="D659" s="389"/>
      <c r="E659" s="389"/>
    </row>
    <row r="660" spans="1:5" s="308" customFormat="1" ht="14.25" x14ac:dyDescent="0.2">
      <c r="B660" s="304" t="s">
        <v>516</v>
      </c>
      <c r="C660" s="365">
        <v>12400</v>
      </c>
      <c r="D660" s="365">
        <v>0</v>
      </c>
      <c r="E660" s="365">
        <v>12400</v>
      </c>
    </row>
    <row r="661" spans="1:5" ht="15" x14ac:dyDescent="0.2">
      <c r="B661" s="300" t="s">
        <v>572</v>
      </c>
      <c r="C661" s="366">
        <v>12400</v>
      </c>
      <c r="D661" s="366">
        <v>0</v>
      </c>
      <c r="E661" s="366">
        <v>12400</v>
      </c>
    </row>
    <row r="663" spans="1:5" ht="15.75" customHeight="1" x14ac:dyDescent="0.2">
      <c r="A663" s="388" t="s">
        <v>616</v>
      </c>
      <c r="B663" s="389"/>
      <c r="C663" s="389"/>
      <c r="D663" s="389"/>
      <c r="E663" s="389"/>
    </row>
    <row r="664" spans="1:5" s="308" customFormat="1" ht="14.25" x14ac:dyDescent="0.2">
      <c r="B664" s="304" t="s">
        <v>516</v>
      </c>
      <c r="C664" s="365">
        <v>37500</v>
      </c>
      <c r="D664" s="365">
        <v>-5000</v>
      </c>
      <c r="E664" s="365">
        <v>32500</v>
      </c>
    </row>
    <row r="665" spans="1:5" ht="15" x14ac:dyDescent="0.2">
      <c r="B665" s="300" t="s">
        <v>572</v>
      </c>
      <c r="C665" s="366">
        <v>37500</v>
      </c>
      <c r="D665" s="366">
        <v>-5000</v>
      </c>
      <c r="E665" s="366">
        <v>32500</v>
      </c>
    </row>
    <row r="667" spans="1:5" ht="15.75" customHeight="1" x14ac:dyDescent="0.2">
      <c r="A667" s="388" t="s">
        <v>617</v>
      </c>
      <c r="B667" s="389"/>
      <c r="C667" s="389"/>
      <c r="D667" s="389"/>
      <c r="E667" s="389"/>
    </row>
    <row r="668" spans="1:5" s="308" customFormat="1" ht="14.25" x14ac:dyDescent="0.2">
      <c r="B668" s="304" t="s">
        <v>516</v>
      </c>
      <c r="C668" s="365">
        <v>4750</v>
      </c>
      <c r="D668" s="365">
        <v>0</v>
      </c>
      <c r="E668" s="365">
        <v>4750</v>
      </c>
    </row>
    <row r="669" spans="1:5" ht="15" x14ac:dyDescent="0.2">
      <c r="B669" s="300" t="s">
        <v>517</v>
      </c>
      <c r="C669" s="366">
        <v>0</v>
      </c>
      <c r="D669" s="366">
        <v>187</v>
      </c>
      <c r="E669" s="366">
        <v>187</v>
      </c>
    </row>
    <row r="670" spans="1:5" ht="15" x14ac:dyDescent="0.2">
      <c r="B670" s="300" t="s">
        <v>518</v>
      </c>
      <c r="C670" s="366">
        <v>4750</v>
      </c>
      <c r="D670" s="366">
        <v>-187</v>
      </c>
      <c r="E670" s="366">
        <v>4563</v>
      </c>
    </row>
    <row r="672" spans="1:5" ht="15" x14ac:dyDescent="0.2">
      <c r="A672" s="388" t="s">
        <v>618</v>
      </c>
      <c r="B672" s="389"/>
      <c r="C672" s="389"/>
      <c r="D672" s="389"/>
      <c r="E672" s="389"/>
    </row>
    <row r="673" spans="1:5" s="308" customFormat="1" ht="14.25" x14ac:dyDescent="0.2">
      <c r="B673" s="304" t="s">
        <v>516</v>
      </c>
      <c r="C673" s="365">
        <v>460677</v>
      </c>
      <c r="D673" s="365">
        <v>12545</v>
      </c>
      <c r="E673" s="365">
        <v>473222</v>
      </c>
    </row>
    <row r="674" spans="1:5" ht="15" x14ac:dyDescent="0.2">
      <c r="B674" s="300" t="s">
        <v>517</v>
      </c>
      <c r="C674" s="366">
        <v>318913</v>
      </c>
      <c r="D674" s="366">
        <v>0</v>
      </c>
      <c r="E674" s="366">
        <v>318913</v>
      </c>
    </row>
    <row r="675" spans="1:5" ht="15" x14ac:dyDescent="0.2">
      <c r="B675" s="300" t="s">
        <v>518</v>
      </c>
      <c r="C675" s="366">
        <v>7521</v>
      </c>
      <c r="D675" s="366">
        <v>-411</v>
      </c>
      <c r="E675" s="366">
        <v>7110</v>
      </c>
    </row>
    <row r="676" spans="1:5" ht="15" x14ac:dyDescent="0.2">
      <c r="B676" s="300" t="s">
        <v>572</v>
      </c>
      <c r="C676" s="366">
        <v>134243</v>
      </c>
      <c r="D676" s="366">
        <v>12956</v>
      </c>
      <c r="E676" s="366">
        <v>147199</v>
      </c>
    </row>
    <row r="678" spans="1:5" ht="15.75" customHeight="1" x14ac:dyDescent="0.2">
      <c r="A678" s="388" t="s">
        <v>619</v>
      </c>
      <c r="B678" s="389"/>
      <c r="C678" s="389"/>
      <c r="D678" s="389"/>
      <c r="E678" s="389"/>
    </row>
    <row r="679" spans="1:5" s="308" customFormat="1" ht="14.25" x14ac:dyDescent="0.2">
      <c r="B679" s="304" t="s">
        <v>516</v>
      </c>
      <c r="C679" s="365">
        <v>93264</v>
      </c>
      <c r="D679" s="365">
        <v>0</v>
      </c>
      <c r="E679" s="365">
        <v>93264</v>
      </c>
    </row>
    <row r="680" spans="1:5" ht="15" x14ac:dyDescent="0.2">
      <c r="B680" s="300" t="s">
        <v>517</v>
      </c>
      <c r="C680" s="366">
        <v>74291</v>
      </c>
      <c r="D680" s="366">
        <v>0</v>
      </c>
      <c r="E680" s="366">
        <v>74291</v>
      </c>
    </row>
    <row r="681" spans="1:5" ht="15" x14ac:dyDescent="0.2">
      <c r="B681" s="300" t="s">
        <v>518</v>
      </c>
      <c r="C681" s="366">
        <v>18973</v>
      </c>
      <c r="D681" s="366">
        <v>0</v>
      </c>
      <c r="E681" s="366">
        <v>18973</v>
      </c>
    </row>
    <row r="683" spans="1:5" ht="15.75" customHeight="1" x14ac:dyDescent="0.2">
      <c r="A683" s="388" t="s">
        <v>620</v>
      </c>
      <c r="B683" s="389"/>
      <c r="C683" s="389"/>
      <c r="D683" s="389"/>
      <c r="E683" s="389"/>
    </row>
    <row r="684" spans="1:5" s="308" customFormat="1" ht="14.25" x14ac:dyDescent="0.2">
      <c r="B684" s="304" t="s">
        <v>516</v>
      </c>
      <c r="C684" s="365">
        <v>88426</v>
      </c>
      <c r="D684" s="365">
        <v>0</v>
      </c>
      <c r="E684" s="365">
        <v>88426</v>
      </c>
    </row>
    <row r="685" spans="1:5" ht="15" x14ac:dyDescent="0.2">
      <c r="B685" s="300" t="s">
        <v>517</v>
      </c>
      <c r="C685" s="366">
        <v>70312</v>
      </c>
      <c r="D685" s="366">
        <v>0</v>
      </c>
      <c r="E685" s="366">
        <v>70312</v>
      </c>
    </row>
    <row r="686" spans="1:5" ht="15" x14ac:dyDescent="0.2">
      <c r="B686" s="300" t="s">
        <v>518</v>
      </c>
      <c r="C686" s="366">
        <v>18114</v>
      </c>
      <c r="D686" s="366">
        <v>0</v>
      </c>
      <c r="E686" s="366">
        <v>18114</v>
      </c>
    </row>
    <row r="688" spans="1:5" ht="15.75" customHeight="1" x14ac:dyDescent="0.2">
      <c r="A688" s="388" t="s">
        <v>621</v>
      </c>
      <c r="B688" s="389"/>
      <c r="C688" s="389"/>
      <c r="D688" s="389"/>
      <c r="E688" s="389"/>
    </row>
    <row r="689" spans="1:5" s="308" customFormat="1" ht="14.25" x14ac:dyDescent="0.2">
      <c r="B689" s="304" t="s">
        <v>516</v>
      </c>
      <c r="C689" s="365">
        <v>67806</v>
      </c>
      <c r="D689" s="365">
        <v>0</v>
      </c>
      <c r="E689" s="365">
        <v>67806</v>
      </c>
    </row>
    <row r="690" spans="1:5" ht="15" x14ac:dyDescent="0.2">
      <c r="B690" s="300" t="s">
        <v>517</v>
      </c>
      <c r="C690" s="366">
        <v>45928</v>
      </c>
      <c r="D690" s="366">
        <v>0</v>
      </c>
      <c r="E690" s="366">
        <v>45928</v>
      </c>
    </row>
    <row r="691" spans="1:5" ht="15" x14ac:dyDescent="0.2">
      <c r="B691" s="300" t="s">
        <v>518</v>
      </c>
      <c r="C691" s="366">
        <v>21878</v>
      </c>
      <c r="D691" s="366">
        <v>0</v>
      </c>
      <c r="E691" s="366">
        <v>21878</v>
      </c>
    </row>
    <row r="693" spans="1:5" ht="15.75" customHeight="1" x14ac:dyDescent="0.2">
      <c r="A693" s="388" t="s">
        <v>622</v>
      </c>
      <c r="B693" s="389"/>
      <c r="C693" s="389"/>
      <c r="D693" s="389"/>
      <c r="E693" s="389"/>
    </row>
    <row r="694" spans="1:5" s="308" customFormat="1" ht="14.25" x14ac:dyDescent="0.2">
      <c r="B694" s="304" t="s">
        <v>516</v>
      </c>
      <c r="C694" s="365">
        <v>117176</v>
      </c>
      <c r="D694" s="365">
        <v>0</v>
      </c>
      <c r="E694" s="365">
        <v>117176</v>
      </c>
    </row>
    <row r="695" spans="1:5" ht="15" x14ac:dyDescent="0.2">
      <c r="B695" s="300" t="s">
        <v>517</v>
      </c>
      <c r="C695" s="366">
        <v>87831</v>
      </c>
      <c r="D695" s="366">
        <v>1660</v>
      </c>
      <c r="E695" s="366">
        <v>89491</v>
      </c>
    </row>
    <row r="696" spans="1:5" ht="15" x14ac:dyDescent="0.2">
      <c r="B696" s="300" t="s">
        <v>518</v>
      </c>
      <c r="C696" s="366">
        <v>28045</v>
      </c>
      <c r="D696" s="366">
        <v>-1405</v>
      </c>
      <c r="E696" s="366">
        <v>26640</v>
      </c>
    </row>
    <row r="697" spans="1:5" ht="15" x14ac:dyDescent="0.2">
      <c r="B697" s="300" t="s">
        <v>520</v>
      </c>
      <c r="C697" s="366">
        <v>1300</v>
      </c>
      <c r="D697" s="366">
        <v>-255</v>
      </c>
      <c r="E697" s="366">
        <v>1045</v>
      </c>
    </row>
    <row r="699" spans="1:5" ht="33.75" customHeight="1" x14ac:dyDescent="0.2">
      <c r="A699" s="388" t="s">
        <v>798</v>
      </c>
      <c r="B699" s="389"/>
      <c r="C699" s="389"/>
      <c r="D699" s="389"/>
      <c r="E699" s="389"/>
    </row>
    <row r="700" spans="1:5" s="308" customFormat="1" ht="14.25" x14ac:dyDescent="0.2">
      <c r="B700" s="304" t="s">
        <v>516</v>
      </c>
      <c r="C700" s="365">
        <v>146523</v>
      </c>
      <c r="D700" s="365">
        <v>0</v>
      </c>
      <c r="E700" s="365">
        <v>146523</v>
      </c>
    </row>
    <row r="701" spans="1:5" ht="15" x14ac:dyDescent="0.2">
      <c r="B701" s="300" t="s">
        <v>517</v>
      </c>
      <c r="C701" s="366">
        <v>23935</v>
      </c>
      <c r="D701" s="366">
        <v>0</v>
      </c>
      <c r="E701" s="366">
        <v>23935</v>
      </c>
    </row>
    <row r="702" spans="1:5" ht="15" x14ac:dyDescent="0.2">
      <c r="B702" s="300" t="s">
        <v>518</v>
      </c>
      <c r="C702" s="366">
        <v>5019</v>
      </c>
      <c r="D702" s="366">
        <v>0</v>
      </c>
      <c r="E702" s="366">
        <v>5019</v>
      </c>
    </row>
    <row r="703" spans="1:5" ht="15" x14ac:dyDescent="0.2">
      <c r="B703" s="300" t="s">
        <v>572</v>
      </c>
      <c r="C703" s="366">
        <v>114791</v>
      </c>
      <c r="D703" s="366">
        <v>0</v>
      </c>
      <c r="E703" s="366">
        <v>114791</v>
      </c>
    </row>
    <row r="704" spans="1:5" ht="30" x14ac:dyDescent="0.2">
      <c r="B704" s="300" t="s">
        <v>521</v>
      </c>
      <c r="C704" s="366">
        <v>2778</v>
      </c>
      <c r="D704" s="366">
        <v>0</v>
      </c>
      <c r="E704" s="366">
        <v>2778</v>
      </c>
    </row>
    <row r="706" spans="1:5" ht="15.75" customHeight="1" x14ac:dyDescent="0.2">
      <c r="A706" s="388" t="s">
        <v>623</v>
      </c>
      <c r="B706" s="389"/>
      <c r="C706" s="389"/>
      <c r="D706" s="389"/>
      <c r="E706" s="389"/>
    </row>
    <row r="707" spans="1:5" s="308" customFormat="1" ht="14.25" x14ac:dyDescent="0.2">
      <c r="B707" s="304" t="s">
        <v>516</v>
      </c>
      <c r="C707" s="365">
        <v>234291</v>
      </c>
      <c r="D707" s="365">
        <v>5000</v>
      </c>
      <c r="E707" s="365">
        <v>239291</v>
      </c>
    </row>
    <row r="708" spans="1:5" ht="15" x14ac:dyDescent="0.2">
      <c r="B708" s="300" t="s">
        <v>517</v>
      </c>
      <c r="C708" s="366">
        <v>95245</v>
      </c>
      <c r="D708" s="366">
        <v>0</v>
      </c>
      <c r="E708" s="366">
        <v>95245</v>
      </c>
    </row>
    <row r="709" spans="1:5" ht="15" x14ac:dyDescent="0.2">
      <c r="B709" s="300" t="s">
        <v>518</v>
      </c>
      <c r="C709" s="366">
        <v>9822</v>
      </c>
      <c r="D709" s="366">
        <v>0</v>
      </c>
      <c r="E709" s="366">
        <v>9822</v>
      </c>
    </row>
    <row r="710" spans="1:5" ht="15" x14ac:dyDescent="0.2">
      <c r="B710" s="300" t="s">
        <v>572</v>
      </c>
      <c r="C710" s="366">
        <v>129224</v>
      </c>
      <c r="D710" s="366">
        <v>5000</v>
      </c>
      <c r="E710" s="366">
        <v>134224</v>
      </c>
    </row>
    <row r="712" spans="1:5" ht="15.75" customHeight="1" x14ac:dyDescent="0.2">
      <c r="A712" s="388" t="s">
        <v>624</v>
      </c>
      <c r="B712" s="389"/>
      <c r="C712" s="389"/>
      <c r="D712" s="389"/>
      <c r="E712" s="389"/>
    </row>
    <row r="713" spans="1:5" s="308" customFormat="1" ht="14.25" x14ac:dyDescent="0.2">
      <c r="B713" s="304" t="s">
        <v>516</v>
      </c>
      <c r="C713" s="365">
        <v>289216</v>
      </c>
      <c r="D713" s="365">
        <v>780</v>
      </c>
      <c r="E713" s="365">
        <v>289996</v>
      </c>
    </row>
    <row r="714" spans="1:5" ht="15" x14ac:dyDescent="0.2">
      <c r="B714" s="300" t="s">
        <v>572</v>
      </c>
      <c r="C714" s="366">
        <v>289216</v>
      </c>
      <c r="D714" s="366">
        <v>780</v>
      </c>
      <c r="E714" s="366">
        <v>289996</v>
      </c>
    </row>
    <row r="716" spans="1:5" ht="15.75" customHeight="1" x14ac:dyDescent="0.2">
      <c r="A716" s="388" t="s">
        <v>625</v>
      </c>
      <c r="B716" s="389"/>
      <c r="C716" s="389"/>
      <c r="D716" s="389"/>
      <c r="E716" s="389"/>
    </row>
    <row r="717" spans="1:5" s="308" customFormat="1" ht="14.25" x14ac:dyDescent="0.2">
      <c r="B717" s="304" t="s">
        <v>516</v>
      </c>
      <c r="C717" s="365">
        <v>966574</v>
      </c>
      <c r="D717" s="365">
        <v>-110657</v>
      </c>
      <c r="E717" s="365">
        <v>855917</v>
      </c>
    </row>
    <row r="718" spans="1:5" ht="15" x14ac:dyDescent="0.2">
      <c r="B718" s="300" t="s">
        <v>517</v>
      </c>
      <c r="C718" s="366">
        <v>8425</v>
      </c>
      <c r="D718" s="366">
        <v>204</v>
      </c>
      <c r="E718" s="366">
        <v>8629</v>
      </c>
    </row>
    <row r="719" spans="1:5" ht="15" x14ac:dyDescent="0.2">
      <c r="B719" s="300" t="s">
        <v>572</v>
      </c>
      <c r="C719" s="366">
        <v>958149</v>
      </c>
      <c r="D719" s="366">
        <v>-113113</v>
      </c>
      <c r="E719" s="366">
        <v>845036</v>
      </c>
    </row>
    <row r="720" spans="1:5" ht="30" x14ac:dyDescent="0.2">
      <c r="B720" s="300" t="s">
        <v>521</v>
      </c>
      <c r="C720" s="366">
        <v>0</v>
      </c>
      <c r="D720" s="366">
        <v>2252</v>
      </c>
      <c r="E720" s="366">
        <v>2252</v>
      </c>
    </row>
    <row r="722" spans="1:5" ht="15.75" customHeight="1" x14ac:dyDescent="0.2">
      <c r="A722" s="388" t="s">
        <v>626</v>
      </c>
      <c r="B722" s="389"/>
      <c r="C722" s="389"/>
      <c r="D722" s="389"/>
      <c r="E722" s="389"/>
    </row>
    <row r="723" spans="1:5" s="308" customFormat="1" ht="14.25" x14ac:dyDescent="0.2">
      <c r="B723" s="304" t="s">
        <v>516</v>
      </c>
      <c r="C723" s="365">
        <v>335040</v>
      </c>
      <c r="D723" s="365">
        <v>0</v>
      </c>
      <c r="E723" s="365">
        <v>335040</v>
      </c>
    </row>
    <row r="724" spans="1:5" ht="15" x14ac:dyDescent="0.2">
      <c r="B724" s="300" t="s">
        <v>572</v>
      </c>
      <c r="C724" s="366">
        <v>335040</v>
      </c>
      <c r="D724" s="366">
        <v>0</v>
      </c>
      <c r="E724" s="366">
        <v>335040</v>
      </c>
    </row>
    <row r="726" spans="1:5" ht="15.75" customHeight="1" x14ac:dyDescent="0.2">
      <c r="A726" s="388" t="s">
        <v>627</v>
      </c>
      <c r="B726" s="389"/>
      <c r="C726" s="389"/>
      <c r="D726" s="389"/>
      <c r="E726" s="389"/>
    </row>
    <row r="727" spans="1:5" s="308" customFormat="1" ht="14.25" x14ac:dyDescent="0.2">
      <c r="B727" s="304" t="s">
        <v>516</v>
      </c>
      <c r="C727" s="365">
        <v>9175</v>
      </c>
      <c r="D727" s="365">
        <v>0</v>
      </c>
      <c r="E727" s="365">
        <v>9175</v>
      </c>
    </row>
    <row r="728" spans="1:5" ht="15" x14ac:dyDescent="0.2">
      <c r="B728" s="300" t="s">
        <v>518</v>
      </c>
      <c r="C728" s="366">
        <v>1890</v>
      </c>
      <c r="D728" s="366">
        <v>0</v>
      </c>
      <c r="E728" s="366">
        <v>1890</v>
      </c>
    </row>
    <row r="729" spans="1:5" ht="15" x14ac:dyDescent="0.2">
      <c r="B729" s="300" t="s">
        <v>572</v>
      </c>
      <c r="C729" s="366">
        <v>7285</v>
      </c>
      <c r="D729" s="366">
        <v>0</v>
      </c>
      <c r="E729" s="366">
        <v>7285</v>
      </c>
    </row>
    <row r="731" spans="1:5" ht="31.5" customHeight="1" x14ac:dyDescent="0.2">
      <c r="A731" s="388" t="s">
        <v>628</v>
      </c>
      <c r="B731" s="389"/>
      <c r="C731" s="389"/>
      <c r="D731" s="389"/>
      <c r="E731" s="389"/>
    </row>
    <row r="732" spans="1:5" s="308" customFormat="1" ht="14.25" x14ac:dyDescent="0.2">
      <c r="B732" s="304" t="s">
        <v>516</v>
      </c>
      <c r="C732" s="365">
        <v>67899</v>
      </c>
      <c r="D732" s="365">
        <v>-6500</v>
      </c>
      <c r="E732" s="365">
        <v>61399</v>
      </c>
    </row>
    <row r="733" spans="1:5" ht="15" x14ac:dyDescent="0.2">
      <c r="B733" s="300" t="s">
        <v>572</v>
      </c>
      <c r="C733" s="366">
        <v>67899</v>
      </c>
      <c r="D733" s="366">
        <v>-6500</v>
      </c>
      <c r="E733" s="366">
        <v>61399</v>
      </c>
    </row>
    <row r="735" spans="1:5" ht="15.75" customHeight="1" x14ac:dyDescent="0.2">
      <c r="A735" s="388" t="s">
        <v>629</v>
      </c>
      <c r="B735" s="389"/>
      <c r="C735" s="389"/>
      <c r="D735" s="389"/>
      <c r="E735" s="389"/>
    </row>
    <row r="736" spans="1:5" s="308" customFormat="1" ht="14.25" x14ac:dyDescent="0.2">
      <c r="B736" s="304" t="s">
        <v>516</v>
      </c>
      <c r="C736" s="365">
        <v>92135</v>
      </c>
      <c r="D736" s="365">
        <v>0</v>
      </c>
      <c r="E736" s="365">
        <v>92135</v>
      </c>
    </row>
    <row r="737" spans="1:5" ht="15" x14ac:dyDescent="0.2">
      <c r="B737" s="300" t="s">
        <v>517</v>
      </c>
      <c r="C737" s="366">
        <v>47064</v>
      </c>
      <c r="D737" s="366">
        <v>4830</v>
      </c>
      <c r="E737" s="366">
        <v>51894</v>
      </c>
    </row>
    <row r="738" spans="1:5" ht="15" x14ac:dyDescent="0.2">
      <c r="B738" s="300" t="s">
        <v>518</v>
      </c>
      <c r="C738" s="366">
        <v>45071</v>
      </c>
      <c r="D738" s="366">
        <v>-4830</v>
      </c>
      <c r="E738" s="366">
        <v>40241</v>
      </c>
    </row>
    <row r="740" spans="1:5" ht="15.75" customHeight="1" x14ac:dyDescent="0.2">
      <c r="A740" s="388" t="s">
        <v>630</v>
      </c>
      <c r="B740" s="389"/>
      <c r="C740" s="389"/>
      <c r="D740" s="389"/>
      <c r="E740" s="389"/>
    </row>
    <row r="741" spans="1:5" s="308" customFormat="1" ht="14.25" x14ac:dyDescent="0.2">
      <c r="B741" s="304" t="s">
        <v>516</v>
      </c>
      <c r="C741" s="365">
        <v>15673</v>
      </c>
      <c r="D741" s="365">
        <v>0</v>
      </c>
      <c r="E741" s="365">
        <v>15673</v>
      </c>
    </row>
    <row r="742" spans="1:5" ht="15" x14ac:dyDescent="0.2">
      <c r="B742" s="300" t="s">
        <v>517</v>
      </c>
      <c r="C742" s="366">
        <v>8280</v>
      </c>
      <c r="D742" s="366">
        <v>0</v>
      </c>
      <c r="E742" s="366">
        <v>8280</v>
      </c>
    </row>
    <row r="743" spans="1:5" ht="15" x14ac:dyDescent="0.2">
      <c r="B743" s="300" t="s">
        <v>518</v>
      </c>
      <c r="C743" s="366">
        <v>7393</v>
      </c>
      <c r="D743" s="366">
        <v>0</v>
      </c>
      <c r="E743" s="366">
        <v>7393</v>
      </c>
    </row>
    <row r="745" spans="1:5" ht="15.75" customHeight="1" x14ac:dyDescent="0.2">
      <c r="A745" s="388" t="s">
        <v>631</v>
      </c>
      <c r="B745" s="389"/>
      <c r="C745" s="389"/>
      <c r="D745" s="389"/>
      <c r="E745" s="389"/>
    </row>
    <row r="746" spans="1:5" s="308" customFormat="1" ht="14.25" x14ac:dyDescent="0.2">
      <c r="B746" s="304" t="s">
        <v>516</v>
      </c>
      <c r="C746" s="365">
        <v>263674</v>
      </c>
      <c r="D746" s="365">
        <v>-30520</v>
      </c>
      <c r="E746" s="365">
        <v>233154</v>
      </c>
    </row>
    <row r="747" spans="1:5" ht="15" x14ac:dyDescent="0.2">
      <c r="B747" s="300" t="s">
        <v>517</v>
      </c>
      <c r="C747" s="366">
        <v>179787</v>
      </c>
      <c r="D747" s="366">
        <v>0</v>
      </c>
      <c r="E747" s="366">
        <v>179787</v>
      </c>
    </row>
    <row r="748" spans="1:5" ht="15" x14ac:dyDescent="0.2">
      <c r="B748" s="300" t="s">
        <v>518</v>
      </c>
      <c r="C748" s="366">
        <v>83656</v>
      </c>
      <c r="D748" s="366">
        <v>-30520</v>
      </c>
      <c r="E748" s="366">
        <v>53136</v>
      </c>
    </row>
    <row r="749" spans="1:5" ht="15" x14ac:dyDescent="0.2">
      <c r="B749" s="300" t="s">
        <v>572</v>
      </c>
      <c r="C749" s="366">
        <v>231</v>
      </c>
      <c r="D749" s="366">
        <v>0</v>
      </c>
      <c r="E749" s="366">
        <v>231</v>
      </c>
    </row>
    <row r="751" spans="1:5" ht="15.75" customHeight="1" x14ac:dyDescent="0.2">
      <c r="A751" s="388" t="s">
        <v>632</v>
      </c>
      <c r="B751" s="389"/>
      <c r="C751" s="389"/>
      <c r="D751" s="389"/>
      <c r="E751" s="389"/>
    </row>
    <row r="752" spans="1:5" s="308" customFormat="1" ht="14.25" x14ac:dyDescent="0.2">
      <c r="B752" s="304" t="s">
        <v>516</v>
      </c>
      <c r="C752" s="365">
        <v>1127601</v>
      </c>
      <c r="D752" s="365">
        <v>0</v>
      </c>
      <c r="E752" s="365">
        <v>1127601</v>
      </c>
    </row>
    <row r="753" spans="1:5" ht="15" x14ac:dyDescent="0.2">
      <c r="B753" s="300" t="s">
        <v>517</v>
      </c>
      <c r="C753" s="366">
        <v>961570</v>
      </c>
      <c r="D753" s="366">
        <v>10935</v>
      </c>
      <c r="E753" s="366">
        <v>972505</v>
      </c>
    </row>
    <row r="754" spans="1:5" ht="15" x14ac:dyDescent="0.2">
      <c r="B754" s="300" t="s">
        <v>518</v>
      </c>
      <c r="C754" s="366">
        <v>157203</v>
      </c>
      <c r="D754" s="366">
        <v>-12285</v>
      </c>
      <c r="E754" s="366">
        <v>144918</v>
      </c>
    </row>
    <row r="755" spans="1:5" ht="15" x14ac:dyDescent="0.2">
      <c r="B755" s="300" t="s">
        <v>519</v>
      </c>
      <c r="C755" s="366">
        <v>928</v>
      </c>
      <c r="D755" s="366">
        <v>0</v>
      </c>
      <c r="E755" s="366">
        <v>928</v>
      </c>
    </row>
    <row r="756" spans="1:5" ht="15" x14ac:dyDescent="0.2">
      <c r="B756" s="300" t="s">
        <v>520</v>
      </c>
      <c r="C756" s="366">
        <v>7800</v>
      </c>
      <c r="D756" s="366">
        <v>1350</v>
      </c>
      <c r="E756" s="366">
        <v>9150</v>
      </c>
    </row>
    <row r="757" spans="1:5" ht="30" x14ac:dyDescent="0.2">
      <c r="B757" s="300" t="s">
        <v>521</v>
      </c>
      <c r="C757" s="366">
        <v>100</v>
      </c>
      <c r="D757" s="366">
        <v>0</v>
      </c>
      <c r="E757" s="366">
        <v>100</v>
      </c>
    </row>
    <row r="759" spans="1:5" ht="15.75" customHeight="1" x14ac:dyDescent="0.2">
      <c r="A759" s="388" t="s">
        <v>633</v>
      </c>
      <c r="B759" s="389"/>
      <c r="C759" s="389"/>
      <c r="D759" s="389"/>
      <c r="E759" s="389"/>
    </row>
    <row r="760" spans="1:5" s="308" customFormat="1" ht="14.25" x14ac:dyDescent="0.2">
      <c r="B760" s="304" t="s">
        <v>516</v>
      </c>
      <c r="C760" s="365">
        <v>65000</v>
      </c>
      <c r="D760" s="365">
        <v>10520</v>
      </c>
      <c r="E760" s="365">
        <v>75520</v>
      </c>
    </row>
    <row r="761" spans="1:5" ht="15" x14ac:dyDescent="0.2">
      <c r="B761" s="300" t="s">
        <v>518</v>
      </c>
      <c r="C761" s="366">
        <v>14800</v>
      </c>
      <c r="D761" s="366">
        <v>10520</v>
      </c>
      <c r="E761" s="366">
        <v>25320</v>
      </c>
    </row>
    <row r="762" spans="1:5" ht="15" x14ac:dyDescent="0.2">
      <c r="B762" s="300" t="s">
        <v>572</v>
      </c>
      <c r="C762" s="366">
        <v>50200</v>
      </c>
      <c r="D762" s="366">
        <v>0</v>
      </c>
      <c r="E762" s="366">
        <v>50200</v>
      </c>
    </row>
    <row r="764" spans="1:5" ht="15.75" customHeight="1" x14ac:dyDescent="0.2">
      <c r="A764" s="390" t="s">
        <v>836</v>
      </c>
      <c r="B764" s="391"/>
      <c r="C764" s="391"/>
      <c r="D764" s="391"/>
      <c r="E764" s="391"/>
    </row>
    <row r="765" spans="1:5" ht="14.25" x14ac:dyDescent="0.2">
      <c r="A765" s="307"/>
      <c r="B765" s="358" t="s">
        <v>516</v>
      </c>
      <c r="C765" s="367">
        <v>9173159</v>
      </c>
      <c r="D765" s="367">
        <v>-265961</v>
      </c>
      <c r="E765" s="367">
        <v>8907198</v>
      </c>
    </row>
    <row r="766" spans="1:5" ht="15.75" customHeight="1" x14ac:dyDescent="0.2">
      <c r="A766" s="307"/>
      <c r="B766" s="302" t="s">
        <v>634</v>
      </c>
      <c r="C766" s="364">
        <v>7234119</v>
      </c>
      <c r="D766" s="364">
        <v>596400</v>
      </c>
      <c r="E766" s="364">
        <v>7830519</v>
      </c>
    </row>
    <row r="767" spans="1:5" ht="30" x14ac:dyDescent="0.2">
      <c r="A767" s="307"/>
      <c r="B767" s="302" t="s">
        <v>635</v>
      </c>
      <c r="C767" s="364">
        <v>807335</v>
      </c>
      <c r="D767" s="364">
        <v>43923</v>
      </c>
      <c r="E767" s="364">
        <v>851258</v>
      </c>
    </row>
    <row r="768" spans="1:5" ht="30" x14ac:dyDescent="0.2">
      <c r="A768" s="307"/>
      <c r="B768" s="302" t="s">
        <v>636</v>
      </c>
      <c r="C768" s="364">
        <v>1131705</v>
      </c>
      <c r="D768" s="364">
        <v>-906284</v>
      </c>
      <c r="E768" s="364">
        <v>225421</v>
      </c>
    </row>
    <row r="770" spans="1:5" ht="15.75" customHeight="1" x14ac:dyDescent="0.2">
      <c r="A770" s="388" t="s">
        <v>637</v>
      </c>
      <c r="B770" s="389"/>
      <c r="C770" s="389"/>
      <c r="D770" s="389"/>
      <c r="E770" s="389"/>
    </row>
    <row r="771" spans="1:5" ht="15" x14ac:dyDescent="0.2">
      <c r="B771" s="300" t="s">
        <v>634</v>
      </c>
      <c r="C771" s="366">
        <v>7234119</v>
      </c>
      <c r="D771" s="366">
        <v>596400</v>
      </c>
      <c r="E771" s="366">
        <v>7830519</v>
      </c>
    </row>
    <row r="773" spans="1:5" ht="15.75" customHeight="1" x14ac:dyDescent="0.2">
      <c r="A773" s="388" t="s">
        <v>638</v>
      </c>
      <c r="B773" s="389"/>
      <c r="C773" s="389"/>
      <c r="D773" s="389"/>
      <c r="E773" s="389"/>
    </row>
    <row r="774" spans="1:5" ht="30" x14ac:dyDescent="0.2">
      <c r="B774" s="300" t="s">
        <v>635</v>
      </c>
      <c r="C774" s="366">
        <v>807335</v>
      </c>
      <c r="D774" s="366">
        <v>43923</v>
      </c>
      <c r="E774" s="366">
        <v>851258</v>
      </c>
    </row>
    <row r="776" spans="1:5" ht="15.75" customHeight="1" x14ac:dyDescent="0.2">
      <c r="A776" s="388" t="s">
        <v>639</v>
      </c>
      <c r="B776" s="402"/>
      <c r="C776" s="402"/>
      <c r="D776" s="402"/>
      <c r="E776" s="402"/>
    </row>
    <row r="777" spans="1:5" ht="14.25" x14ac:dyDescent="0.2">
      <c r="A777" s="308"/>
      <c r="B777" s="304" t="s">
        <v>516</v>
      </c>
      <c r="C777" s="365">
        <v>105430010</v>
      </c>
      <c r="D777" s="365">
        <v>4832307</v>
      </c>
      <c r="E777" s="365">
        <v>110262317</v>
      </c>
    </row>
    <row r="778" spans="1:5" ht="14.25" x14ac:dyDescent="0.2">
      <c r="A778" s="308"/>
      <c r="B778" s="304" t="s">
        <v>517</v>
      </c>
      <c r="C778" s="365">
        <v>32190093</v>
      </c>
      <c r="D778" s="365">
        <v>4661819</v>
      </c>
      <c r="E778" s="365">
        <v>36851912</v>
      </c>
    </row>
    <row r="779" spans="1:5" ht="14.25" x14ac:dyDescent="0.2">
      <c r="A779" s="308"/>
      <c r="B779" s="304" t="s">
        <v>518</v>
      </c>
      <c r="C779" s="365">
        <v>17682902</v>
      </c>
      <c r="D779" s="365">
        <v>-181332</v>
      </c>
      <c r="E779" s="365">
        <v>17501570</v>
      </c>
    </row>
    <row r="780" spans="1:5" ht="14.25" x14ac:dyDescent="0.2">
      <c r="A780" s="308"/>
      <c r="B780" s="304" t="s">
        <v>519</v>
      </c>
      <c r="C780" s="365">
        <v>6748312</v>
      </c>
      <c r="D780" s="365">
        <v>935563</v>
      </c>
      <c r="E780" s="365">
        <v>7683875</v>
      </c>
    </row>
    <row r="781" spans="1:5" ht="14.25" x14ac:dyDescent="0.2">
      <c r="A781" s="308"/>
      <c r="B781" s="304" t="s">
        <v>796</v>
      </c>
      <c r="C781" s="365">
        <v>50600</v>
      </c>
      <c r="D781" s="365">
        <v>0</v>
      </c>
      <c r="E781" s="365">
        <v>50600</v>
      </c>
    </row>
    <row r="782" spans="1:5" ht="14.25" x14ac:dyDescent="0.2">
      <c r="A782" s="308"/>
      <c r="B782" s="304" t="s">
        <v>520</v>
      </c>
      <c r="C782" s="365">
        <v>33625613</v>
      </c>
      <c r="D782" s="365">
        <v>-402475</v>
      </c>
      <c r="E782" s="365">
        <v>33223138</v>
      </c>
    </row>
    <row r="783" spans="1:5" ht="14.25" x14ac:dyDescent="0.2">
      <c r="A783" s="308"/>
      <c r="B783" s="304" t="s">
        <v>572</v>
      </c>
      <c r="C783" s="365">
        <v>2921392</v>
      </c>
      <c r="D783" s="365">
        <v>-64166</v>
      </c>
      <c r="E783" s="365">
        <v>2857226</v>
      </c>
    </row>
    <row r="784" spans="1:5" ht="28.5" x14ac:dyDescent="0.2">
      <c r="A784" s="308"/>
      <c r="B784" s="304" t="s">
        <v>521</v>
      </c>
      <c r="C784" s="365">
        <v>3037939</v>
      </c>
      <c r="D784" s="365">
        <v>148859</v>
      </c>
      <c r="E784" s="365">
        <v>3186798</v>
      </c>
    </row>
    <row r="785" spans="1:5" ht="15" customHeight="1" x14ac:dyDescent="0.2">
      <c r="A785" s="308"/>
      <c r="B785" s="304" t="s">
        <v>634</v>
      </c>
      <c r="C785" s="365">
        <v>7234119</v>
      </c>
      <c r="D785" s="365">
        <v>596400</v>
      </c>
      <c r="E785" s="365">
        <v>7830519</v>
      </c>
    </row>
    <row r="786" spans="1:5" ht="28.5" x14ac:dyDescent="0.2">
      <c r="A786" s="308"/>
      <c r="B786" s="304" t="s">
        <v>635</v>
      </c>
      <c r="C786" s="365">
        <v>807335</v>
      </c>
      <c r="D786" s="365">
        <v>43923</v>
      </c>
      <c r="E786" s="365">
        <v>851258</v>
      </c>
    </row>
    <row r="787" spans="1:5" ht="28.5" x14ac:dyDescent="0.2">
      <c r="A787" s="308"/>
      <c r="B787" s="304" t="s">
        <v>636</v>
      </c>
      <c r="C787" s="365">
        <v>1131705</v>
      </c>
      <c r="D787" s="365">
        <v>-906284</v>
      </c>
      <c r="E787" s="365">
        <v>225421</v>
      </c>
    </row>
    <row r="788" spans="1:5" x14ac:dyDescent="0.2">
      <c r="E788" s="369"/>
    </row>
    <row r="790" spans="1:5" ht="18.75" x14ac:dyDescent="0.2">
      <c r="A790" s="15" t="s">
        <v>102</v>
      </c>
      <c r="B790" s="16"/>
      <c r="C790" s="15"/>
      <c r="D790" s="15"/>
      <c r="E790" s="15" t="s">
        <v>103</v>
      </c>
    </row>
  </sheetData>
  <mergeCells count="145">
    <mergeCell ref="A1:B1"/>
    <mergeCell ref="A776:E776"/>
    <mergeCell ref="A773:E773"/>
    <mergeCell ref="A770:E770"/>
    <mergeCell ref="A764:E764"/>
    <mergeCell ref="A759:E759"/>
    <mergeCell ref="A751:E751"/>
    <mergeCell ref="A745:E745"/>
    <mergeCell ref="A740:E740"/>
    <mergeCell ref="A735:E735"/>
    <mergeCell ref="A731:E731"/>
    <mergeCell ref="A726:E726"/>
    <mergeCell ref="A722:E722"/>
    <mergeCell ref="A716:E716"/>
    <mergeCell ref="A712:E712"/>
    <mergeCell ref="A706:E706"/>
    <mergeCell ref="A699:E699"/>
    <mergeCell ref="A693:E693"/>
    <mergeCell ref="A688:E688"/>
    <mergeCell ref="A683:E683"/>
    <mergeCell ref="A678:E678"/>
    <mergeCell ref="A672:E672"/>
    <mergeCell ref="A667:E667"/>
    <mergeCell ref="A663:E663"/>
    <mergeCell ref="A659:E659"/>
    <mergeCell ref="A655:E655"/>
    <mergeCell ref="A651:E651"/>
    <mergeCell ref="A642:E642"/>
    <mergeCell ref="A636:E636"/>
    <mergeCell ref="A631:E631"/>
    <mergeCell ref="A626:E626"/>
    <mergeCell ref="A622:E622"/>
    <mergeCell ref="A617:E617"/>
    <mergeCell ref="A610:E610"/>
    <mergeCell ref="A603:E603"/>
    <mergeCell ref="A597:E597"/>
    <mergeCell ref="A590:E590"/>
    <mergeCell ref="A583:E583"/>
    <mergeCell ref="A576:E576"/>
    <mergeCell ref="A569:E569"/>
    <mergeCell ref="A563:E563"/>
    <mergeCell ref="A555:E555"/>
    <mergeCell ref="A548:E548"/>
    <mergeCell ref="A543:E543"/>
    <mergeCell ref="A534:E534"/>
    <mergeCell ref="A525:E525"/>
    <mergeCell ref="A518:E518"/>
    <mergeCell ref="A510:E510"/>
    <mergeCell ref="A501:E501"/>
    <mergeCell ref="A494:E494"/>
    <mergeCell ref="A489:E489"/>
    <mergeCell ref="A483:E483"/>
    <mergeCell ref="A478:E478"/>
    <mergeCell ref="A471:E471"/>
    <mergeCell ref="A465:E465"/>
    <mergeCell ref="A456:E456"/>
    <mergeCell ref="A448:E448"/>
    <mergeCell ref="A441:E441"/>
    <mergeCell ref="A436:E436"/>
    <mergeCell ref="A431:E431"/>
    <mergeCell ref="A425:E425"/>
    <mergeCell ref="A418:E418"/>
    <mergeCell ref="A411:E411"/>
    <mergeCell ref="A404:E404"/>
    <mergeCell ref="A398:E398"/>
    <mergeCell ref="A391:E391"/>
    <mergeCell ref="A384:E384"/>
    <mergeCell ref="A378:E378"/>
    <mergeCell ref="A372:E372"/>
    <mergeCell ref="A368:E368"/>
    <mergeCell ref="A363:E363"/>
    <mergeCell ref="A358:E358"/>
    <mergeCell ref="A353:E353"/>
    <mergeCell ref="A349:E349"/>
    <mergeCell ref="A345:E345"/>
    <mergeCell ref="A339:E339"/>
    <mergeCell ref="A331:E331"/>
    <mergeCell ref="A324:E324"/>
    <mergeCell ref="A318:E318"/>
    <mergeCell ref="A313:E313"/>
    <mergeCell ref="A308:E308"/>
    <mergeCell ref="A302:E302"/>
    <mergeCell ref="A296:E296"/>
    <mergeCell ref="A288:E288"/>
    <mergeCell ref="A281:E281"/>
    <mergeCell ref="A274:E274"/>
    <mergeCell ref="A268:E268"/>
    <mergeCell ref="A263:E263"/>
    <mergeCell ref="A259:E259"/>
    <mergeCell ref="A255:E255"/>
    <mergeCell ref="A251:E251"/>
    <mergeCell ref="A247:E247"/>
    <mergeCell ref="A243:E243"/>
    <mergeCell ref="A239:E239"/>
    <mergeCell ref="A235:E235"/>
    <mergeCell ref="A230:E230"/>
    <mergeCell ref="A226:E226"/>
    <mergeCell ref="A222:E222"/>
    <mergeCell ref="A218:E218"/>
    <mergeCell ref="A214:E214"/>
    <mergeCell ref="A210:E210"/>
    <mergeCell ref="A205:E205"/>
    <mergeCell ref="A201:E201"/>
    <mergeCell ref="A194:E194"/>
    <mergeCell ref="A189:E189"/>
    <mergeCell ref="A183:E183"/>
    <mergeCell ref="A178:E178"/>
    <mergeCell ref="A169:E169"/>
    <mergeCell ref="A165:E165"/>
    <mergeCell ref="A161:E161"/>
    <mergeCell ref="A156:E156"/>
    <mergeCell ref="A152:E152"/>
    <mergeCell ref="A147:E147"/>
    <mergeCell ref="A143:E143"/>
    <mergeCell ref="A174:E174"/>
    <mergeCell ref="A139:E139"/>
    <mergeCell ref="A131:E131"/>
    <mergeCell ref="A126:E126"/>
    <mergeCell ref="A120:E120"/>
    <mergeCell ref="A116:E116"/>
    <mergeCell ref="A111:E111"/>
    <mergeCell ref="A104:E104"/>
    <mergeCell ref="A98:E98"/>
    <mergeCell ref="A94:E94"/>
    <mergeCell ref="A89:E89"/>
    <mergeCell ref="A85:E85"/>
    <mergeCell ref="A77:E77"/>
    <mergeCell ref="A72:E72"/>
    <mergeCell ref="A68:E68"/>
    <mergeCell ref="A64:E64"/>
    <mergeCell ref="A60:E60"/>
    <mergeCell ref="A56:E56"/>
    <mergeCell ref="A52:E52"/>
    <mergeCell ref="A48:E48"/>
    <mergeCell ref="A42:E42"/>
    <mergeCell ref="A37:E37"/>
    <mergeCell ref="A33:E33"/>
    <mergeCell ref="A28:E28"/>
    <mergeCell ref="A23:E23"/>
    <mergeCell ref="A17:E17"/>
    <mergeCell ref="A8:E8"/>
    <mergeCell ref="C3:E3"/>
    <mergeCell ref="C4:E4"/>
    <mergeCell ref="A6:E6"/>
    <mergeCell ref="A7:B7"/>
  </mergeCells>
  <pageMargins left="0.78740157480314965" right="0.78740157480314965" top="0.78740157480314965" bottom="0.39370078740157483" header="0.19685039370078741" footer="0.11811023622047245"/>
  <pageSetup paperSize="9" scale="90" fitToHeight="0" pageOrder="overThenDown" orientation="portrait" r:id="rId1"/>
  <headerFooter>
    <oddFooter>&amp;R&amp;P</oddFooter>
  </headerFooter>
  <rowBreaks count="6" manualBreakCount="6">
    <brk id="47" max="16383" man="1"/>
    <brk id="93" max="16383" man="1"/>
    <brk id="142" max="16383" man="1"/>
    <brk id="188" max="16383" man="1"/>
    <brk id="403" max="16383" man="1"/>
    <brk id="7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3"/>
  <sheetViews>
    <sheetView zoomScale="90" zoomScaleNormal="9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K3" sqref="K3"/>
    </sheetView>
  </sheetViews>
  <sheetFormatPr defaultRowHeight="12.75" x14ac:dyDescent="0.2"/>
  <cols>
    <col min="1" max="1" width="3.28515625" style="180" customWidth="1"/>
    <col min="2" max="2" width="10.140625" style="185" customWidth="1"/>
    <col min="3" max="3" width="42.140625" style="186" customWidth="1"/>
    <col min="4" max="4" width="4.140625" style="186" customWidth="1"/>
    <col min="5" max="5" width="12.7109375" style="186" customWidth="1"/>
    <col min="6" max="6" width="10.42578125" style="180" customWidth="1"/>
    <col min="7" max="7" width="11" style="180" customWidth="1"/>
    <col min="8" max="11" width="11.140625" style="180" customWidth="1"/>
    <col min="12" max="13" width="10.85546875" style="180" customWidth="1"/>
    <col min="14" max="14" width="11" style="180" customWidth="1"/>
    <col min="15" max="15" width="12.28515625" style="180" customWidth="1"/>
    <col min="16" max="19" width="11.140625" style="180" customWidth="1"/>
    <col min="20" max="23" width="11.7109375" style="180" customWidth="1"/>
    <col min="24" max="24" width="13.140625" style="180" customWidth="1"/>
    <col min="25" max="16384" width="9.140625" style="180"/>
  </cols>
  <sheetData>
    <row r="1" spans="1:24" x14ac:dyDescent="0.2">
      <c r="B1" s="181"/>
      <c r="C1" s="182"/>
      <c r="D1" s="182"/>
      <c r="E1" s="182"/>
      <c r="F1" s="183"/>
      <c r="G1" s="183"/>
      <c r="H1" s="184"/>
      <c r="K1" s="122" t="s">
        <v>641</v>
      </c>
    </row>
    <row r="2" spans="1:24" ht="15" x14ac:dyDescent="0.25">
      <c r="B2" s="181"/>
      <c r="C2" s="182"/>
      <c r="D2" s="182"/>
      <c r="E2" s="182"/>
      <c r="F2" s="183"/>
      <c r="G2" s="183"/>
      <c r="H2" s="184"/>
      <c r="K2" s="123" t="s">
        <v>883</v>
      </c>
    </row>
    <row r="3" spans="1:24" ht="15" x14ac:dyDescent="0.25">
      <c r="K3" s="123" t="s">
        <v>885</v>
      </c>
    </row>
    <row r="4" spans="1:24" ht="18" customHeight="1" x14ac:dyDescent="0.25">
      <c r="A4" s="479" t="s">
        <v>767</v>
      </c>
      <c r="B4" s="479"/>
      <c r="C4" s="479"/>
      <c r="D4" s="479"/>
      <c r="E4" s="479"/>
      <c r="F4" s="479"/>
      <c r="G4" s="479"/>
      <c r="H4" s="479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4" s="186" customFormat="1" ht="12.75" customHeight="1" x14ac:dyDescent="0.25">
      <c r="A5" s="480" t="s">
        <v>642</v>
      </c>
      <c r="B5" s="482" t="s">
        <v>643</v>
      </c>
      <c r="C5" s="484" t="s">
        <v>644</v>
      </c>
      <c r="D5" s="188"/>
      <c r="E5" s="188" t="s">
        <v>645</v>
      </c>
      <c r="F5" s="188" t="s">
        <v>646</v>
      </c>
      <c r="G5" s="188" t="s">
        <v>647</v>
      </c>
      <c r="H5" s="189"/>
      <c r="I5" s="189"/>
      <c r="J5" s="189"/>
      <c r="K5" s="189"/>
      <c r="L5" s="189"/>
      <c r="M5" s="189"/>
      <c r="N5" s="189"/>
      <c r="O5" s="189"/>
      <c r="P5" s="189"/>
      <c r="Q5" s="190"/>
      <c r="R5" s="190"/>
      <c r="S5" s="190"/>
      <c r="T5" s="190"/>
      <c r="U5" s="190"/>
      <c r="V5" s="190"/>
      <c r="W5" s="190"/>
      <c r="X5" s="191" t="s">
        <v>648</v>
      </c>
    </row>
    <row r="6" spans="1:24" s="186" customFormat="1" x14ac:dyDescent="0.25">
      <c r="A6" s="481"/>
      <c r="B6" s="483"/>
      <c r="C6" s="485"/>
      <c r="D6" s="192"/>
      <c r="E6" s="192" t="s">
        <v>649</v>
      </c>
      <c r="F6" s="192" t="s">
        <v>650</v>
      </c>
      <c r="G6" s="192" t="s">
        <v>10</v>
      </c>
      <c r="H6" s="192">
        <v>2020</v>
      </c>
      <c r="I6" s="192">
        <f t="shared" ref="I6:V6" si="0">SUM(H6+1)</f>
        <v>2021</v>
      </c>
      <c r="J6" s="192">
        <f t="shared" si="0"/>
        <v>2022</v>
      </c>
      <c r="K6" s="192">
        <f t="shared" si="0"/>
        <v>2023</v>
      </c>
      <c r="L6" s="192">
        <f t="shared" si="0"/>
        <v>2024</v>
      </c>
      <c r="M6" s="192">
        <f t="shared" si="0"/>
        <v>2025</v>
      </c>
      <c r="N6" s="192">
        <f t="shared" si="0"/>
        <v>2026</v>
      </c>
      <c r="O6" s="192">
        <f t="shared" si="0"/>
        <v>2027</v>
      </c>
      <c r="P6" s="192">
        <f t="shared" si="0"/>
        <v>2028</v>
      </c>
      <c r="Q6" s="192">
        <f t="shared" si="0"/>
        <v>2029</v>
      </c>
      <c r="R6" s="192">
        <f t="shared" si="0"/>
        <v>2030</v>
      </c>
      <c r="S6" s="192">
        <f t="shared" si="0"/>
        <v>2031</v>
      </c>
      <c r="T6" s="192">
        <f t="shared" si="0"/>
        <v>2032</v>
      </c>
      <c r="U6" s="192">
        <f t="shared" si="0"/>
        <v>2033</v>
      </c>
      <c r="V6" s="192">
        <f t="shared" si="0"/>
        <v>2034</v>
      </c>
      <c r="W6" s="193" t="s">
        <v>814</v>
      </c>
      <c r="X6" s="194" t="s">
        <v>651</v>
      </c>
    </row>
    <row r="7" spans="1:24" s="185" customFormat="1" ht="12.75" customHeight="1" x14ac:dyDescent="0.2">
      <c r="A7" s="414">
        <v>1</v>
      </c>
      <c r="B7" s="310" t="s">
        <v>652</v>
      </c>
      <c r="C7" s="457" t="s">
        <v>653</v>
      </c>
      <c r="D7" s="457">
        <v>648</v>
      </c>
      <c r="E7" s="463">
        <v>45201391.5</v>
      </c>
      <c r="F7" s="461" t="s">
        <v>654</v>
      </c>
      <c r="G7" s="314" t="s">
        <v>655</v>
      </c>
      <c r="H7" s="281">
        <v>5489516</v>
      </c>
      <c r="I7" s="281">
        <v>5307920</v>
      </c>
      <c r="J7" s="281">
        <v>4563372</v>
      </c>
      <c r="K7" s="281">
        <v>4178496</v>
      </c>
      <c r="L7" s="281">
        <v>3888532</v>
      </c>
      <c r="M7" s="281">
        <v>3795232</v>
      </c>
      <c r="N7" s="281">
        <v>3470364</v>
      </c>
      <c r="O7" s="281">
        <v>1653540</v>
      </c>
      <c r="P7" s="281">
        <v>1134524</v>
      </c>
      <c r="Q7" s="281">
        <v>936532</v>
      </c>
      <c r="R7" s="281">
        <v>747604</v>
      </c>
      <c r="S7" s="281">
        <v>747604</v>
      </c>
      <c r="T7" s="281">
        <v>747604</v>
      </c>
      <c r="U7" s="281">
        <v>725552</v>
      </c>
      <c r="V7" s="282">
        <v>269152</v>
      </c>
      <c r="W7" s="282">
        <v>0</v>
      </c>
      <c r="X7" s="124">
        <f t="shared" ref="X7:X38" si="1">SUM(H7:W7)</f>
        <v>37655544</v>
      </c>
    </row>
    <row r="8" spans="1:24" s="185" customFormat="1" x14ac:dyDescent="0.2">
      <c r="A8" s="415"/>
      <c r="B8" s="125" t="s">
        <v>656</v>
      </c>
      <c r="C8" s="458"/>
      <c r="D8" s="458"/>
      <c r="E8" s="464"/>
      <c r="F8" s="462"/>
      <c r="G8" s="126">
        <v>2.5000000000000001E-3</v>
      </c>
      <c r="H8" s="279">
        <v>93055.4</v>
      </c>
      <c r="I8" s="284">
        <v>87120</v>
      </c>
      <c r="J8" s="284">
        <v>79680</v>
      </c>
      <c r="K8" s="284">
        <v>65920</v>
      </c>
      <c r="L8" s="284">
        <v>53485</v>
      </c>
      <c r="M8" s="284">
        <v>41515</v>
      </c>
      <c r="N8" s="284">
        <v>30165</v>
      </c>
      <c r="O8" s="284">
        <v>20710</v>
      </c>
      <c r="P8" s="284">
        <v>15750</v>
      </c>
      <c r="Q8" s="284">
        <v>12295</v>
      </c>
      <c r="R8" s="284">
        <v>9530</v>
      </c>
      <c r="S8" s="284">
        <v>7225</v>
      </c>
      <c r="T8" s="284">
        <v>4965</v>
      </c>
      <c r="U8" s="284">
        <v>2690</v>
      </c>
      <c r="V8" s="285">
        <f>770</f>
        <v>770</v>
      </c>
      <c r="W8" s="285">
        <f>50-5</f>
        <v>45</v>
      </c>
      <c r="X8" s="127">
        <f t="shared" si="1"/>
        <v>524920.4</v>
      </c>
    </row>
    <row r="9" spans="1:24" s="185" customFormat="1" ht="12.75" customHeight="1" x14ac:dyDescent="0.2">
      <c r="A9" s="453">
        <v>2</v>
      </c>
      <c r="B9" s="128" t="s">
        <v>652</v>
      </c>
      <c r="C9" s="472" t="s">
        <v>657</v>
      </c>
      <c r="D9" s="476">
        <v>628</v>
      </c>
      <c r="E9" s="474">
        <v>119421</v>
      </c>
      <c r="F9" s="478" t="s">
        <v>658</v>
      </c>
      <c r="G9" s="315" t="s">
        <v>655</v>
      </c>
      <c r="H9" s="316">
        <v>6728</v>
      </c>
      <c r="I9" s="316">
        <v>6728</v>
      </c>
      <c r="J9" s="316">
        <v>6728</v>
      </c>
      <c r="K9" s="316">
        <v>6728</v>
      </c>
      <c r="L9" s="316">
        <v>6728</v>
      </c>
      <c r="M9" s="316">
        <v>6728</v>
      </c>
      <c r="N9" s="316">
        <v>6728</v>
      </c>
      <c r="O9" s="129">
        <v>6728</v>
      </c>
      <c r="P9" s="316">
        <v>6728</v>
      </c>
      <c r="Q9" s="316">
        <v>6728</v>
      </c>
      <c r="R9" s="316">
        <v>6728</v>
      </c>
      <c r="S9" s="316">
        <v>6728</v>
      </c>
      <c r="T9" s="316">
        <v>6728</v>
      </c>
      <c r="U9" s="317">
        <v>6728</v>
      </c>
      <c r="V9" s="317">
        <v>6728</v>
      </c>
      <c r="W9" s="317">
        <v>1682</v>
      </c>
      <c r="X9" s="124">
        <f t="shared" si="1"/>
        <v>102602</v>
      </c>
    </row>
    <row r="10" spans="1:24" s="185" customFormat="1" x14ac:dyDescent="0.2">
      <c r="A10" s="454"/>
      <c r="B10" s="130" t="s">
        <v>659</v>
      </c>
      <c r="C10" s="473"/>
      <c r="D10" s="477"/>
      <c r="E10" s="475"/>
      <c r="F10" s="477"/>
      <c r="G10" s="126">
        <v>2.5000000000000001E-3</v>
      </c>
      <c r="H10" s="318">
        <v>257.68</v>
      </c>
      <c r="I10" s="287">
        <v>280</v>
      </c>
      <c r="J10" s="287">
        <v>270</v>
      </c>
      <c r="K10" s="287">
        <v>250</v>
      </c>
      <c r="L10" s="287">
        <v>230</v>
      </c>
      <c r="M10" s="287">
        <v>210</v>
      </c>
      <c r="N10" s="287">
        <v>190</v>
      </c>
      <c r="O10" s="131">
        <v>170</v>
      </c>
      <c r="P10" s="287">
        <v>150</v>
      </c>
      <c r="Q10" s="287">
        <v>125</v>
      </c>
      <c r="R10" s="287">
        <v>105</v>
      </c>
      <c r="S10" s="287">
        <v>85</v>
      </c>
      <c r="T10" s="287">
        <v>65</v>
      </c>
      <c r="U10" s="319">
        <v>45</v>
      </c>
      <c r="V10" s="319">
        <v>25</v>
      </c>
      <c r="W10" s="319">
        <v>5</v>
      </c>
      <c r="X10" s="127">
        <f t="shared" si="1"/>
        <v>2462.6800000000003</v>
      </c>
    </row>
    <row r="11" spans="1:24" s="185" customFormat="1" ht="12.75" customHeight="1" x14ac:dyDescent="0.2">
      <c r="A11" s="439">
        <v>3</v>
      </c>
      <c r="B11" s="311" t="s">
        <v>652</v>
      </c>
      <c r="C11" s="430" t="s">
        <v>660</v>
      </c>
      <c r="D11" s="427">
        <v>629</v>
      </c>
      <c r="E11" s="443">
        <v>463710</v>
      </c>
      <c r="F11" s="427" t="s">
        <v>661</v>
      </c>
      <c r="G11" s="320" t="s">
        <v>655</v>
      </c>
      <c r="H11" s="321">
        <v>25412</v>
      </c>
      <c r="I11" s="321">
        <v>25412</v>
      </c>
      <c r="J11" s="321">
        <v>25412</v>
      </c>
      <c r="K11" s="321">
        <v>25412</v>
      </c>
      <c r="L11" s="321">
        <v>25412</v>
      </c>
      <c r="M11" s="321">
        <v>25412</v>
      </c>
      <c r="N11" s="321">
        <v>25412</v>
      </c>
      <c r="O11" s="132">
        <v>25412</v>
      </c>
      <c r="P11" s="321">
        <v>25412</v>
      </c>
      <c r="Q11" s="321">
        <v>25412</v>
      </c>
      <c r="R11" s="321">
        <v>25412</v>
      </c>
      <c r="S11" s="321">
        <v>25412</v>
      </c>
      <c r="T11" s="321">
        <v>25412</v>
      </c>
      <c r="U11" s="322">
        <v>25412</v>
      </c>
      <c r="V11" s="322">
        <v>25412</v>
      </c>
      <c r="W11" s="322">
        <v>6353</v>
      </c>
      <c r="X11" s="124">
        <f t="shared" si="1"/>
        <v>387533</v>
      </c>
    </row>
    <row r="12" spans="1:24" s="185" customFormat="1" x14ac:dyDescent="0.2">
      <c r="A12" s="440"/>
      <c r="B12" s="312" t="s">
        <v>662</v>
      </c>
      <c r="C12" s="431"/>
      <c r="D12" s="417"/>
      <c r="E12" s="444"/>
      <c r="F12" s="417"/>
      <c r="G12" s="126">
        <v>2.5000000000000001E-3</v>
      </c>
      <c r="H12" s="323">
        <v>973.25</v>
      </c>
      <c r="I12" s="288">
        <v>1045</v>
      </c>
      <c r="J12" s="288">
        <v>1015</v>
      </c>
      <c r="K12" s="288">
        <v>935</v>
      </c>
      <c r="L12" s="288">
        <v>865</v>
      </c>
      <c r="M12" s="288">
        <v>785</v>
      </c>
      <c r="N12" s="288">
        <v>705</v>
      </c>
      <c r="O12" s="133">
        <v>630</v>
      </c>
      <c r="P12" s="288">
        <v>555</v>
      </c>
      <c r="Q12" s="288">
        <v>475</v>
      </c>
      <c r="R12" s="288">
        <v>395</v>
      </c>
      <c r="S12" s="288">
        <v>320</v>
      </c>
      <c r="T12" s="288">
        <v>240</v>
      </c>
      <c r="U12" s="324">
        <v>165</v>
      </c>
      <c r="V12" s="324">
        <v>85</v>
      </c>
      <c r="W12" s="324">
        <v>15</v>
      </c>
      <c r="X12" s="127">
        <f t="shared" si="1"/>
        <v>9203.25</v>
      </c>
    </row>
    <row r="13" spans="1:24" s="195" customFormat="1" ht="12.75" customHeight="1" x14ac:dyDescent="0.2">
      <c r="A13" s="453">
        <v>4</v>
      </c>
      <c r="B13" s="128" t="s">
        <v>652</v>
      </c>
      <c r="C13" s="472" t="s">
        <v>663</v>
      </c>
      <c r="D13" s="472">
        <v>630</v>
      </c>
      <c r="E13" s="474">
        <v>162998</v>
      </c>
      <c r="F13" s="476" t="s">
        <v>664</v>
      </c>
      <c r="G13" s="315" t="s">
        <v>655</v>
      </c>
      <c r="H13" s="134">
        <v>6950.39</v>
      </c>
      <c r="I13" s="135">
        <v>6976</v>
      </c>
      <c r="J13" s="135">
        <v>6976</v>
      </c>
      <c r="K13" s="135">
        <v>6976</v>
      </c>
      <c r="L13" s="135">
        <v>6976</v>
      </c>
      <c r="M13" s="135">
        <v>6976</v>
      </c>
      <c r="N13" s="135">
        <v>6976</v>
      </c>
      <c r="O13" s="135">
        <v>6976</v>
      </c>
      <c r="P13" s="135">
        <v>6976</v>
      </c>
      <c r="Q13" s="135">
        <v>6976</v>
      </c>
      <c r="R13" s="135">
        <v>6976</v>
      </c>
      <c r="S13" s="135">
        <v>6976</v>
      </c>
      <c r="T13" s="135">
        <v>6976</v>
      </c>
      <c r="U13" s="135">
        <v>6976</v>
      </c>
      <c r="V13" s="135">
        <v>6976</v>
      </c>
      <c r="W13" s="135">
        <v>3488</v>
      </c>
      <c r="X13" s="124">
        <f t="shared" si="1"/>
        <v>108102.39</v>
      </c>
    </row>
    <row r="14" spans="1:24" s="185" customFormat="1" x14ac:dyDescent="0.2">
      <c r="A14" s="454"/>
      <c r="B14" s="130" t="s">
        <v>665</v>
      </c>
      <c r="C14" s="473"/>
      <c r="D14" s="473"/>
      <c r="E14" s="475"/>
      <c r="F14" s="477"/>
      <c r="G14" s="126">
        <v>2.5000000000000001E-3</v>
      </c>
      <c r="H14" s="318">
        <v>270.79000000000002</v>
      </c>
      <c r="I14" s="136">
        <v>280</v>
      </c>
      <c r="J14" s="136">
        <v>285</v>
      </c>
      <c r="K14" s="136">
        <v>265</v>
      </c>
      <c r="L14" s="136">
        <v>245</v>
      </c>
      <c r="M14" s="136">
        <v>220</v>
      </c>
      <c r="N14" s="136">
        <v>200</v>
      </c>
      <c r="O14" s="136">
        <v>180</v>
      </c>
      <c r="P14" s="136">
        <v>160</v>
      </c>
      <c r="Q14" s="136">
        <v>135</v>
      </c>
      <c r="R14" s="136">
        <v>115</v>
      </c>
      <c r="S14" s="136">
        <v>95</v>
      </c>
      <c r="T14" s="136">
        <v>75</v>
      </c>
      <c r="U14" s="137">
        <v>50</v>
      </c>
      <c r="V14" s="137">
        <v>30</v>
      </c>
      <c r="W14" s="137">
        <v>10</v>
      </c>
      <c r="X14" s="127">
        <f t="shared" si="1"/>
        <v>2615.79</v>
      </c>
    </row>
    <row r="15" spans="1:24" s="185" customFormat="1" ht="12.75" customHeight="1" x14ac:dyDescent="0.2">
      <c r="A15" s="439">
        <v>5</v>
      </c>
      <c r="B15" s="311" t="s">
        <v>666</v>
      </c>
      <c r="C15" s="430" t="s">
        <v>667</v>
      </c>
      <c r="D15" s="430">
        <v>631</v>
      </c>
      <c r="E15" s="443">
        <f>89504-0.24</f>
        <v>89503.76</v>
      </c>
      <c r="F15" s="427" t="s">
        <v>668</v>
      </c>
      <c r="G15" s="320" t="s">
        <v>655</v>
      </c>
      <c r="H15" s="138">
        <v>5116</v>
      </c>
      <c r="I15" s="138">
        <v>5116</v>
      </c>
      <c r="J15" s="138">
        <v>5116</v>
      </c>
      <c r="K15" s="138">
        <v>5116</v>
      </c>
      <c r="L15" s="138">
        <v>5116</v>
      </c>
      <c r="M15" s="138">
        <v>5116</v>
      </c>
      <c r="N15" s="138">
        <v>5116</v>
      </c>
      <c r="O15" s="138">
        <v>5116</v>
      </c>
      <c r="P15" s="138">
        <v>5116</v>
      </c>
      <c r="Q15" s="138">
        <v>5116</v>
      </c>
      <c r="R15" s="138">
        <v>5116</v>
      </c>
      <c r="S15" s="138">
        <v>5116</v>
      </c>
      <c r="T15" s="138">
        <v>5116</v>
      </c>
      <c r="U15" s="139">
        <f>5116</f>
        <v>5116</v>
      </c>
      <c r="V15" s="139">
        <v>5116</v>
      </c>
      <c r="W15" s="139">
        <v>2557.7600000000002</v>
      </c>
      <c r="X15" s="124">
        <f t="shared" si="1"/>
        <v>79297.759999999995</v>
      </c>
    </row>
    <row r="16" spans="1:24" s="185" customFormat="1" x14ac:dyDescent="0.2">
      <c r="A16" s="440"/>
      <c r="B16" s="312" t="s">
        <v>669</v>
      </c>
      <c r="C16" s="431"/>
      <c r="D16" s="431"/>
      <c r="E16" s="444"/>
      <c r="F16" s="417"/>
      <c r="G16" s="126">
        <v>2.5000000000000001E-3</v>
      </c>
      <c r="H16" s="323">
        <v>199.18</v>
      </c>
      <c r="I16" s="140">
        <v>205</v>
      </c>
      <c r="J16" s="140">
        <v>210</v>
      </c>
      <c r="K16" s="140">
        <v>195</v>
      </c>
      <c r="L16" s="140">
        <v>180</v>
      </c>
      <c r="M16" s="140">
        <v>165</v>
      </c>
      <c r="N16" s="140">
        <v>150</v>
      </c>
      <c r="O16" s="140">
        <v>130</v>
      </c>
      <c r="P16" s="140">
        <v>115</v>
      </c>
      <c r="Q16" s="140">
        <v>100</v>
      </c>
      <c r="R16" s="140">
        <v>85</v>
      </c>
      <c r="S16" s="140">
        <v>70</v>
      </c>
      <c r="T16" s="140">
        <v>55</v>
      </c>
      <c r="U16" s="141">
        <v>40</v>
      </c>
      <c r="V16" s="141">
        <v>25</v>
      </c>
      <c r="W16" s="141">
        <v>5</v>
      </c>
      <c r="X16" s="127">
        <f t="shared" si="1"/>
        <v>1929.18</v>
      </c>
    </row>
    <row r="17" spans="1:24" s="185" customFormat="1" ht="16.5" customHeight="1" x14ac:dyDescent="0.2">
      <c r="A17" s="453">
        <v>6</v>
      </c>
      <c r="B17" s="311" t="s">
        <v>652</v>
      </c>
      <c r="C17" s="472" t="s">
        <v>670</v>
      </c>
      <c r="D17" s="472">
        <v>632</v>
      </c>
      <c r="E17" s="474">
        <v>1331708.19</v>
      </c>
      <c r="F17" s="476" t="s">
        <v>671</v>
      </c>
      <c r="G17" s="320" t="s">
        <v>655</v>
      </c>
      <c r="H17" s="316">
        <v>4000</v>
      </c>
      <c r="I17" s="316">
        <v>4000</v>
      </c>
      <c r="J17" s="316">
        <v>20000</v>
      </c>
      <c r="K17" s="316">
        <v>20000</v>
      </c>
      <c r="L17" s="316">
        <v>20000</v>
      </c>
      <c r="M17" s="316">
        <v>20000</v>
      </c>
      <c r="N17" s="316">
        <v>50000</v>
      </c>
      <c r="O17" s="129">
        <v>79000</v>
      </c>
      <c r="P17" s="316">
        <v>79000</v>
      </c>
      <c r="Q17" s="316">
        <v>79000</v>
      </c>
      <c r="R17" s="316">
        <v>79000</v>
      </c>
      <c r="S17" s="316">
        <v>79000</v>
      </c>
      <c r="T17" s="325">
        <v>79000</v>
      </c>
      <c r="U17" s="326">
        <f>79000</f>
        <v>79000</v>
      </c>
      <c r="V17" s="326">
        <v>79000</v>
      </c>
      <c r="W17" s="326">
        <v>59250</v>
      </c>
      <c r="X17" s="124">
        <f t="shared" si="1"/>
        <v>829250</v>
      </c>
    </row>
    <row r="18" spans="1:24" s="185" customFormat="1" ht="16.5" customHeight="1" x14ac:dyDescent="0.2">
      <c r="A18" s="454"/>
      <c r="B18" s="312" t="s">
        <v>672</v>
      </c>
      <c r="C18" s="473"/>
      <c r="D18" s="473"/>
      <c r="E18" s="475"/>
      <c r="F18" s="477"/>
      <c r="G18" s="126">
        <v>2.5000000000000001E-3</v>
      </c>
      <c r="H18" s="318">
        <v>2105.84</v>
      </c>
      <c r="I18" s="287">
        <v>2200</v>
      </c>
      <c r="J18" s="287">
        <v>2490</v>
      </c>
      <c r="K18" s="287">
        <v>2430</v>
      </c>
      <c r="L18" s="287">
        <v>2375</v>
      </c>
      <c r="M18" s="287">
        <v>2310</v>
      </c>
      <c r="N18" s="287">
        <v>2230</v>
      </c>
      <c r="O18" s="131">
        <v>2065</v>
      </c>
      <c r="P18" s="287">
        <v>1835</v>
      </c>
      <c r="Q18" s="287">
        <v>1585</v>
      </c>
      <c r="R18" s="287">
        <v>1345</v>
      </c>
      <c r="S18" s="287">
        <v>1105</v>
      </c>
      <c r="T18" s="287">
        <v>870</v>
      </c>
      <c r="U18" s="319">
        <v>625</v>
      </c>
      <c r="V18" s="319">
        <v>385</v>
      </c>
      <c r="W18" s="319">
        <v>145</v>
      </c>
      <c r="X18" s="127">
        <f t="shared" si="1"/>
        <v>26100.84</v>
      </c>
    </row>
    <row r="19" spans="1:24" s="185" customFormat="1" ht="12.75" customHeight="1" x14ac:dyDescent="0.2">
      <c r="A19" s="439">
        <v>7</v>
      </c>
      <c r="B19" s="128" t="s">
        <v>652</v>
      </c>
      <c r="C19" s="471" t="s">
        <v>416</v>
      </c>
      <c r="D19" s="430">
        <v>633</v>
      </c>
      <c r="E19" s="455">
        <f>8339124-3412924+1558975</f>
        <v>6485175</v>
      </c>
      <c r="F19" s="427" t="s">
        <v>673</v>
      </c>
      <c r="G19" s="320" t="s">
        <v>655</v>
      </c>
      <c r="H19" s="327">
        <f>351497.79+750.21</f>
        <v>352248</v>
      </c>
      <c r="I19" s="142">
        <v>1000</v>
      </c>
      <c r="J19" s="142">
        <v>5000</v>
      </c>
      <c r="K19" s="142">
        <v>5000</v>
      </c>
      <c r="L19" s="142">
        <v>8000</v>
      </c>
      <c r="M19" s="142">
        <v>20000</v>
      </c>
      <c r="N19" s="142">
        <v>60000</v>
      </c>
      <c r="O19" s="142">
        <v>238000</v>
      </c>
      <c r="P19" s="142">
        <v>238000</v>
      </c>
      <c r="Q19" s="142">
        <v>304544</v>
      </c>
      <c r="R19" s="142">
        <v>304544</v>
      </c>
      <c r="S19" s="142">
        <v>304544</v>
      </c>
      <c r="T19" s="142">
        <v>304544</v>
      </c>
      <c r="U19" s="142">
        <v>304544</v>
      </c>
      <c r="V19" s="142">
        <v>304544</v>
      </c>
      <c r="W19" s="142">
        <v>3730663</v>
      </c>
      <c r="X19" s="124">
        <f t="shared" si="1"/>
        <v>6485175</v>
      </c>
    </row>
    <row r="20" spans="1:24" s="185" customFormat="1" ht="15" customHeight="1" x14ac:dyDescent="0.2">
      <c r="A20" s="440"/>
      <c r="B20" s="312" t="s">
        <v>674</v>
      </c>
      <c r="C20" s="442"/>
      <c r="D20" s="431"/>
      <c r="E20" s="456"/>
      <c r="F20" s="417"/>
      <c r="G20" s="126">
        <v>2.5000000000000001E-3</v>
      </c>
      <c r="H20" s="328">
        <v>16048.48</v>
      </c>
      <c r="I20" s="143">
        <v>17105</v>
      </c>
      <c r="J20" s="143">
        <v>18650</v>
      </c>
      <c r="K20" s="143">
        <v>18635</v>
      </c>
      <c r="L20" s="143">
        <v>18670</v>
      </c>
      <c r="M20" s="143">
        <v>18590</v>
      </c>
      <c r="N20" s="143">
        <v>18505</v>
      </c>
      <c r="O20" s="143">
        <v>18215</v>
      </c>
      <c r="P20" s="143">
        <v>17570</v>
      </c>
      <c r="Q20" s="143">
        <v>16755</v>
      </c>
      <c r="R20" s="143">
        <v>15840</v>
      </c>
      <c r="S20" s="143">
        <v>14910</v>
      </c>
      <c r="T20" s="143">
        <v>14025</v>
      </c>
      <c r="U20" s="143">
        <v>13060</v>
      </c>
      <c r="V20" s="143">
        <v>12135</v>
      </c>
      <c r="W20" s="143">
        <v>73535</v>
      </c>
      <c r="X20" s="127">
        <f t="shared" si="1"/>
        <v>322248.48</v>
      </c>
    </row>
    <row r="21" spans="1:24" s="185" customFormat="1" ht="12.75" customHeight="1" x14ac:dyDescent="0.2">
      <c r="A21" s="453">
        <v>8</v>
      </c>
      <c r="B21" s="128" t="s">
        <v>652</v>
      </c>
      <c r="C21" s="471" t="s">
        <v>675</v>
      </c>
      <c r="D21" s="430">
        <v>634</v>
      </c>
      <c r="E21" s="443">
        <f>206622-0.62</f>
        <v>206621.38</v>
      </c>
      <c r="F21" s="427" t="s">
        <v>676</v>
      </c>
      <c r="G21" s="320" t="s">
        <v>655</v>
      </c>
      <c r="H21" s="142">
        <v>1000</v>
      </c>
      <c r="I21" s="142">
        <v>1000</v>
      </c>
      <c r="J21" s="142">
        <v>13640</v>
      </c>
      <c r="K21" s="142">
        <v>13640</v>
      </c>
      <c r="L21" s="142">
        <v>13640</v>
      </c>
      <c r="M21" s="142">
        <v>13640</v>
      </c>
      <c r="N21" s="142">
        <v>13640</v>
      </c>
      <c r="O21" s="142">
        <v>13640</v>
      </c>
      <c r="P21" s="142">
        <v>13640</v>
      </c>
      <c r="Q21" s="142">
        <v>13640</v>
      </c>
      <c r="R21" s="142">
        <v>13640</v>
      </c>
      <c r="S21" s="142">
        <v>13640</v>
      </c>
      <c r="T21" s="142">
        <v>13640</v>
      </c>
      <c r="U21" s="144">
        <v>13640</v>
      </c>
      <c r="V21" s="144">
        <v>13640</v>
      </c>
      <c r="W21" s="148">
        <f>27302-0.62</f>
        <v>27301.38</v>
      </c>
      <c r="X21" s="124">
        <f t="shared" si="1"/>
        <v>206621.38</v>
      </c>
    </row>
    <row r="22" spans="1:24" s="185" customFormat="1" x14ac:dyDescent="0.2">
      <c r="A22" s="454"/>
      <c r="B22" s="312" t="s">
        <v>677</v>
      </c>
      <c r="C22" s="442"/>
      <c r="D22" s="431"/>
      <c r="E22" s="444"/>
      <c r="F22" s="417"/>
      <c r="G22" s="126">
        <v>2.5000000000000001E-3</v>
      </c>
      <c r="H22" s="328">
        <v>524.59</v>
      </c>
      <c r="I22" s="143">
        <v>575</v>
      </c>
      <c r="J22" s="143">
        <v>615</v>
      </c>
      <c r="K22" s="143">
        <v>575</v>
      </c>
      <c r="L22" s="143">
        <v>535</v>
      </c>
      <c r="M22" s="143">
        <v>495</v>
      </c>
      <c r="N22" s="143">
        <v>455</v>
      </c>
      <c r="O22" s="143">
        <v>410</v>
      </c>
      <c r="P22" s="143">
        <v>370</v>
      </c>
      <c r="Q22" s="143">
        <v>330</v>
      </c>
      <c r="R22" s="143">
        <v>285</v>
      </c>
      <c r="S22" s="143">
        <v>245</v>
      </c>
      <c r="T22" s="143">
        <v>205</v>
      </c>
      <c r="U22" s="145">
        <v>160</v>
      </c>
      <c r="V22" s="145">
        <v>120</v>
      </c>
      <c r="W22" s="145">
        <v>115</v>
      </c>
      <c r="X22" s="127">
        <f t="shared" si="1"/>
        <v>6014.59</v>
      </c>
    </row>
    <row r="23" spans="1:24" s="185" customFormat="1" ht="12.75" customHeight="1" x14ac:dyDescent="0.2">
      <c r="A23" s="439">
        <v>9</v>
      </c>
      <c r="B23" s="128" t="s">
        <v>652</v>
      </c>
      <c r="C23" s="441" t="s">
        <v>678</v>
      </c>
      <c r="D23" s="430">
        <v>635</v>
      </c>
      <c r="E23" s="469">
        <v>307624.96000000002</v>
      </c>
      <c r="F23" s="427" t="s">
        <v>679</v>
      </c>
      <c r="G23" s="320" t="s">
        <v>655</v>
      </c>
      <c r="H23" s="329">
        <v>750</v>
      </c>
      <c r="I23" s="329">
        <v>1000</v>
      </c>
      <c r="J23" s="329">
        <v>5000</v>
      </c>
      <c r="K23" s="329">
        <v>5000</v>
      </c>
      <c r="L23" s="329">
        <v>10000</v>
      </c>
      <c r="M23" s="329">
        <v>23824</v>
      </c>
      <c r="N23" s="329">
        <v>23824</v>
      </c>
      <c r="O23" s="146">
        <v>23824</v>
      </c>
      <c r="P23" s="329">
        <v>23824</v>
      </c>
      <c r="Q23" s="329">
        <v>23824</v>
      </c>
      <c r="R23" s="329">
        <v>23824</v>
      </c>
      <c r="S23" s="329">
        <v>23824</v>
      </c>
      <c r="T23" s="321">
        <v>23824</v>
      </c>
      <c r="U23" s="321">
        <f>23824</f>
        <v>23824</v>
      </c>
      <c r="V23" s="321">
        <v>23824</v>
      </c>
      <c r="W23" s="321">
        <v>47634.96</v>
      </c>
      <c r="X23" s="124">
        <f t="shared" si="1"/>
        <v>307624.96000000002</v>
      </c>
    </row>
    <row r="24" spans="1:24" s="185" customFormat="1" x14ac:dyDescent="0.2">
      <c r="A24" s="440"/>
      <c r="B24" s="312" t="s">
        <v>680</v>
      </c>
      <c r="C24" s="442"/>
      <c r="D24" s="431"/>
      <c r="E24" s="470"/>
      <c r="F24" s="417"/>
      <c r="G24" s="126">
        <v>2.5000000000000001E-3</v>
      </c>
      <c r="H24" s="323">
        <v>781.58</v>
      </c>
      <c r="I24" s="288">
        <v>860</v>
      </c>
      <c r="J24" s="288">
        <v>930</v>
      </c>
      <c r="K24" s="288">
        <v>915</v>
      </c>
      <c r="L24" s="288">
        <v>900</v>
      </c>
      <c r="M24" s="288">
        <v>860</v>
      </c>
      <c r="N24" s="288">
        <v>790</v>
      </c>
      <c r="O24" s="133">
        <v>715</v>
      </c>
      <c r="P24" s="288">
        <v>645</v>
      </c>
      <c r="Q24" s="288">
        <v>570</v>
      </c>
      <c r="R24" s="288">
        <v>500</v>
      </c>
      <c r="S24" s="288">
        <v>425</v>
      </c>
      <c r="T24" s="288">
        <v>355</v>
      </c>
      <c r="U24" s="288">
        <v>280</v>
      </c>
      <c r="V24" s="288">
        <v>210</v>
      </c>
      <c r="W24" s="288">
        <v>200</v>
      </c>
      <c r="X24" s="127">
        <f t="shared" si="1"/>
        <v>9936.58</v>
      </c>
    </row>
    <row r="25" spans="1:24" s="185" customFormat="1" ht="12.75" customHeight="1" x14ac:dyDescent="0.2">
      <c r="A25" s="453">
        <v>10</v>
      </c>
      <c r="B25" s="128" t="s">
        <v>652</v>
      </c>
      <c r="C25" s="441" t="s">
        <v>681</v>
      </c>
      <c r="D25" s="430">
        <v>636</v>
      </c>
      <c r="E25" s="469">
        <v>69989</v>
      </c>
      <c r="F25" s="427" t="s">
        <v>679</v>
      </c>
      <c r="G25" s="320" t="s">
        <v>655</v>
      </c>
      <c r="H25" s="329">
        <v>1000</v>
      </c>
      <c r="I25" s="329">
        <v>1000</v>
      </c>
      <c r="J25" s="329">
        <v>1000</v>
      </c>
      <c r="K25" s="329">
        <v>2000</v>
      </c>
      <c r="L25" s="329">
        <v>2000</v>
      </c>
      <c r="M25" s="329">
        <v>5000</v>
      </c>
      <c r="N25" s="329">
        <v>5272</v>
      </c>
      <c r="O25" s="146">
        <v>5272</v>
      </c>
      <c r="P25" s="329">
        <v>5272</v>
      </c>
      <c r="Q25" s="329">
        <v>5272</v>
      </c>
      <c r="R25" s="329">
        <v>5272</v>
      </c>
      <c r="S25" s="329">
        <v>5272</v>
      </c>
      <c r="T25" s="329">
        <v>5272</v>
      </c>
      <c r="U25" s="329">
        <v>5272</v>
      </c>
      <c r="V25" s="329">
        <v>5272</v>
      </c>
      <c r="W25" s="329">
        <v>10541</v>
      </c>
      <c r="X25" s="124">
        <f t="shared" si="1"/>
        <v>69989</v>
      </c>
    </row>
    <row r="26" spans="1:24" s="185" customFormat="1" x14ac:dyDescent="0.2">
      <c r="A26" s="454"/>
      <c r="B26" s="312" t="s">
        <v>682</v>
      </c>
      <c r="C26" s="442"/>
      <c r="D26" s="431"/>
      <c r="E26" s="470"/>
      <c r="F26" s="417"/>
      <c r="G26" s="126">
        <v>2.5000000000000001E-3</v>
      </c>
      <c r="H26" s="323">
        <v>177.32</v>
      </c>
      <c r="I26" s="288">
        <v>195</v>
      </c>
      <c r="J26" s="288">
        <v>210</v>
      </c>
      <c r="K26" s="288">
        <v>205</v>
      </c>
      <c r="L26" s="288">
        <v>200</v>
      </c>
      <c r="M26" s="288">
        <v>190</v>
      </c>
      <c r="N26" s="288">
        <v>175</v>
      </c>
      <c r="O26" s="133">
        <v>160</v>
      </c>
      <c r="P26" s="288">
        <v>145</v>
      </c>
      <c r="Q26" s="288">
        <v>130</v>
      </c>
      <c r="R26" s="288">
        <v>110</v>
      </c>
      <c r="S26" s="288">
        <v>95</v>
      </c>
      <c r="T26" s="288">
        <v>80</v>
      </c>
      <c r="U26" s="288">
        <v>65</v>
      </c>
      <c r="V26" s="288">
        <v>50</v>
      </c>
      <c r="W26" s="288">
        <f>45-5</f>
        <v>40</v>
      </c>
      <c r="X26" s="127">
        <f t="shared" si="1"/>
        <v>2227.3199999999997</v>
      </c>
    </row>
    <row r="27" spans="1:24" s="185" customFormat="1" ht="12.75" customHeight="1" x14ac:dyDescent="0.2">
      <c r="A27" s="414">
        <v>11</v>
      </c>
      <c r="B27" s="311" t="s">
        <v>652</v>
      </c>
      <c r="C27" s="441" t="s">
        <v>683</v>
      </c>
      <c r="D27" s="441">
        <v>637</v>
      </c>
      <c r="E27" s="443">
        <v>212555.77</v>
      </c>
      <c r="F27" s="427" t="s">
        <v>684</v>
      </c>
      <c r="G27" s="314" t="s">
        <v>655</v>
      </c>
      <c r="H27" s="142">
        <v>750</v>
      </c>
      <c r="I27" s="142">
        <v>1000</v>
      </c>
      <c r="J27" s="142">
        <v>1000</v>
      </c>
      <c r="K27" s="142">
        <v>2000</v>
      </c>
      <c r="L27" s="142">
        <v>2000</v>
      </c>
      <c r="M27" s="142">
        <v>2000</v>
      </c>
      <c r="N27" s="142">
        <v>5000</v>
      </c>
      <c r="O27" s="142">
        <v>19920</v>
      </c>
      <c r="P27" s="142">
        <v>19920</v>
      </c>
      <c r="Q27" s="142">
        <v>19920</v>
      </c>
      <c r="R27" s="142">
        <v>19920</v>
      </c>
      <c r="S27" s="142">
        <v>19920</v>
      </c>
      <c r="T27" s="147">
        <v>19920</v>
      </c>
      <c r="U27" s="148">
        <v>19920</v>
      </c>
      <c r="V27" s="148">
        <v>19920</v>
      </c>
      <c r="W27" s="148">
        <v>39445.769999999997</v>
      </c>
      <c r="X27" s="124">
        <f t="shared" si="1"/>
        <v>212555.77</v>
      </c>
    </row>
    <row r="28" spans="1:24" s="185" customFormat="1" x14ac:dyDescent="0.2">
      <c r="A28" s="415"/>
      <c r="B28" s="312" t="s">
        <v>685</v>
      </c>
      <c r="C28" s="442"/>
      <c r="D28" s="442"/>
      <c r="E28" s="444"/>
      <c r="F28" s="417"/>
      <c r="G28" s="126">
        <v>2.5000000000000001E-3</v>
      </c>
      <c r="H28" s="328">
        <v>540.04999999999995</v>
      </c>
      <c r="I28" s="143">
        <v>565</v>
      </c>
      <c r="J28" s="143">
        <v>645</v>
      </c>
      <c r="K28" s="143">
        <v>640</v>
      </c>
      <c r="L28" s="143">
        <v>635</v>
      </c>
      <c r="M28" s="143">
        <v>630</v>
      </c>
      <c r="N28" s="143">
        <v>620</v>
      </c>
      <c r="O28" s="143">
        <v>595</v>
      </c>
      <c r="P28" s="143">
        <v>540</v>
      </c>
      <c r="Q28" s="143">
        <v>475</v>
      </c>
      <c r="R28" s="143">
        <v>415</v>
      </c>
      <c r="S28" s="143">
        <v>355</v>
      </c>
      <c r="T28" s="143">
        <v>295</v>
      </c>
      <c r="U28" s="145">
        <v>235</v>
      </c>
      <c r="V28" s="145">
        <v>175</v>
      </c>
      <c r="W28" s="145">
        <v>165</v>
      </c>
      <c r="X28" s="127">
        <f t="shared" si="1"/>
        <v>7525.05</v>
      </c>
    </row>
    <row r="29" spans="1:24" s="196" customFormat="1" ht="18" customHeight="1" x14ac:dyDescent="0.2">
      <c r="A29" s="453">
        <v>12</v>
      </c>
      <c r="B29" s="311" t="s">
        <v>652</v>
      </c>
      <c r="C29" s="441" t="s">
        <v>686</v>
      </c>
      <c r="D29" s="441">
        <v>638</v>
      </c>
      <c r="E29" s="443">
        <v>1496459</v>
      </c>
      <c r="F29" s="427" t="s">
        <v>687</v>
      </c>
      <c r="G29" s="314" t="s">
        <v>655</v>
      </c>
      <c r="H29" s="142">
        <v>750</v>
      </c>
      <c r="I29" s="142">
        <v>1000</v>
      </c>
      <c r="J29" s="142">
        <v>3000</v>
      </c>
      <c r="K29" s="142">
        <v>5000</v>
      </c>
      <c r="L29" s="142">
        <v>5000</v>
      </c>
      <c r="M29" s="142">
        <v>10000</v>
      </c>
      <c r="N29" s="142">
        <v>20000</v>
      </c>
      <c r="O29" s="142">
        <v>50000</v>
      </c>
      <c r="P29" s="142">
        <v>50000</v>
      </c>
      <c r="Q29" s="142">
        <v>50000</v>
      </c>
      <c r="R29" s="142">
        <v>69458</v>
      </c>
      <c r="S29" s="142">
        <v>75944</v>
      </c>
      <c r="T29" s="147">
        <v>75944</v>
      </c>
      <c r="U29" s="148">
        <f>75944</f>
        <v>75944</v>
      </c>
      <c r="V29" s="148">
        <v>75944</v>
      </c>
      <c r="W29" s="148">
        <v>928475</v>
      </c>
      <c r="X29" s="124">
        <f t="shared" si="1"/>
        <v>1496459</v>
      </c>
    </row>
    <row r="30" spans="1:24" s="196" customFormat="1" ht="18" customHeight="1" x14ac:dyDescent="0.2">
      <c r="A30" s="454"/>
      <c r="B30" s="312" t="s">
        <v>688</v>
      </c>
      <c r="C30" s="442"/>
      <c r="D30" s="442"/>
      <c r="E30" s="444"/>
      <c r="F30" s="417"/>
      <c r="G30" s="126">
        <v>2.5000000000000001E-3</v>
      </c>
      <c r="H30" s="328">
        <v>3803.31</v>
      </c>
      <c r="I30" s="143">
        <f>4550-565</f>
        <v>3985</v>
      </c>
      <c r="J30" s="143">
        <v>4545</v>
      </c>
      <c r="K30" s="143">
        <v>4535</v>
      </c>
      <c r="L30" s="143">
        <v>4535</v>
      </c>
      <c r="M30" s="143">
        <v>4505</v>
      </c>
      <c r="N30" s="143">
        <v>4470</v>
      </c>
      <c r="O30" s="143">
        <v>4390</v>
      </c>
      <c r="P30" s="143">
        <v>4255</v>
      </c>
      <c r="Q30" s="143">
        <v>4090</v>
      </c>
      <c r="R30" s="143">
        <v>3930</v>
      </c>
      <c r="S30" s="143">
        <v>3715</v>
      </c>
      <c r="T30" s="143">
        <v>3495</v>
      </c>
      <c r="U30" s="145">
        <v>3255</v>
      </c>
      <c r="V30" s="145">
        <v>3020</v>
      </c>
      <c r="W30" s="145">
        <v>18270</v>
      </c>
      <c r="X30" s="127">
        <f t="shared" si="1"/>
        <v>78798.31</v>
      </c>
    </row>
    <row r="31" spans="1:24" s="196" customFormat="1" ht="12.75" customHeight="1" x14ac:dyDescent="0.2">
      <c r="A31" s="439">
        <v>13</v>
      </c>
      <c r="B31" s="311" t="s">
        <v>652</v>
      </c>
      <c r="C31" s="441" t="s">
        <v>689</v>
      </c>
      <c r="D31" s="441">
        <v>639</v>
      </c>
      <c r="E31" s="443">
        <v>520249</v>
      </c>
      <c r="F31" s="427" t="s">
        <v>690</v>
      </c>
      <c r="G31" s="314" t="s">
        <v>655</v>
      </c>
      <c r="H31" s="142">
        <v>300</v>
      </c>
      <c r="I31" s="142">
        <v>1000</v>
      </c>
      <c r="J31" s="142">
        <v>2000</v>
      </c>
      <c r="K31" s="142">
        <v>2000</v>
      </c>
      <c r="L31" s="142">
        <v>5000</v>
      </c>
      <c r="M31" s="142">
        <v>5000</v>
      </c>
      <c r="N31" s="142">
        <v>10000</v>
      </c>
      <c r="O31" s="142">
        <v>45000</v>
      </c>
      <c r="P31" s="142">
        <v>45000</v>
      </c>
      <c r="Q31" s="142">
        <v>45000</v>
      </c>
      <c r="R31" s="142">
        <v>45000</v>
      </c>
      <c r="S31" s="142">
        <v>45000</v>
      </c>
      <c r="T31" s="147">
        <v>45000</v>
      </c>
      <c r="U31" s="148">
        <v>45000</v>
      </c>
      <c r="V31" s="148">
        <v>45000</v>
      </c>
      <c r="W31" s="148">
        <v>134949</v>
      </c>
      <c r="X31" s="124">
        <f t="shared" si="1"/>
        <v>520249</v>
      </c>
    </row>
    <row r="32" spans="1:24" s="196" customFormat="1" x14ac:dyDescent="0.2">
      <c r="A32" s="440"/>
      <c r="B32" s="312" t="s">
        <v>691</v>
      </c>
      <c r="C32" s="442"/>
      <c r="D32" s="442"/>
      <c r="E32" s="444"/>
      <c r="F32" s="417"/>
      <c r="G32" s="126">
        <v>2.5000000000000001E-3</v>
      </c>
      <c r="H32" s="328">
        <v>1322.22</v>
      </c>
      <c r="I32" s="143">
        <f>1585-200</f>
        <v>1385</v>
      </c>
      <c r="J32" s="143">
        <v>1580</v>
      </c>
      <c r="K32" s="143">
        <v>1575</v>
      </c>
      <c r="L32" s="143">
        <v>1570</v>
      </c>
      <c r="M32" s="143">
        <v>1550</v>
      </c>
      <c r="N32" s="143">
        <v>1535</v>
      </c>
      <c r="O32" s="143">
        <v>1480</v>
      </c>
      <c r="P32" s="143">
        <v>1355</v>
      </c>
      <c r="Q32" s="143">
        <v>1215</v>
      </c>
      <c r="R32" s="143">
        <v>1075</v>
      </c>
      <c r="S32" s="143">
        <v>940</v>
      </c>
      <c r="T32" s="143">
        <v>805</v>
      </c>
      <c r="U32" s="145">
        <v>665</v>
      </c>
      <c r="V32" s="145">
        <v>530</v>
      </c>
      <c r="W32" s="145">
        <f>750-5</f>
        <v>745</v>
      </c>
      <c r="X32" s="127">
        <f t="shared" si="1"/>
        <v>19327.22</v>
      </c>
    </row>
    <row r="33" spans="1:24" s="185" customFormat="1" ht="12.75" customHeight="1" x14ac:dyDescent="0.2">
      <c r="A33" s="453">
        <v>14</v>
      </c>
      <c r="B33" s="311" t="s">
        <v>652</v>
      </c>
      <c r="C33" s="441" t="s">
        <v>692</v>
      </c>
      <c r="D33" s="441">
        <v>640</v>
      </c>
      <c r="E33" s="443">
        <f>409900-0.21</f>
        <v>409899.79</v>
      </c>
      <c r="F33" s="427" t="s">
        <v>693</v>
      </c>
      <c r="G33" s="314" t="s">
        <v>655</v>
      </c>
      <c r="H33" s="142">
        <v>300</v>
      </c>
      <c r="I33" s="142">
        <v>1000</v>
      </c>
      <c r="J33" s="142">
        <v>2000</v>
      </c>
      <c r="K33" s="142">
        <v>2000</v>
      </c>
      <c r="L33" s="142">
        <v>5000</v>
      </c>
      <c r="M33" s="142">
        <v>5000</v>
      </c>
      <c r="N33" s="142">
        <v>10000</v>
      </c>
      <c r="O33" s="142">
        <v>34964</v>
      </c>
      <c r="P33" s="142">
        <v>34964</v>
      </c>
      <c r="Q33" s="142">
        <v>34964</v>
      </c>
      <c r="R33" s="142">
        <v>34964</v>
      </c>
      <c r="S33" s="142">
        <v>34964</v>
      </c>
      <c r="T33" s="147">
        <v>34964</v>
      </c>
      <c r="U33" s="148">
        <v>34964</v>
      </c>
      <c r="V33" s="148">
        <v>34964</v>
      </c>
      <c r="W33" s="148">
        <f>104888-0.21</f>
        <v>104887.79</v>
      </c>
      <c r="X33" s="124">
        <f t="shared" si="1"/>
        <v>409899.79</v>
      </c>
    </row>
    <row r="34" spans="1:24" s="185" customFormat="1" x14ac:dyDescent="0.2">
      <c r="A34" s="454"/>
      <c r="B34" s="312" t="s">
        <v>694</v>
      </c>
      <c r="C34" s="442"/>
      <c r="D34" s="442"/>
      <c r="E34" s="444"/>
      <c r="F34" s="417"/>
      <c r="G34" s="126">
        <v>2.5000000000000001E-3</v>
      </c>
      <c r="H34" s="328">
        <v>1041.75</v>
      </c>
      <c r="I34" s="143">
        <v>1250</v>
      </c>
      <c r="J34" s="143">
        <v>1245</v>
      </c>
      <c r="K34" s="143">
        <v>1240</v>
      </c>
      <c r="L34" s="143">
        <v>1235</v>
      </c>
      <c r="M34" s="143">
        <v>1215</v>
      </c>
      <c r="N34" s="143">
        <v>1195</v>
      </c>
      <c r="O34" s="143">
        <v>1150</v>
      </c>
      <c r="P34" s="143">
        <v>1055</v>
      </c>
      <c r="Q34" s="143">
        <v>945</v>
      </c>
      <c r="R34" s="143">
        <v>835</v>
      </c>
      <c r="S34" s="143">
        <v>730</v>
      </c>
      <c r="T34" s="143">
        <v>625</v>
      </c>
      <c r="U34" s="145">
        <v>520</v>
      </c>
      <c r="V34" s="145">
        <v>410</v>
      </c>
      <c r="W34" s="145">
        <f>600-5</f>
        <v>595</v>
      </c>
      <c r="X34" s="127">
        <f t="shared" si="1"/>
        <v>15286.75</v>
      </c>
    </row>
    <row r="35" spans="1:24" s="185" customFormat="1" ht="17.25" customHeight="1" x14ac:dyDescent="0.2">
      <c r="A35" s="439">
        <v>15</v>
      </c>
      <c r="B35" s="311" t="s">
        <v>652</v>
      </c>
      <c r="C35" s="467" t="s">
        <v>695</v>
      </c>
      <c r="D35" s="441">
        <v>641</v>
      </c>
      <c r="E35" s="443">
        <f>157928-30001.8</f>
        <v>127926.2</v>
      </c>
      <c r="F35" s="427" t="s">
        <v>696</v>
      </c>
      <c r="G35" s="314" t="s">
        <v>655</v>
      </c>
      <c r="H35" s="354">
        <f>38592+2347.04+1005.87</f>
        <v>41944.91</v>
      </c>
      <c r="I35" s="329">
        <v>38592</v>
      </c>
      <c r="J35" s="355">
        <f>38592.2-2347.04-1005.87</f>
        <v>35239.289999999994</v>
      </c>
      <c r="K35" s="329"/>
      <c r="L35" s="329"/>
      <c r="M35" s="329"/>
      <c r="N35" s="329"/>
      <c r="O35" s="146"/>
      <c r="P35" s="329"/>
      <c r="Q35" s="329"/>
      <c r="R35" s="329"/>
      <c r="S35" s="329"/>
      <c r="T35" s="329"/>
      <c r="U35" s="330"/>
      <c r="V35" s="330"/>
      <c r="W35" s="330"/>
      <c r="X35" s="124">
        <f t="shared" si="1"/>
        <v>115776.2</v>
      </c>
    </row>
    <row r="36" spans="1:24" s="185" customFormat="1" ht="17.25" customHeight="1" x14ac:dyDescent="0.2">
      <c r="A36" s="440"/>
      <c r="B36" s="312" t="s">
        <v>697</v>
      </c>
      <c r="C36" s="468"/>
      <c r="D36" s="442"/>
      <c r="E36" s="444"/>
      <c r="F36" s="417"/>
      <c r="G36" s="126">
        <v>2.5000000000000001E-3</v>
      </c>
      <c r="H36" s="323">
        <v>276.49</v>
      </c>
      <c r="I36" s="288">
        <f>220-10</f>
        <v>210</v>
      </c>
      <c r="J36" s="288">
        <f>100</f>
        <v>100</v>
      </c>
      <c r="K36" s="288"/>
      <c r="L36" s="288"/>
      <c r="M36" s="288"/>
      <c r="N36" s="288"/>
      <c r="O36" s="133"/>
      <c r="P36" s="288"/>
      <c r="Q36" s="288"/>
      <c r="R36" s="288"/>
      <c r="S36" s="288"/>
      <c r="T36" s="288"/>
      <c r="U36" s="324"/>
      <c r="V36" s="324"/>
      <c r="W36" s="324"/>
      <c r="X36" s="127">
        <f t="shared" si="1"/>
        <v>586.49</v>
      </c>
    </row>
    <row r="37" spans="1:24" s="185" customFormat="1" ht="12.75" customHeight="1" x14ac:dyDescent="0.2">
      <c r="A37" s="453">
        <v>16</v>
      </c>
      <c r="B37" s="311" t="s">
        <v>652</v>
      </c>
      <c r="C37" s="465" t="s">
        <v>698</v>
      </c>
      <c r="D37" s="441">
        <v>642</v>
      </c>
      <c r="E37" s="443">
        <f>231313-0.12</f>
        <v>231312.88</v>
      </c>
      <c r="F37" s="427" t="s">
        <v>699</v>
      </c>
      <c r="G37" s="314" t="s">
        <v>655</v>
      </c>
      <c r="H37" s="329">
        <v>0</v>
      </c>
      <c r="I37" s="329">
        <v>6000</v>
      </c>
      <c r="J37" s="329">
        <v>6000</v>
      </c>
      <c r="K37" s="329">
        <v>14620</v>
      </c>
      <c r="L37" s="329">
        <v>14620</v>
      </c>
      <c r="M37" s="329">
        <v>14620</v>
      </c>
      <c r="N37" s="329">
        <v>14620</v>
      </c>
      <c r="O37" s="281">
        <v>14620</v>
      </c>
      <c r="P37" s="329">
        <v>14620</v>
      </c>
      <c r="Q37" s="329">
        <v>14620</v>
      </c>
      <c r="R37" s="329">
        <v>14620</v>
      </c>
      <c r="S37" s="329">
        <v>14620</v>
      </c>
      <c r="T37" s="329">
        <v>14620</v>
      </c>
      <c r="U37" s="329">
        <f>14620</f>
        <v>14620</v>
      </c>
      <c r="V37" s="329">
        <v>14620</v>
      </c>
      <c r="W37" s="321">
        <f>43873-0.12</f>
        <v>43872.88</v>
      </c>
      <c r="X37" s="124">
        <f t="shared" si="1"/>
        <v>231312.88</v>
      </c>
    </row>
    <row r="38" spans="1:24" s="185" customFormat="1" ht="15" customHeight="1" x14ac:dyDescent="0.2">
      <c r="A38" s="454"/>
      <c r="B38" s="312" t="s">
        <v>700</v>
      </c>
      <c r="C38" s="466"/>
      <c r="D38" s="442"/>
      <c r="E38" s="444"/>
      <c r="F38" s="417"/>
      <c r="G38" s="126">
        <v>2.5000000000000001E-3</v>
      </c>
      <c r="H38" s="323">
        <v>587.91999999999996</v>
      </c>
      <c r="I38" s="288">
        <v>700</v>
      </c>
      <c r="J38" s="288">
        <v>685</v>
      </c>
      <c r="K38" s="288">
        <v>660</v>
      </c>
      <c r="L38" s="288">
        <v>620</v>
      </c>
      <c r="M38" s="288">
        <v>575</v>
      </c>
      <c r="N38" s="288">
        <v>530</v>
      </c>
      <c r="O38" s="284">
        <v>485</v>
      </c>
      <c r="P38" s="288">
        <v>440</v>
      </c>
      <c r="Q38" s="288">
        <v>395</v>
      </c>
      <c r="R38" s="288">
        <v>350</v>
      </c>
      <c r="S38" s="288">
        <v>305</v>
      </c>
      <c r="T38" s="288">
        <v>265</v>
      </c>
      <c r="U38" s="288">
        <v>220</v>
      </c>
      <c r="V38" s="288">
        <v>175</v>
      </c>
      <c r="W38" s="288">
        <v>250</v>
      </c>
      <c r="X38" s="127">
        <f t="shared" si="1"/>
        <v>7242.92</v>
      </c>
    </row>
    <row r="39" spans="1:24" s="185" customFormat="1" ht="15.75" customHeight="1" x14ac:dyDescent="0.2">
      <c r="A39" s="439">
        <v>17</v>
      </c>
      <c r="B39" s="311" t="s">
        <v>652</v>
      </c>
      <c r="C39" s="465" t="s">
        <v>701</v>
      </c>
      <c r="D39" s="441">
        <v>643</v>
      </c>
      <c r="E39" s="443">
        <f>65353+64222+85311-80000-1794.36</f>
        <v>133091.64000000001</v>
      </c>
      <c r="F39" s="427" t="s">
        <v>702</v>
      </c>
      <c r="G39" s="314" t="s">
        <v>655</v>
      </c>
      <c r="H39" s="280">
        <f>29319.12+12565.33</f>
        <v>41884.449999999997</v>
      </c>
      <c r="I39" s="286">
        <v>500.19</v>
      </c>
      <c r="J39" s="281">
        <v>1000</v>
      </c>
      <c r="K39" s="281">
        <v>2000</v>
      </c>
      <c r="L39" s="281">
        <v>21928</v>
      </c>
      <c r="M39" s="281">
        <v>21928</v>
      </c>
      <c r="N39" s="281">
        <v>21928</v>
      </c>
      <c r="O39" s="286">
        <v>21923</v>
      </c>
      <c r="P39" s="329"/>
      <c r="Q39" s="329"/>
      <c r="R39" s="329"/>
      <c r="S39" s="329"/>
      <c r="T39" s="329"/>
      <c r="U39" s="330"/>
      <c r="V39" s="330"/>
      <c r="W39" s="330"/>
      <c r="X39" s="124">
        <f t="shared" ref="X39:X70" si="2">SUM(H39:W39)</f>
        <v>133091.64000000001</v>
      </c>
    </row>
    <row r="40" spans="1:24" s="185" customFormat="1" ht="15.75" customHeight="1" x14ac:dyDescent="0.2">
      <c r="A40" s="440"/>
      <c r="B40" s="312" t="s">
        <v>703</v>
      </c>
      <c r="C40" s="466"/>
      <c r="D40" s="442"/>
      <c r="E40" s="444"/>
      <c r="F40" s="417"/>
      <c r="G40" s="126">
        <v>2.5000000000000001E-3</v>
      </c>
      <c r="H40" s="279">
        <v>262.94</v>
      </c>
      <c r="I40" s="284">
        <v>280</v>
      </c>
      <c r="J40" s="284">
        <v>280</v>
      </c>
      <c r="K40" s="284">
        <v>275</v>
      </c>
      <c r="L40" s="284">
        <v>255</v>
      </c>
      <c r="M40" s="284">
        <v>190</v>
      </c>
      <c r="N40" s="284">
        <v>125</v>
      </c>
      <c r="O40" s="284">
        <v>60</v>
      </c>
      <c r="P40" s="288"/>
      <c r="Q40" s="288"/>
      <c r="R40" s="288"/>
      <c r="S40" s="288"/>
      <c r="T40" s="288"/>
      <c r="U40" s="324"/>
      <c r="V40" s="324"/>
      <c r="W40" s="324"/>
      <c r="X40" s="127">
        <f t="shared" si="2"/>
        <v>1727.94</v>
      </c>
    </row>
    <row r="41" spans="1:24" s="185" customFormat="1" ht="12.75" customHeight="1" x14ac:dyDescent="0.2">
      <c r="A41" s="453">
        <v>18</v>
      </c>
      <c r="B41" s="311" t="s">
        <v>652</v>
      </c>
      <c r="C41" s="441" t="s">
        <v>704</v>
      </c>
      <c r="D41" s="441">
        <v>644</v>
      </c>
      <c r="E41" s="443">
        <f>1188567-257831-28891.82</f>
        <v>901844.18</v>
      </c>
      <c r="F41" s="427" t="s">
        <v>705</v>
      </c>
      <c r="G41" s="314" t="s">
        <v>655</v>
      </c>
      <c r="H41" s="280">
        <v>84667.68</v>
      </c>
      <c r="I41" s="286">
        <v>374.5</v>
      </c>
      <c r="J41" s="281">
        <v>1000</v>
      </c>
      <c r="K41" s="281">
        <v>2000</v>
      </c>
      <c r="L41" s="281">
        <v>6000</v>
      </c>
      <c r="M41" s="281">
        <v>10000</v>
      </c>
      <c r="N41" s="281">
        <v>16000</v>
      </c>
      <c r="O41" s="282">
        <v>36800</v>
      </c>
      <c r="P41" s="282">
        <v>36800</v>
      </c>
      <c r="Q41" s="282">
        <v>36800</v>
      </c>
      <c r="R41" s="282">
        <v>36800</v>
      </c>
      <c r="S41" s="282">
        <v>36800</v>
      </c>
      <c r="T41" s="282">
        <v>36800</v>
      </c>
      <c r="U41" s="282">
        <v>36800</v>
      </c>
      <c r="V41" s="282">
        <v>36800</v>
      </c>
      <c r="W41" s="282">
        <v>487402</v>
      </c>
      <c r="X41" s="124">
        <f t="shared" si="2"/>
        <v>901844.17999999993</v>
      </c>
    </row>
    <row r="42" spans="1:24" s="185" customFormat="1" x14ac:dyDescent="0.2">
      <c r="A42" s="454"/>
      <c r="B42" s="125" t="s">
        <v>706</v>
      </c>
      <c r="C42" s="442"/>
      <c r="D42" s="442"/>
      <c r="E42" s="444"/>
      <c r="F42" s="417"/>
      <c r="G42" s="126">
        <v>2.5000000000000001E-3</v>
      </c>
      <c r="H42" s="279">
        <v>2139.9</v>
      </c>
      <c r="I42" s="284">
        <v>2280</v>
      </c>
      <c r="J42" s="284">
        <v>2485</v>
      </c>
      <c r="K42" s="284">
        <v>2485</v>
      </c>
      <c r="L42" s="284">
        <v>2480</v>
      </c>
      <c r="M42" s="284">
        <v>2455</v>
      </c>
      <c r="N42" s="284">
        <v>2420</v>
      </c>
      <c r="O42" s="284">
        <v>2360</v>
      </c>
      <c r="P42" s="284">
        <v>2260</v>
      </c>
      <c r="Q42" s="284">
        <v>2140</v>
      </c>
      <c r="R42" s="284">
        <v>2025</v>
      </c>
      <c r="S42" s="284">
        <v>1915</v>
      </c>
      <c r="T42" s="284">
        <v>1810</v>
      </c>
      <c r="U42" s="284">
        <v>1690</v>
      </c>
      <c r="V42" s="285">
        <v>1580</v>
      </c>
      <c r="W42" s="285">
        <v>10345</v>
      </c>
      <c r="X42" s="127">
        <f t="shared" si="2"/>
        <v>42869.9</v>
      </c>
    </row>
    <row r="43" spans="1:24" s="185" customFormat="1" ht="12.75" customHeight="1" x14ac:dyDescent="0.2">
      <c r="A43" s="439">
        <v>19</v>
      </c>
      <c r="B43" s="311" t="s">
        <v>652</v>
      </c>
      <c r="C43" s="441" t="s">
        <v>707</v>
      </c>
      <c r="D43" s="441">
        <v>645</v>
      </c>
      <c r="E43" s="443">
        <v>785535</v>
      </c>
      <c r="F43" s="427" t="s">
        <v>708</v>
      </c>
      <c r="G43" s="314" t="s">
        <v>655</v>
      </c>
      <c r="H43" s="281"/>
      <c r="I43" s="281">
        <v>375</v>
      </c>
      <c r="J43" s="281">
        <v>2000</v>
      </c>
      <c r="K43" s="281">
        <v>4000</v>
      </c>
      <c r="L43" s="281">
        <v>6000</v>
      </c>
      <c r="M43" s="281">
        <v>10000</v>
      </c>
      <c r="N43" s="281">
        <v>20000</v>
      </c>
      <c r="O43" s="281">
        <v>66200</v>
      </c>
      <c r="P43" s="281">
        <v>66200</v>
      </c>
      <c r="Q43" s="281">
        <v>66200</v>
      </c>
      <c r="R43" s="281">
        <v>66200</v>
      </c>
      <c r="S43" s="281">
        <v>66200</v>
      </c>
      <c r="T43" s="281">
        <v>66200</v>
      </c>
      <c r="U43" s="281">
        <v>66200</v>
      </c>
      <c r="V43" s="282">
        <v>66200</v>
      </c>
      <c r="W43" s="282">
        <v>213560</v>
      </c>
      <c r="X43" s="124">
        <f t="shared" si="2"/>
        <v>785535</v>
      </c>
    </row>
    <row r="44" spans="1:24" s="185" customFormat="1" x14ac:dyDescent="0.2">
      <c r="A44" s="440"/>
      <c r="B44" s="125" t="s">
        <v>709</v>
      </c>
      <c r="C44" s="442"/>
      <c r="D44" s="442"/>
      <c r="E44" s="444"/>
      <c r="F44" s="417"/>
      <c r="G44" s="126">
        <v>2.5000000000000001E-3</v>
      </c>
      <c r="H44" s="279">
        <v>1996.56</v>
      </c>
      <c r="I44" s="284">
        <v>2095</v>
      </c>
      <c r="J44" s="284">
        <v>2390</v>
      </c>
      <c r="K44" s="284">
        <v>2380</v>
      </c>
      <c r="L44" s="284">
        <v>2375</v>
      </c>
      <c r="M44" s="284">
        <v>2350</v>
      </c>
      <c r="N44" s="284">
        <v>2315</v>
      </c>
      <c r="O44" s="284">
        <v>2225</v>
      </c>
      <c r="P44" s="284">
        <v>2035</v>
      </c>
      <c r="Q44" s="284">
        <v>1830</v>
      </c>
      <c r="R44" s="284">
        <v>1630</v>
      </c>
      <c r="S44" s="284">
        <v>1425</v>
      </c>
      <c r="T44" s="284">
        <v>1230</v>
      </c>
      <c r="U44" s="284">
        <v>1025</v>
      </c>
      <c r="V44" s="285">
        <v>820</v>
      </c>
      <c r="W44" s="285">
        <v>1290</v>
      </c>
      <c r="X44" s="127">
        <f t="shared" si="2"/>
        <v>29411.559999999998</v>
      </c>
    </row>
    <row r="45" spans="1:24" s="185" customFormat="1" ht="22.5" customHeight="1" x14ac:dyDescent="0.2">
      <c r="A45" s="453">
        <v>20</v>
      </c>
      <c r="B45" s="310" t="s">
        <v>652</v>
      </c>
      <c r="C45" s="457" t="s">
        <v>710</v>
      </c>
      <c r="D45" s="457">
        <v>646</v>
      </c>
      <c r="E45" s="459">
        <f>2223157+31089</f>
        <v>2254246</v>
      </c>
      <c r="F45" s="461" t="s">
        <v>711</v>
      </c>
      <c r="G45" s="314" t="s">
        <v>655</v>
      </c>
      <c r="H45" s="281"/>
      <c r="I45" s="281">
        <v>1500</v>
      </c>
      <c r="J45" s="281">
        <v>4000</v>
      </c>
      <c r="K45" s="281">
        <v>6000</v>
      </c>
      <c r="L45" s="281">
        <v>10000</v>
      </c>
      <c r="M45" s="281">
        <v>20000</v>
      </c>
      <c r="N45" s="281">
        <v>40000</v>
      </c>
      <c r="O45" s="281">
        <v>102248</v>
      </c>
      <c r="P45" s="281">
        <v>102248</v>
      </c>
      <c r="Q45" s="281">
        <v>102248</v>
      </c>
      <c r="R45" s="281">
        <v>102248</v>
      </c>
      <c r="S45" s="281">
        <v>102248</v>
      </c>
      <c r="T45" s="281">
        <v>102248</v>
      </c>
      <c r="U45" s="281">
        <v>102248</v>
      </c>
      <c r="V45" s="282">
        <v>102248</v>
      </c>
      <c r="W45" s="282">
        <v>1354762</v>
      </c>
      <c r="X45" s="124">
        <f t="shared" si="2"/>
        <v>2254246</v>
      </c>
    </row>
    <row r="46" spans="1:24" s="185" customFormat="1" ht="21" customHeight="1" x14ac:dyDescent="0.2">
      <c r="A46" s="454"/>
      <c r="B46" s="125" t="s">
        <v>712</v>
      </c>
      <c r="C46" s="458"/>
      <c r="D46" s="458"/>
      <c r="E46" s="460"/>
      <c r="F46" s="462"/>
      <c r="G46" s="126">
        <v>2.5000000000000001E-3</v>
      </c>
      <c r="H46" s="279">
        <v>5081.24</v>
      </c>
      <c r="I46" s="284">
        <v>6005</v>
      </c>
      <c r="J46" s="284">
        <v>6850</v>
      </c>
      <c r="K46" s="284">
        <v>6840</v>
      </c>
      <c r="L46" s="284">
        <v>6840</v>
      </c>
      <c r="M46" s="284">
        <v>6785</v>
      </c>
      <c r="N46" s="284">
        <v>6710</v>
      </c>
      <c r="O46" s="284">
        <v>6555</v>
      </c>
      <c r="P46" s="284">
        <v>6270</v>
      </c>
      <c r="Q46" s="284">
        <v>5940</v>
      </c>
      <c r="R46" s="284">
        <v>5630</v>
      </c>
      <c r="S46" s="284">
        <v>5320</v>
      </c>
      <c r="T46" s="284">
        <v>5020</v>
      </c>
      <c r="U46" s="284">
        <v>4695</v>
      </c>
      <c r="V46" s="285">
        <v>4385</v>
      </c>
      <c r="W46" s="285">
        <v>28765</v>
      </c>
      <c r="X46" s="127">
        <f t="shared" si="2"/>
        <v>117691.23999999999</v>
      </c>
    </row>
    <row r="47" spans="1:24" s="185" customFormat="1" ht="18" customHeight="1" x14ac:dyDescent="0.2">
      <c r="A47" s="414">
        <v>21</v>
      </c>
      <c r="B47" s="310" t="s">
        <v>652</v>
      </c>
      <c r="C47" s="457" t="s">
        <v>402</v>
      </c>
      <c r="D47" s="457">
        <v>647</v>
      </c>
      <c r="E47" s="463">
        <v>1632032</v>
      </c>
      <c r="F47" s="461" t="s">
        <v>711</v>
      </c>
      <c r="G47" s="314" t="s">
        <v>655</v>
      </c>
      <c r="H47" s="278">
        <v>28759.48</v>
      </c>
      <c r="I47" s="286">
        <v>375.82</v>
      </c>
      <c r="J47" s="281">
        <v>2000</v>
      </c>
      <c r="K47" s="281">
        <v>6000</v>
      </c>
      <c r="L47" s="281">
        <v>20000</v>
      </c>
      <c r="M47" s="281">
        <v>40000</v>
      </c>
      <c r="N47" s="281">
        <v>60000</v>
      </c>
      <c r="O47" s="282">
        <v>65168</v>
      </c>
      <c r="P47" s="282">
        <v>65168</v>
      </c>
      <c r="Q47" s="282">
        <v>65168</v>
      </c>
      <c r="R47" s="282">
        <v>65168</v>
      </c>
      <c r="S47" s="282">
        <v>65168</v>
      </c>
      <c r="T47" s="282">
        <v>65168</v>
      </c>
      <c r="U47" s="282">
        <v>65168</v>
      </c>
      <c r="V47" s="282">
        <v>65168</v>
      </c>
      <c r="W47" s="282">
        <v>863457</v>
      </c>
      <c r="X47" s="124">
        <f t="shared" si="2"/>
        <v>1541936.3</v>
      </c>
    </row>
    <row r="48" spans="1:24" s="185" customFormat="1" ht="15.75" customHeight="1" x14ac:dyDescent="0.2">
      <c r="A48" s="415"/>
      <c r="B48" s="125" t="s">
        <v>713</v>
      </c>
      <c r="C48" s="458"/>
      <c r="D48" s="458"/>
      <c r="E48" s="464"/>
      <c r="F48" s="462"/>
      <c r="G48" s="126">
        <v>2.5000000000000001E-3</v>
      </c>
      <c r="H48" s="279">
        <v>3580.77</v>
      </c>
      <c r="I48" s="284">
        <v>4030</v>
      </c>
      <c r="J48" s="284">
        <v>4605</v>
      </c>
      <c r="K48" s="284">
        <v>4595</v>
      </c>
      <c r="L48" s="284">
        <v>4580</v>
      </c>
      <c r="M48" s="284">
        <v>4495</v>
      </c>
      <c r="N48" s="284">
        <v>4365</v>
      </c>
      <c r="O48" s="284">
        <v>4185</v>
      </c>
      <c r="P48" s="284">
        <v>3995</v>
      </c>
      <c r="Q48" s="284">
        <v>3790</v>
      </c>
      <c r="R48" s="284">
        <v>3590</v>
      </c>
      <c r="S48" s="284">
        <v>3390</v>
      </c>
      <c r="T48" s="284">
        <v>3200</v>
      </c>
      <c r="U48" s="284">
        <v>2995</v>
      </c>
      <c r="V48" s="285">
        <v>2795</v>
      </c>
      <c r="W48" s="285">
        <v>18335</v>
      </c>
      <c r="X48" s="127">
        <f t="shared" si="2"/>
        <v>76525.77</v>
      </c>
    </row>
    <row r="49" spans="1:24" s="185" customFormat="1" ht="18.75" customHeight="1" x14ac:dyDescent="0.2">
      <c r="A49" s="453">
        <v>22</v>
      </c>
      <c r="B49" s="310" t="s">
        <v>652</v>
      </c>
      <c r="C49" s="441" t="s">
        <v>714</v>
      </c>
      <c r="D49" s="441">
        <v>649</v>
      </c>
      <c r="E49" s="455">
        <f>1181972+164205</f>
        <v>1346177</v>
      </c>
      <c r="F49" s="427" t="s">
        <v>715</v>
      </c>
      <c r="G49" s="314" t="s">
        <v>655</v>
      </c>
      <c r="H49" s="281"/>
      <c r="I49" s="281">
        <v>500</v>
      </c>
      <c r="J49" s="281">
        <v>2000</v>
      </c>
      <c r="K49" s="281">
        <v>6000</v>
      </c>
      <c r="L49" s="281">
        <v>10000</v>
      </c>
      <c r="M49" s="281">
        <v>20000</v>
      </c>
      <c r="N49" s="281">
        <v>40000</v>
      </c>
      <c r="O49" s="281">
        <v>51324</v>
      </c>
      <c r="P49" s="281">
        <v>59336</v>
      </c>
      <c r="Q49" s="281">
        <v>59336</v>
      </c>
      <c r="R49" s="281">
        <v>59336</v>
      </c>
      <c r="S49" s="281">
        <v>59336</v>
      </c>
      <c r="T49" s="281">
        <v>59336</v>
      </c>
      <c r="U49" s="281">
        <v>59336</v>
      </c>
      <c r="V49" s="282">
        <v>59336</v>
      </c>
      <c r="W49" s="282">
        <v>801001</v>
      </c>
      <c r="X49" s="124">
        <f t="shared" si="2"/>
        <v>1346177</v>
      </c>
    </row>
    <row r="50" spans="1:24" s="185" customFormat="1" ht="15" customHeight="1" x14ac:dyDescent="0.2">
      <c r="A50" s="454"/>
      <c r="B50" s="125" t="s">
        <v>716</v>
      </c>
      <c r="C50" s="442"/>
      <c r="D50" s="442"/>
      <c r="E50" s="456"/>
      <c r="F50" s="417"/>
      <c r="G50" s="126">
        <v>2.5000000000000001E-3</v>
      </c>
      <c r="H50" s="279">
        <v>3421.54</v>
      </c>
      <c r="I50" s="284">
        <v>3585</v>
      </c>
      <c r="J50" s="284">
        <v>4095</v>
      </c>
      <c r="K50" s="284">
        <v>4085</v>
      </c>
      <c r="L50" s="284">
        <v>4075</v>
      </c>
      <c r="M50" s="284">
        <v>4030</v>
      </c>
      <c r="N50" s="284">
        <v>3960</v>
      </c>
      <c r="O50" s="284">
        <v>3830</v>
      </c>
      <c r="P50" s="284">
        <v>3685</v>
      </c>
      <c r="Q50" s="284">
        <v>3495</v>
      </c>
      <c r="R50" s="284">
        <v>3315</v>
      </c>
      <c r="S50" s="284">
        <v>3135</v>
      </c>
      <c r="T50" s="284">
        <v>2960</v>
      </c>
      <c r="U50" s="284">
        <v>2770</v>
      </c>
      <c r="V50" s="285">
        <v>2590</v>
      </c>
      <c r="W50" s="285">
        <f>17315-5</f>
        <v>17310</v>
      </c>
      <c r="X50" s="127">
        <f t="shared" si="2"/>
        <v>70341.540000000008</v>
      </c>
    </row>
    <row r="51" spans="1:24" s="185" customFormat="1" ht="12.75" customHeight="1" x14ac:dyDescent="0.2">
      <c r="A51" s="439">
        <v>23</v>
      </c>
      <c r="B51" s="310" t="s">
        <v>652</v>
      </c>
      <c r="C51" s="441" t="s">
        <v>717</v>
      </c>
      <c r="D51" s="441">
        <v>650</v>
      </c>
      <c r="E51" s="443">
        <f>1108154-97425-61240.54</f>
        <v>949488.46</v>
      </c>
      <c r="F51" s="427" t="s">
        <v>718</v>
      </c>
      <c r="G51" s="314" t="s">
        <v>655</v>
      </c>
      <c r="H51" s="278">
        <f>35241.58+89706.67</f>
        <v>124948.25</v>
      </c>
      <c r="I51" s="286">
        <v>750.21</v>
      </c>
      <c r="J51" s="281">
        <v>2000</v>
      </c>
      <c r="K51" s="281">
        <v>4000</v>
      </c>
      <c r="L51" s="281">
        <v>10000</v>
      </c>
      <c r="M51" s="281">
        <v>16000</v>
      </c>
      <c r="N51" s="281">
        <v>28000</v>
      </c>
      <c r="O51" s="281">
        <v>35944</v>
      </c>
      <c r="P51" s="281">
        <v>35944</v>
      </c>
      <c r="Q51" s="281">
        <v>35944</v>
      </c>
      <c r="R51" s="281">
        <v>35944</v>
      </c>
      <c r="S51" s="281">
        <v>35944</v>
      </c>
      <c r="T51" s="281">
        <v>35944</v>
      </c>
      <c r="U51" s="281">
        <v>35944</v>
      </c>
      <c r="V51" s="281">
        <v>35944</v>
      </c>
      <c r="W51" s="282">
        <v>476238</v>
      </c>
      <c r="X51" s="124">
        <f t="shared" si="2"/>
        <v>949488.46</v>
      </c>
    </row>
    <row r="52" spans="1:24" s="185" customFormat="1" x14ac:dyDescent="0.2">
      <c r="A52" s="440"/>
      <c r="B52" s="125" t="s">
        <v>719</v>
      </c>
      <c r="C52" s="442"/>
      <c r="D52" s="442"/>
      <c r="E52" s="444"/>
      <c r="F52" s="417"/>
      <c r="G52" s="126">
        <v>2.5000000000000001E-3</v>
      </c>
      <c r="H52" s="279">
        <v>2098.5700000000002</v>
      </c>
      <c r="I52" s="284">
        <v>2200</v>
      </c>
      <c r="J52" s="284">
        <v>2505</v>
      </c>
      <c r="K52" s="284">
        <v>2500</v>
      </c>
      <c r="L52" s="284">
        <v>2490</v>
      </c>
      <c r="M52" s="284">
        <v>2450</v>
      </c>
      <c r="N52" s="284">
        <v>2395</v>
      </c>
      <c r="O52" s="284">
        <v>2310</v>
      </c>
      <c r="P52" s="284">
        <v>2205</v>
      </c>
      <c r="Q52" s="284">
        <v>2090</v>
      </c>
      <c r="R52" s="284">
        <v>1980</v>
      </c>
      <c r="S52" s="284">
        <v>1870</v>
      </c>
      <c r="T52" s="284">
        <v>1765</v>
      </c>
      <c r="U52" s="284">
        <v>1655</v>
      </c>
      <c r="V52" s="285">
        <v>1545</v>
      </c>
      <c r="W52" s="285">
        <v>10115</v>
      </c>
      <c r="X52" s="127">
        <f t="shared" si="2"/>
        <v>42173.57</v>
      </c>
    </row>
    <row r="53" spans="1:24" s="185" customFormat="1" ht="12.75" customHeight="1" x14ac:dyDescent="0.2">
      <c r="A53" s="453">
        <v>24</v>
      </c>
      <c r="B53" s="310" t="s">
        <v>652</v>
      </c>
      <c r="C53" s="441" t="s">
        <v>720</v>
      </c>
      <c r="D53" s="441">
        <v>651</v>
      </c>
      <c r="E53" s="443">
        <f>225000-4003.53</f>
        <v>220996.47</v>
      </c>
      <c r="F53" s="427" t="s">
        <v>721</v>
      </c>
      <c r="G53" s="314" t="s">
        <v>655</v>
      </c>
      <c r="H53" s="281"/>
      <c r="I53" s="281">
        <v>375</v>
      </c>
      <c r="J53" s="281">
        <v>2000</v>
      </c>
      <c r="K53" s="281">
        <v>4000</v>
      </c>
      <c r="L53" s="281">
        <v>6000</v>
      </c>
      <c r="M53" s="281">
        <v>8000</v>
      </c>
      <c r="N53" s="281">
        <v>16380</v>
      </c>
      <c r="O53" s="281">
        <v>16380</v>
      </c>
      <c r="P53" s="281">
        <v>16380</v>
      </c>
      <c r="Q53" s="281">
        <v>16380</v>
      </c>
      <c r="R53" s="281">
        <v>16380</v>
      </c>
      <c r="S53" s="281">
        <v>16380</v>
      </c>
      <c r="T53" s="281">
        <v>16380</v>
      </c>
      <c r="U53" s="281">
        <v>16380</v>
      </c>
      <c r="V53" s="282">
        <v>16380</v>
      </c>
      <c r="W53" s="282">
        <v>53201.47</v>
      </c>
      <c r="X53" s="124">
        <f t="shared" si="2"/>
        <v>220996.47</v>
      </c>
    </row>
    <row r="54" spans="1:24" s="185" customFormat="1" x14ac:dyDescent="0.2">
      <c r="A54" s="454"/>
      <c r="B54" s="125" t="s">
        <v>722</v>
      </c>
      <c r="C54" s="442"/>
      <c r="D54" s="442"/>
      <c r="E54" s="444"/>
      <c r="F54" s="417"/>
      <c r="G54" s="126">
        <v>2.5000000000000001E-3</v>
      </c>
      <c r="H54" s="279">
        <v>561.70000000000005</v>
      </c>
      <c r="I54" s="284">
        <v>590</v>
      </c>
      <c r="J54" s="284">
        <v>670</v>
      </c>
      <c r="K54" s="284">
        <v>665</v>
      </c>
      <c r="L54" s="284">
        <v>655</v>
      </c>
      <c r="M54" s="284">
        <v>635</v>
      </c>
      <c r="N54" s="284">
        <v>605</v>
      </c>
      <c r="O54" s="284">
        <v>555</v>
      </c>
      <c r="P54" s="284">
        <v>505</v>
      </c>
      <c r="Q54" s="284">
        <v>455</v>
      </c>
      <c r="R54" s="284">
        <v>405</v>
      </c>
      <c r="S54" s="284">
        <v>355</v>
      </c>
      <c r="T54" s="284">
        <v>305</v>
      </c>
      <c r="U54" s="284">
        <v>255</v>
      </c>
      <c r="V54" s="285">
        <v>205</v>
      </c>
      <c r="W54" s="285">
        <f>325-5</f>
        <v>320</v>
      </c>
      <c r="X54" s="197">
        <f t="shared" si="2"/>
        <v>7741.7</v>
      </c>
    </row>
    <row r="55" spans="1:24" s="149" customFormat="1" ht="12.75" customHeight="1" x14ac:dyDescent="0.2">
      <c r="A55" s="439">
        <v>25</v>
      </c>
      <c r="B55" s="310" t="s">
        <v>652</v>
      </c>
      <c r="C55" s="441" t="s">
        <v>723</v>
      </c>
      <c r="D55" s="441">
        <v>652</v>
      </c>
      <c r="E55" s="443">
        <f>888438-1.11</f>
        <v>888436.89</v>
      </c>
      <c r="F55" s="427" t="s">
        <v>724</v>
      </c>
      <c r="G55" s="314" t="s">
        <v>655</v>
      </c>
      <c r="H55" s="281"/>
      <c r="I55" s="281">
        <v>500</v>
      </c>
      <c r="J55" s="281">
        <v>2500</v>
      </c>
      <c r="K55" s="281">
        <v>6000</v>
      </c>
      <c r="L55" s="281">
        <v>10000</v>
      </c>
      <c r="M55" s="281">
        <v>20000</v>
      </c>
      <c r="N55" s="281">
        <v>40000</v>
      </c>
      <c r="O55" s="281">
        <v>70384</v>
      </c>
      <c r="P55" s="281">
        <v>70384</v>
      </c>
      <c r="Q55" s="281">
        <v>70384</v>
      </c>
      <c r="R55" s="281">
        <v>70384</v>
      </c>
      <c r="S55" s="281">
        <v>70384</v>
      </c>
      <c r="T55" s="281">
        <v>70384</v>
      </c>
      <c r="U55" s="281">
        <v>70384</v>
      </c>
      <c r="V55" s="282">
        <v>70384</v>
      </c>
      <c r="W55" s="283">
        <f>246366-1.11</f>
        <v>246364.89</v>
      </c>
      <c r="X55" s="198">
        <f t="shared" si="2"/>
        <v>888436.89</v>
      </c>
    </row>
    <row r="56" spans="1:24" s="149" customFormat="1" ht="12.75" customHeight="1" x14ac:dyDescent="0.2">
      <c r="A56" s="440"/>
      <c r="B56" s="125" t="s">
        <v>725</v>
      </c>
      <c r="C56" s="442"/>
      <c r="D56" s="442"/>
      <c r="E56" s="444"/>
      <c r="F56" s="417"/>
      <c r="G56" s="126">
        <v>2.5000000000000001E-3</v>
      </c>
      <c r="H56" s="279">
        <v>2258.1</v>
      </c>
      <c r="I56" s="284">
        <f>2705-335</f>
        <v>2370</v>
      </c>
      <c r="J56" s="284">
        <v>2700</v>
      </c>
      <c r="K56" s="284">
        <v>2690</v>
      </c>
      <c r="L56" s="284">
        <v>2680</v>
      </c>
      <c r="M56" s="284">
        <v>2635</v>
      </c>
      <c r="N56" s="284">
        <v>2565</v>
      </c>
      <c r="O56" s="284">
        <v>2425</v>
      </c>
      <c r="P56" s="284">
        <v>2225</v>
      </c>
      <c r="Q56" s="284">
        <v>2005</v>
      </c>
      <c r="R56" s="284">
        <v>1790</v>
      </c>
      <c r="S56" s="284">
        <v>1575</v>
      </c>
      <c r="T56" s="284">
        <v>1365</v>
      </c>
      <c r="U56" s="284">
        <v>1145</v>
      </c>
      <c r="V56" s="285">
        <v>935</v>
      </c>
      <c r="W56" s="285">
        <f>1585-5</f>
        <v>1580</v>
      </c>
      <c r="X56" s="199">
        <f t="shared" si="2"/>
        <v>32943.1</v>
      </c>
    </row>
    <row r="57" spans="1:24" s="185" customFormat="1" ht="18.75" customHeight="1" x14ac:dyDescent="0.2">
      <c r="A57" s="453">
        <v>26</v>
      </c>
      <c r="B57" s="310" t="s">
        <v>652</v>
      </c>
      <c r="C57" s="441" t="s">
        <v>726</v>
      </c>
      <c r="D57" s="441">
        <v>653</v>
      </c>
      <c r="E57" s="443">
        <f>74835+24822-0.26+294955-28536.73</f>
        <v>366075.01</v>
      </c>
      <c r="F57" s="427" t="s">
        <v>727</v>
      </c>
      <c r="G57" s="314" t="s">
        <v>655</v>
      </c>
      <c r="H57" s="278">
        <f>50000+25000+28377.19</f>
        <v>103377.19</v>
      </c>
      <c r="I57" s="286">
        <v>500.82</v>
      </c>
      <c r="J57" s="281">
        <v>3000</v>
      </c>
      <c r="K57" s="281">
        <v>47128</v>
      </c>
      <c r="L57" s="281">
        <v>47128</v>
      </c>
      <c r="M57" s="281">
        <v>47128</v>
      </c>
      <c r="N57" s="281">
        <v>47128</v>
      </c>
      <c r="O57" s="281">
        <v>47128</v>
      </c>
      <c r="P57" s="286">
        <v>23557</v>
      </c>
      <c r="Q57" s="281"/>
      <c r="R57" s="281"/>
      <c r="S57" s="281"/>
      <c r="T57" s="281"/>
      <c r="U57" s="281"/>
      <c r="V57" s="282"/>
      <c r="W57" s="282"/>
      <c r="X57" s="200">
        <f t="shared" si="2"/>
        <v>366075.01</v>
      </c>
    </row>
    <row r="58" spans="1:24" s="185" customFormat="1" ht="15.75" customHeight="1" x14ac:dyDescent="0.2">
      <c r="A58" s="454"/>
      <c r="B58" s="125" t="s">
        <v>728</v>
      </c>
      <c r="C58" s="442"/>
      <c r="D58" s="442"/>
      <c r="E58" s="444"/>
      <c r="F58" s="417"/>
      <c r="G58" s="126">
        <v>2.5000000000000001E-3</v>
      </c>
      <c r="H58" s="279">
        <v>792.78</v>
      </c>
      <c r="I58" s="284">
        <f>890-115-75</f>
        <v>700</v>
      </c>
      <c r="J58" s="284">
        <f>885-85</f>
        <v>800</v>
      </c>
      <c r="K58" s="284">
        <v>760</v>
      </c>
      <c r="L58" s="284">
        <v>625</v>
      </c>
      <c r="M58" s="284">
        <v>480</v>
      </c>
      <c r="N58" s="284">
        <v>340</v>
      </c>
      <c r="O58" s="284">
        <v>195</v>
      </c>
      <c r="P58" s="284">
        <v>55</v>
      </c>
      <c r="Q58" s="284"/>
      <c r="R58" s="284"/>
      <c r="S58" s="284"/>
      <c r="T58" s="284"/>
      <c r="U58" s="284"/>
      <c r="V58" s="285"/>
      <c r="W58" s="285"/>
      <c r="X58" s="127">
        <f t="shared" si="2"/>
        <v>4747.78</v>
      </c>
    </row>
    <row r="59" spans="1:24" s="185" customFormat="1" ht="12.75" customHeight="1" x14ac:dyDescent="0.2">
      <c r="A59" s="439">
        <v>27</v>
      </c>
      <c r="B59" s="311" t="s">
        <v>652</v>
      </c>
      <c r="C59" s="441" t="s">
        <v>729</v>
      </c>
      <c r="D59" s="441">
        <v>654</v>
      </c>
      <c r="E59" s="443">
        <v>74150</v>
      </c>
      <c r="F59" s="427" t="s">
        <v>730</v>
      </c>
      <c r="G59" s="314" t="s">
        <v>655</v>
      </c>
      <c r="H59" s="281"/>
      <c r="I59" s="281">
        <v>500</v>
      </c>
      <c r="J59" s="281">
        <v>2000</v>
      </c>
      <c r="K59" s="281">
        <v>3000</v>
      </c>
      <c r="L59" s="281">
        <v>4380</v>
      </c>
      <c r="M59" s="281">
        <v>4760</v>
      </c>
      <c r="N59" s="281">
        <v>4760</v>
      </c>
      <c r="O59" s="281">
        <v>4760</v>
      </c>
      <c r="P59" s="281">
        <v>4760</v>
      </c>
      <c r="Q59" s="281">
        <v>4760</v>
      </c>
      <c r="R59" s="281">
        <v>4760</v>
      </c>
      <c r="S59" s="281">
        <v>4760</v>
      </c>
      <c r="T59" s="281">
        <v>4760</v>
      </c>
      <c r="U59" s="281">
        <v>4760</v>
      </c>
      <c r="V59" s="282">
        <v>4760</v>
      </c>
      <c r="W59" s="282">
        <v>16670</v>
      </c>
      <c r="X59" s="124">
        <f t="shared" si="2"/>
        <v>74150</v>
      </c>
    </row>
    <row r="60" spans="1:24" s="185" customFormat="1" x14ac:dyDescent="0.2">
      <c r="A60" s="440"/>
      <c r="B60" s="125" t="s">
        <v>731</v>
      </c>
      <c r="C60" s="442"/>
      <c r="D60" s="442"/>
      <c r="E60" s="444"/>
      <c r="F60" s="417"/>
      <c r="G60" s="126">
        <v>2.5000000000000001E-3</v>
      </c>
      <c r="H60" s="279">
        <v>188.46</v>
      </c>
      <c r="I60" s="284">
        <f>230-30</f>
        <v>200</v>
      </c>
      <c r="J60" s="284">
        <v>225</v>
      </c>
      <c r="K60" s="284">
        <v>220</v>
      </c>
      <c r="L60" s="284">
        <v>210</v>
      </c>
      <c r="M60" s="284">
        <v>195</v>
      </c>
      <c r="N60" s="284">
        <v>180</v>
      </c>
      <c r="O60" s="284">
        <v>165</v>
      </c>
      <c r="P60" s="284">
        <v>155</v>
      </c>
      <c r="Q60" s="284">
        <v>140</v>
      </c>
      <c r="R60" s="284">
        <v>125</v>
      </c>
      <c r="S60" s="284">
        <v>110</v>
      </c>
      <c r="T60" s="284">
        <v>95</v>
      </c>
      <c r="U60" s="284">
        <v>80</v>
      </c>
      <c r="V60" s="285">
        <v>65</v>
      </c>
      <c r="W60" s="285">
        <v>110</v>
      </c>
      <c r="X60" s="127">
        <f t="shared" si="2"/>
        <v>2463.46</v>
      </c>
    </row>
    <row r="61" spans="1:24" s="185" customFormat="1" ht="18" customHeight="1" x14ac:dyDescent="0.2">
      <c r="A61" s="453">
        <v>28</v>
      </c>
      <c r="B61" s="311" t="s">
        <v>652</v>
      </c>
      <c r="C61" s="441" t="s">
        <v>732</v>
      </c>
      <c r="D61" s="441">
        <v>655</v>
      </c>
      <c r="E61" s="443">
        <v>250000</v>
      </c>
      <c r="F61" s="427" t="s">
        <v>733</v>
      </c>
      <c r="G61" s="314" t="s">
        <v>655</v>
      </c>
      <c r="H61" s="281"/>
      <c r="I61" s="281">
        <v>300</v>
      </c>
      <c r="J61" s="281">
        <v>1000</v>
      </c>
      <c r="K61" s="281">
        <v>2000</v>
      </c>
      <c r="L61" s="281">
        <v>3000</v>
      </c>
      <c r="M61" s="281">
        <v>6000</v>
      </c>
      <c r="N61" s="281">
        <v>18644</v>
      </c>
      <c r="O61" s="281">
        <v>18644</v>
      </c>
      <c r="P61" s="281">
        <v>18644</v>
      </c>
      <c r="Q61" s="281">
        <v>18644</v>
      </c>
      <c r="R61" s="281">
        <v>18644</v>
      </c>
      <c r="S61" s="281">
        <v>18644</v>
      </c>
      <c r="T61" s="281">
        <v>18644</v>
      </c>
      <c r="U61" s="281">
        <v>18644</v>
      </c>
      <c r="V61" s="282">
        <v>18644</v>
      </c>
      <c r="W61" s="282">
        <v>69904</v>
      </c>
      <c r="X61" s="124">
        <f t="shared" si="2"/>
        <v>250000</v>
      </c>
    </row>
    <row r="62" spans="1:24" s="185" customFormat="1" ht="17.25" customHeight="1" x14ac:dyDescent="0.2">
      <c r="A62" s="454"/>
      <c r="B62" s="125" t="s">
        <v>734</v>
      </c>
      <c r="C62" s="442"/>
      <c r="D62" s="442"/>
      <c r="E62" s="444"/>
      <c r="F62" s="417"/>
      <c r="G62" s="126">
        <v>2.5000000000000001E-3</v>
      </c>
      <c r="H62" s="279">
        <v>635.41999999999996</v>
      </c>
      <c r="I62" s="284">
        <v>635</v>
      </c>
      <c r="J62" s="284">
        <v>635</v>
      </c>
      <c r="K62" s="284">
        <v>630</v>
      </c>
      <c r="L62" s="284">
        <v>630</v>
      </c>
      <c r="M62" s="284">
        <v>620</v>
      </c>
      <c r="N62" s="284">
        <v>595</v>
      </c>
      <c r="O62" s="284">
        <v>550</v>
      </c>
      <c r="P62" s="284">
        <v>505</v>
      </c>
      <c r="Q62" s="284">
        <v>455</v>
      </c>
      <c r="R62" s="284">
        <v>410</v>
      </c>
      <c r="S62" s="284">
        <v>360</v>
      </c>
      <c r="T62" s="284">
        <v>315</v>
      </c>
      <c r="U62" s="284">
        <v>265</v>
      </c>
      <c r="V62" s="285">
        <v>220</v>
      </c>
      <c r="W62" s="285">
        <v>400</v>
      </c>
      <c r="X62" s="127">
        <f t="shared" si="2"/>
        <v>7860.42</v>
      </c>
    </row>
    <row r="63" spans="1:24" s="185" customFormat="1" ht="12.75" customHeight="1" x14ac:dyDescent="0.2">
      <c r="A63" s="439">
        <v>29</v>
      </c>
      <c r="B63" s="311" t="s">
        <v>652</v>
      </c>
      <c r="C63" s="441" t="s">
        <v>735</v>
      </c>
      <c r="D63" s="441">
        <v>656</v>
      </c>
      <c r="E63" s="443">
        <v>4203541</v>
      </c>
      <c r="F63" s="427" t="s">
        <v>736</v>
      </c>
      <c r="G63" s="314" t="s">
        <v>655</v>
      </c>
      <c r="H63" s="142">
        <v>750</v>
      </c>
      <c r="I63" s="142">
        <v>1000</v>
      </c>
      <c r="J63" s="142">
        <v>3000</v>
      </c>
      <c r="K63" s="142">
        <v>4000</v>
      </c>
      <c r="L63" s="142">
        <v>5000</v>
      </c>
      <c r="M63" s="142">
        <v>10000</v>
      </c>
      <c r="N63" s="142">
        <v>20000</v>
      </c>
      <c r="O63" s="142">
        <v>50000</v>
      </c>
      <c r="P63" s="142">
        <v>62000</v>
      </c>
      <c r="Q63" s="142">
        <v>80000</v>
      </c>
      <c r="R63" s="142">
        <v>223540</v>
      </c>
      <c r="S63" s="142">
        <v>223540</v>
      </c>
      <c r="T63" s="142">
        <v>223540</v>
      </c>
      <c r="U63" s="148">
        <v>223540</v>
      </c>
      <c r="V63" s="148">
        <v>223540</v>
      </c>
      <c r="W63" s="282">
        <v>2850091</v>
      </c>
      <c r="X63" s="124">
        <f t="shared" si="2"/>
        <v>4203541</v>
      </c>
    </row>
    <row r="64" spans="1:24" s="185" customFormat="1" x14ac:dyDescent="0.2">
      <c r="A64" s="440"/>
      <c r="B64" s="125" t="s">
        <v>737</v>
      </c>
      <c r="C64" s="442"/>
      <c r="D64" s="442"/>
      <c r="E64" s="444"/>
      <c r="F64" s="417"/>
      <c r="G64" s="126">
        <v>2.5000000000000001E-3</v>
      </c>
      <c r="H64" s="328">
        <v>10683.8</v>
      </c>
      <c r="I64" s="143">
        <v>12785</v>
      </c>
      <c r="J64" s="143">
        <v>12780</v>
      </c>
      <c r="K64" s="143">
        <v>12770</v>
      </c>
      <c r="L64" s="143">
        <v>12795</v>
      </c>
      <c r="M64" s="143">
        <v>12740</v>
      </c>
      <c r="N64" s="143">
        <v>12705</v>
      </c>
      <c r="O64" s="143">
        <v>12625</v>
      </c>
      <c r="P64" s="143">
        <v>12505</v>
      </c>
      <c r="Q64" s="143">
        <v>12275</v>
      </c>
      <c r="R64" s="143">
        <v>11940</v>
      </c>
      <c r="S64" s="143">
        <v>11285</v>
      </c>
      <c r="T64" s="143">
        <v>10635</v>
      </c>
      <c r="U64" s="145">
        <v>9925</v>
      </c>
      <c r="V64" s="145">
        <v>9245</v>
      </c>
      <c r="W64" s="285">
        <v>58345</v>
      </c>
      <c r="X64" s="127">
        <f t="shared" si="2"/>
        <v>236038.8</v>
      </c>
    </row>
    <row r="65" spans="1:24" s="185" customFormat="1" ht="16.5" customHeight="1" x14ac:dyDescent="0.2">
      <c r="A65" s="439">
        <v>30</v>
      </c>
      <c r="B65" s="310" t="s">
        <v>652</v>
      </c>
      <c r="C65" s="441" t="s">
        <v>738</v>
      </c>
      <c r="D65" s="441">
        <v>657</v>
      </c>
      <c r="E65" s="455">
        <v>546548</v>
      </c>
      <c r="F65" s="427" t="s">
        <v>739</v>
      </c>
      <c r="G65" s="314" t="s">
        <v>655</v>
      </c>
      <c r="H65" s="280">
        <f>25690.95+81396.09+34394.03</f>
        <v>141481.07</v>
      </c>
      <c r="I65" s="286">
        <v>250.15</v>
      </c>
      <c r="J65" s="281">
        <v>2250</v>
      </c>
      <c r="K65" s="281">
        <v>8000</v>
      </c>
      <c r="L65" s="281">
        <v>70472</v>
      </c>
      <c r="M65" s="281">
        <v>70472</v>
      </c>
      <c r="N65" s="281">
        <v>70472</v>
      </c>
      <c r="O65" s="281">
        <v>70472</v>
      </c>
      <c r="P65" s="286">
        <v>52844</v>
      </c>
      <c r="Q65" s="281"/>
      <c r="R65" s="281"/>
      <c r="S65" s="281"/>
      <c r="T65" s="281"/>
      <c r="U65" s="142"/>
      <c r="V65" s="144"/>
      <c r="W65" s="148"/>
      <c r="X65" s="124">
        <f t="shared" si="2"/>
        <v>486713.22</v>
      </c>
    </row>
    <row r="66" spans="1:24" s="185" customFormat="1" ht="15" customHeight="1" x14ac:dyDescent="0.2">
      <c r="A66" s="440"/>
      <c r="B66" s="125" t="s">
        <v>740</v>
      </c>
      <c r="C66" s="442"/>
      <c r="D66" s="442"/>
      <c r="E66" s="456"/>
      <c r="F66" s="417"/>
      <c r="G66" s="126">
        <v>2.5000000000000001E-3</v>
      </c>
      <c r="H66" s="279">
        <v>1069.44</v>
      </c>
      <c r="I66" s="284">
        <v>1055</v>
      </c>
      <c r="J66" s="284">
        <v>1050</v>
      </c>
      <c r="K66" s="284">
        <v>1040</v>
      </c>
      <c r="L66" s="284">
        <v>980</v>
      </c>
      <c r="M66" s="284">
        <v>775</v>
      </c>
      <c r="N66" s="284">
        <v>560</v>
      </c>
      <c r="O66" s="284">
        <v>345</v>
      </c>
      <c r="P66" s="284">
        <v>130</v>
      </c>
      <c r="Q66" s="284"/>
      <c r="R66" s="284"/>
      <c r="S66" s="284"/>
      <c r="T66" s="284"/>
      <c r="U66" s="143"/>
      <c r="V66" s="145"/>
      <c r="W66" s="145"/>
      <c r="X66" s="127">
        <f t="shared" si="2"/>
        <v>7004.4400000000005</v>
      </c>
    </row>
    <row r="67" spans="1:24" s="185" customFormat="1" ht="17.25" customHeight="1" x14ac:dyDescent="0.2">
      <c r="A67" s="453">
        <v>31</v>
      </c>
      <c r="B67" s="310" t="s">
        <v>652</v>
      </c>
      <c r="C67" s="441" t="s">
        <v>741</v>
      </c>
      <c r="D67" s="441">
        <v>658</v>
      </c>
      <c r="E67" s="443">
        <f>149917-0.42</f>
        <v>149916.57999999999</v>
      </c>
      <c r="F67" s="427" t="s">
        <v>742</v>
      </c>
      <c r="G67" s="314" t="s">
        <v>655</v>
      </c>
      <c r="H67" s="281"/>
      <c r="I67" s="281">
        <v>200</v>
      </c>
      <c r="J67" s="281">
        <v>1000</v>
      </c>
      <c r="K67" s="281">
        <v>1000</v>
      </c>
      <c r="L67" s="281">
        <v>2000</v>
      </c>
      <c r="M67" s="281">
        <v>2000</v>
      </c>
      <c r="N67" s="281">
        <v>11272</v>
      </c>
      <c r="O67" s="281">
        <v>11272</v>
      </c>
      <c r="P67" s="281">
        <v>11272</v>
      </c>
      <c r="Q67" s="281">
        <v>11272</v>
      </c>
      <c r="R67" s="281">
        <v>11272</v>
      </c>
      <c r="S67" s="281">
        <v>11272</v>
      </c>
      <c r="T67" s="281">
        <v>11272</v>
      </c>
      <c r="U67" s="281">
        <v>11272</v>
      </c>
      <c r="V67" s="281">
        <f>11272</f>
        <v>11272</v>
      </c>
      <c r="W67" s="286">
        <v>42268.58</v>
      </c>
      <c r="X67" s="124">
        <f t="shared" si="2"/>
        <v>149916.58000000002</v>
      </c>
    </row>
    <row r="68" spans="1:24" s="185" customFormat="1" ht="17.25" customHeight="1" x14ac:dyDescent="0.2">
      <c r="A68" s="454"/>
      <c r="B68" s="125" t="s">
        <v>740</v>
      </c>
      <c r="C68" s="442"/>
      <c r="D68" s="442"/>
      <c r="E68" s="444"/>
      <c r="F68" s="417"/>
      <c r="G68" s="126">
        <v>2.5000000000000001E-3</v>
      </c>
      <c r="H68" s="279">
        <v>381.04</v>
      </c>
      <c r="I68" s="284">
        <v>380</v>
      </c>
      <c r="J68" s="284">
        <v>380</v>
      </c>
      <c r="K68" s="284">
        <v>380</v>
      </c>
      <c r="L68" s="284">
        <v>375</v>
      </c>
      <c r="M68" s="284">
        <v>370</v>
      </c>
      <c r="N68" s="284">
        <v>360</v>
      </c>
      <c r="O68" s="284">
        <v>335</v>
      </c>
      <c r="P68" s="284">
        <v>305</v>
      </c>
      <c r="Q68" s="284">
        <v>275</v>
      </c>
      <c r="R68" s="284">
        <v>250</v>
      </c>
      <c r="S68" s="284">
        <v>220</v>
      </c>
      <c r="T68" s="284">
        <v>190</v>
      </c>
      <c r="U68" s="284">
        <v>160</v>
      </c>
      <c r="V68" s="284">
        <v>135</v>
      </c>
      <c r="W68" s="284">
        <v>240</v>
      </c>
      <c r="X68" s="127">
        <f t="shared" si="2"/>
        <v>4736.04</v>
      </c>
    </row>
    <row r="69" spans="1:24" s="185" customFormat="1" ht="17.25" customHeight="1" x14ac:dyDescent="0.2">
      <c r="A69" s="439">
        <v>32</v>
      </c>
      <c r="B69" s="311" t="s">
        <v>652</v>
      </c>
      <c r="C69" s="441" t="s">
        <v>743</v>
      </c>
      <c r="D69" s="441">
        <v>659</v>
      </c>
      <c r="E69" s="455">
        <f>138216-0.12</f>
        <v>138215.88</v>
      </c>
      <c r="F69" s="427" t="s">
        <v>744</v>
      </c>
      <c r="G69" s="314" t="s">
        <v>655</v>
      </c>
      <c r="H69" s="278">
        <f>138215.88</f>
        <v>138215.88</v>
      </c>
      <c r="I69" s="331"/>
      <c r="J69" s="332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2"/>
      <c r="X69" s="124">
        <f t="shared" si="2"/>
        <v>138215.88</v>
      </c>
    </row>
    <row r="70" spans="1:24" s="185" customFormat="1" ht="15.75" customHeight="1" x14ac:dyDescent="0.2">
      <c r="A70" s="440"/>
      <c r="B70" s="150" t="s">
        <v>745</v>
      </c>
      <c r="C70" s="442"/>
      <c r="D70" s="442"/>
      <c r="E70" s="456"/>
      <c r="F70" s="417"/>
      <c r="G70" s="126">
        <v>2.5000000000000001E-3</v>
      </c>
      <c r="H70" s="279">
        <f>148.9</f>
        <v>148.9</v>
      </c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127">
        <f t="shared" si="2"/>
        <v>148.9</v>
      </c>
    </row>
    <row r="71" spans="1:24" s="185" customFormat="1" ht="12.75" customHeight="1" x14ac:dyDescent="0.2">
      <c r="A71" s="439">
        <v>33</v>
      </c>
      <c r="B71" s="311" t="s">
        <v>652</v>
      </c>
      <c r="C71" s="441" t="s">
        <v>389</v>
      </c>
      <c r="D71" s="441">
        <v>660</v>
      </c>
      <c r="E71" s="443">
        <f>2825528-170000-458838.25</f>
        <v>2196689.75</v>
      </c>
      <c r="F71" s="427" t="s">
        <v>746</v>
      </c>
      <c r="G71" s="314" t="s">
        <v>655</v>
      </c>
      <c r="H71" s="327">
        <f>189481.25</f>
        <v>189481.25</v>
      </c>
      <c r="I71" s="142">
        <v>0</v>
      </c>
      <c r="J71" s="147">
        <v>3000.5</v>
      </c>
      <c r="K71" s="142">
        <v>5000</v>
      </c>
      <c r="L71" s="142">
        <v>5000</v>
      </c>
      <c r="M71" s="142">
        <v>5000</v>
      </c>
      <c r="N71" s="142">
        <v>10000</v>
      </c>
      <c r="O71" s="142">
        <v>15000</v>
      </c>
      <c r="P71" s="148">
        <v>92432</v>
      </c>
      <c r="Q71" s="148">
        <v>92432</v>
      </c>
      <c r="R71" s="148">
        <v>92432</v>
      </c>
      <c r="S71" s="148">
        <v>92432</v>
      </c>
      <c r="T71" s="148">
        <v>92432</v>
      </c>
      <c r="U71" s="148">
        <v>92432</v>
      </c>
      <c r="V71" s="148">
        <v>92432</v>
      </c>
      <c r="W71" s="148">
        <v>1317184</v>
      </c>
      <c r="X71" s="124">
        <f t="shared" ref="X71:X103" si="3">SUM(H71:W71)</f>
        <v>2196689.75</v>
      </c>
    </row>
    <row r="72" spans="1:24" s="185" customFormat="1" x14ac:dyDescent="0.2">
      <c r="A72" s="440"/>
      <c r="B72" s="125" t="s">
        <v>747</v>
      </c>
      <c r="C72" s="442"/>
      <c r="D72" s="442"/>
      <c r="E72" s="444"/>
      <c r="F72" s="417"/>
      <c r="G72" s="296">
        <v>3.5899999999999999E-3</v>
      </c>
      <c r="H72" s="328">
        <v>6066.5</v>
      </c>
      <c r="I72" s="143">
        <v>9765</v>
      </c>
      <c r="J72" s="143">
        <v>12210</v>
      </c>
      <c r="K72" s="143">
        <v>12190</v>
      </c>
      <c r="L72" s="143">
        <v>12195</v>
      </c>
      <c r="M72" s="143">
        <v>12130</v>
      </c>
      <c r="N72" s="143">
        <v>12090</v>
      </c>
      <c r="O72" s="143">
        <v>12025</v>
      </c>
      <c r="P72" s="143">
        <v>11870</v>
      </c>
      <c r="Q72" s="143">
        <v>11300</v>
      </c>
      <c r="R72" s="143">
        <v>10740</v>
      </c>
      <c r="S72" s="143">
        <v>10180</v>
      </c>
      <c r="T72" s="143">
        <v>9640</v>
      </c>
      <c r="U72" s="145">
        <v>9055</v>
      </c>
      <c r="V72" s="145">
        <v>8490</v>
      </c>
      <c r="W72" s="145">
        <v>59940</v>
      </c>
      <c r="X72" s="127">
        <f t="shared" si="3"/>
        <v>219886.5</v>
      </c>
    </row>
    <row r="73" spans="1:24" s="185" customFormat="1" ht="12.75" customHeight="1" x14ac:dyDescent="0.2">
      <c r="A73" s="453">
        <v>34</v>
      </c>
      <c r="B73" s="311" t="s">
        <v>652</v>
      </c>
      <c r="C73" s="441" t="s">
        <v>428</v>
      </c>
      <c r="D73" s="441">
        <v>661</v>
      </c>
      <c r="E73" s="443">
        <v>1946578</v>
      </c>
      <c r="F73" s="427" t="s">
        <v>748</v>
      </c>
      <c r="G73" s="314" t="s">
        <v>655</v>
      </c>
      <c r="H73" s="280">
        <f>165208.32+5582.61</f>
        <v>170790.93</v>
      </c>
      <c r="I73" s="281"/>
      <c r="J73" s="286">
        <v>3000.68</v>
      </c>
      <c r="K73" s="281">
        <v>5000</v>
      </c>
      <c r="L73" s="281">
        <v>5000</v>
      </c>
      <c r="M73" s="281">
        <v>5000</v>
      </c>
      <c r="N73" s="281">
        <v>10000</v>
      </c>
      <c r="O73" s="281">
        <v>15000</v>
      </c>
      <c r="P73" s="281">
        <v>81804</v>
      </c>
      <c r="Q73" s="281">
        <v>81804</v>
      </c>
      <c r="R73" s="281">
        <v>81804</v>
      </c>
      <c r="S73" s="281">
        <v>81804</v>
      </c>
      <c r="T73" s="281">
        <v>81804</v>
      </c>
      <c r="U73" s="281">
        <v>81804</v>
      </c>
      <c r="V73" s="281">
        <v>81804</v>
      </c>
      <c r="W73" s="286">
        <v>1160158.3899999999</v>
      </c>
      <c r="X73" s="124">
        <f t="shared" si="3"/>
        <v>1946578</v>
      </c>
    </row>
    <row r="74" spans="1:24" s="185" customFormat="1" x14ac:dyDescent="0.2">
      <c r="A74" s="454"/>
      <c r="B74" s="150" t="s">
        <v>749</v>
      </c>
      <c r="C74" s="442"/>
      <c r="D74" s="442"/>
      <c r="E74" s="444"/>
      <c r="F74" s="417"/>
      <c r="G74" s="296">
        <v>6.3099999999999996E-3</v>
      </c>
      <c r="H74" s="279">
        <v>7118.79</v>
      </c>
      <c r="I74" s="284">
        <f>12025-40</f>
        <v>11985</v>
      </c>
      <c r="J74" s="284">
        <f>12645-40</f>
        <v>12605</v>
      </c>
      <c r="K74" s="284">
        <v>12580</v>
      </c>
      <c r="L74" s="284">
        <v>12580</v>
      </c>
      <c r="M74" s="284">
        <v>12510</v>
      </c>
      <c r="N74" s="284">
        <v>12465</v>
      </c>
      <c r="O74" s="284">
        <v>12390</v>
      </c>
      <c r="P74" s="284">
        <v>12220</v>
      </c>
      <c r="Q74" s="284">
        <v>11630</v>
      </c>
      <c r="R74" s="284">
        <v>11050</v>
      </c>
      <c r="S74" s="284">
        <v>10470</v>
      </c>
      <c r="T74" s="284">
        <v>9915</v>
      </c>
      <c r="U74" s="284">
        <v>9310</v>
      </c>
      <c r="V74" s="284">
        <v>8730</v>
      </c>
      <c r="W74" s="284">
        <v>61320</v>
      </c>
      <c r="X74" s="127">
        <f t="shared" si="3"/>
        <v>228878.79</v>
      </c>
    </row>
    <row r="75" spans="1:24" s="185" customFormat="1" ht="15.75" customHeight="1" x14ac:dyDescent="0.2">
      <c r="A75" s="439">
        <v>35</v>
      </c>
      <c r="B75" s="311" t="s">
        <v>652</v>
      </c>
      <c r="C75" s="441" t="s">
        <v>387</v>
      </c>
      <c r="D75" s="441">
        <v>662</v>
      </c>
      <c r="E75" s="443">
        <f>2100900-400000-20542</f>
        <v>1680358</v>
      </c>
      <c r="F75" s="427" t="s">
        <v>772</v>
      </c>
      <c r="G75" s="314" t="s">
        <v>655</v>
      </c>
      <c r="H75" s="280">
        <f>373892+245505.68</f>
        <v>619397.67999999993</v>
      </c>
      <c r="I75" s="281"/>
      <c r="J75" s="286">
        <v>3000.32</v>
      </c>
      <c r="K75" s="281">
        <v>6000</v>
      </c>
      <c r="L75" s="281">
        <v>10000</v>
      </c>
      <c r="M75" s="281">
        <v>20000</v>
      </c>
      <c r="N75" s="281">
        <v>43956</v>
      </c>
      <c r="O75" s="281">
        <v>43956</v>
      </c>
      <c r="P75" s="281">
        <v>43956</v>
      </c>
      <c r="Q75" s="281">
        <v>43956</v>
      </c>
      <c r="R75" s="281">
        <v>43956</v>
      </c>
      <c r="S75" s="281">
        <v>43956</v>
      </c>
      <c r="T75" s="281">
        <v>43956</v>
      </c>
      <c r="U75" s="281">
        <v>43956</v>
      </c>
      <c r="V75" s="281">
        <v>43956</v>
      </c>
      <c r="W75" s="281">
        <v>626356</v>
      </c>
      <c r="X75" s="124">
        <f t="shared" si="3"/>
        <v>1680358</v>
      </c>
    </row>
    <row r="76" spans="1:24" s="185" customFormat="1" ht="18.75" customHeight="1" x14ac:dyDescent="0.2">
      <c r="A76" s="440"/>
      <c r="B76" s="150" t="s">
        <v>771</v>
      </c>
      <c r="C76" s="442"/>
      <c r="D76" s="442"/>
      <c r="E76" s="444"/>
      <c r="F76" s="417"/>
      <c r="G76" s="126">
        <v>2.5000000000000001E-3</v>
      </c>
      <c r="H76" s="279">
        <v>3506.69</v>
      </c>
      <c r="I76" s="284">
        <v>3100</v>
      </c>
      <c r="J76" s="284">
        <v>3230</v>
      </c>
      <c r="K76" s="284">
        <v>3215</v>
      </c>
      <c r="L76" s="284">
        <v>3205</v>
      </c>
      <c r="M76" s="284">
        <v>3160</v>
      </c>
      <c r="N76" s="284">
        <v>3085</v>
      </c>
      <c r="O76" s="284">
        <v>2955</v>
      </c>
      <c r="P76" s="284">
        <v>2830</v>
      </c>
      <c r="Q76" s="284">
        <v>2690</v>
      </c>
      <c r="R76" s="284">
        <v>2555</v>
      </c>
      <c r="S76" s="284">
        <v>2420</v>
      </c>
      <c r="T76" s="284">
        <v>2295</v>
      </c>
      <c r="U76" s="284">
        <v>2155</v>
      </c>
      <c r="V76" s="284">
        <v>2020</v>
      </c>
      <c r="W76" s="284">
        <v>14255</v>
      </c>
      <c r="X76" s="127">
        <f t="shared" si="3"/>
        <v>56676.69</v>
      </c>
    </row>
    <row r="77" spans="1:24" s="185" customFormat="1" ht="12.75" customHeight="1" x14ac:dyDescent="0.2">
      <c r="A77" s="445">
        <v>36</v>
      </c>
      <c r="B77" s="311" t="s">
        <v>652</v>
      </c>
      <c r="C77" s="441" t="s">
        <v>773</v>
      </c>
      <c r="D77" s="441">
        <v>663</v>
      </c>
      <c r="E77" s="443">
        <f>10367403</f>
        <v>10367403</v>
      </c>
      <c r="F77" s="427" t="s">
        <v>774</v>
      </c>
      <c r="G77" s="314" t="s">
        <v>655</v>
      </c>
      <c r="H77" s="281"/>
      <c r="I77" s="281"/>
      <c r="J77" s="281">
        <v>3000</v>
      </c>
      <c r="K77" s="281">
        <v>6000</v>
      </c>
      <c r="L77" s="281">
        <v>10000</v>
      </c>
      <c r="M77" s="281">
        <v>20000</v>
      </c>
      <c r="N77" s="281">
        <v>28000</v>
      </c>
      <c r="O77" s="281">
        <v>40000</v>
      </c>
      <c r="P77" s="281">
        <v>80000</v>
      </c>
      <c r="Q77" s="281">
        <v>200000</v>
      </c>
      <c r="R77" s="281">
        <v>400000</v>
      </c>
      <c r="S77" s="281">
        <v>524952</v>
      </c>
      <c r="T77" s="281">
        <v>524952</v>
      </c>
      <c r="U77" s="281">
        <v>524952</v>
      </c>
      <c r="V77" s="282">
        <v>524952</v>
      </c>
      <c r="W77" s="282">
        <v>7480595</v>
      </c>
      <c r="X77" s="124">
        <f t="shared" si="3"/>
        <v>10367403</v>
      </c>
    </row>
    <row r="78" spans="1:24" s="185" customFormat="1" x14ac:dyDescent="0.2">
      <c r="A78" s="446"/>
      <c r="B78" s="125" t="s">
        <v>775</v>
      </c>
      <c r="C78" s="442"/>
      <c r="D78" s="442"/>
      <c r="E78" s="444"/>
      <c r="F78" s="417"/>
      <c r="G78" s="126">
        <v>2.5000000000000001E-3</v>
      </c>
      <c r="H78" s="279">
        <v>12553.06</v>
      </c>
      <c r="I78" s="284">
        <v>27605</v>
      </c>
      <c r="J78" s="284">
        <v>31535</v>
      </c>
      <c r="K78" s="284">
        <v>31525</v>
      </c>
      <c r="L78" s="284">
        <v>31590</v>
      </c>
      <c r="M78" s="284">
        <v>31470</v>
      </c>
      <c r="N78" s="284">
        <v>31405</v>
      </c>
      <c r="O78" s="284">
        <v>31310</v>
      </c>
      <c r="P78" s="284">
        <v>31250</v>
      </c>
      <c r="Q78" s="284">
        <v>30855</v>
      </c>
      <c r="R78" s="284">
        <v>30140</v>
      </c>
      <c r="S78" s="284">
        <v>28875</v>
      </c>
      <c r="T78" s="284">
        <v>27375</v>
      </c>
      <c r="U78" s="284">
        <v>25705</v>
      </c>
      <c r="V78" s="285">
        <v>24105</v>
      </c>
      <c r="W78" s="285">
        <v>170205</v>
      </c>
      <c r="X78" s="127">
        <f t="shared" si="3"/>
        <v>597503.06000000006</v>
      </c>
    </row>
    <row r="79" spans="1:24" s="185" customFormat="1" ht="15.75" customHeight="1" x14ac:dyDescent="0.2">
      <c r="A79" s="445">
        <v>37</v>
      </c>
      <c r="B79" s="311" t="s">
        <v>652</v>
      </c>
      <c r="C79" s="441" t="s">
        <v>776</v>
      </c>
      <c r="D79" s="441">
        <v>664</v>
      </c>
      <c r="E79" s="443">
        <f>91751.46</f>
        <v>91751.46</v>
      </c>
      <c r="F79" s="427" t="s">
        <v>774</v>
      </c>
      <c r="G79" s="314" t="s">
        <v>655</v>
      </c>
      <c r="H79" s="278">
        <v>91751.46</v>
      </c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4"/>
      <c r="W79" s="335"/>
      <c r="X79" s="124">
        <f t="shared" si="3"/>
        <v>91751.46</v>
      </c>
    </row>
    <row r="80" spans="1:24" s="185" customFormat="1" ht="16.5" customHeight="1" x14ac:dyDescent="0.2">
      <c r="A80" s="446"/>
      <c r="B80" s="165" t="s">
        <v>777</v>
      </c>
      <c r="C80" s="442"/>
      <c r="D80" s="442"/>
      <c r="E80" s="444"/>
      <c r="F80" s="417"/>
      <c r="G80" s="126">
        <f>0.25%+0.6%</f>
        <v>8.5000000000000006E-3</v>
      </c>
      <c r="H80" s="279">
        <v>337.96</v>
      </c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6"/>
      <c r="W80" s="336"/>
      <c r="X80" s="127">
        <f t="shared" si="3"/>
        <v>337.96</v>
      </c>
    </row>
    <row r="81" spans="1:24" s="185" customFormat="1" ht="12.75" customHeight="1" x14ac:dyDescent="0.2">
      <c r="A81" s="445">
        <v>38</v>
      </c>
      <c r="B81" s="311" t="s">
        <v>652</v>
      </c>
      <c r="C81" s="447" t="s">
        <v>426</v>
      </c>
      <c r="D81" s="441">
        <v>665</v>
      </c>
      <c r="E81" s="449">
        <f>158248.54+2664102+363803</f>
        <v>3186153.54</v>
      </c>
      <c r="F81" s="427" t="s">
        <v>774</v>
      </c>
      <c r="G81" s="314" t="s">
        <v>655</v>
      </c>
      <c r="H81" s="280">
        <f>158248.54</f>
        <v>158248.54</v>
      </c>
      <c r="I81" s="350"/>
      <c r="J81" s="350">
        <f>3000+10058</f>
        <v>13058</v>
      </c>
      <c r="K81" s="350">
        <f>6000+13476</f>
        <v>19476</v>
      </c>
      <c r="L81" s="350">
        <f>8000+13476</f>
        <v>21476</v>
      </c>
      <c r="M81" s="350">
        <f>16000+13476</f>
        <v>29476</v>
      </c>
      <c r="N81" s="350">
        <f>32000+13476</f>
        <v>45476</v>
      </c>
      <c r="O81" s="350">
        <f>60000+13476</f>
        <v>73476</v>
      </c>
      <c r="P81" s="350">
        <f>80000+13476</f>
        <v>93476</v>
      </c>
      <c r="Q81" s="341">
        <f t="shared" ref="Q81:V81" si="4">121436+13476</f>
        <v>134912</v>
      </c>
      <c r="R81" s="341">
        <f t="shared" si="4"/>
        <v>134912</v>
      </c>
      <c r="S81" s="341">
        <f t="shared" si="4"/>
        <v>134912</v>
      </c>
      <c r="T81" s="341">
        <f t="shared" si="4"/>
        <v>134912</v>
      </c>
      <c r="U81" s="341">
        <f t="shared" si="4"/>
        <v>134912</v>
      </c>
      <c r="V81" s="341">
        <f t="shared" si="4"/>
        <v>134912</v>
      </c>
      <c r="W81" s="353">
        <f>1730486+192033</f>
        <v>1922519</v>
      </c>
      <c r="X81" s="124">
        <f t="shared" si="3"/>
        <v>3186153.54</v>
      </c>
    </row>
    <row r="82" spans="1:24" s="185" customFormat="1" x14ac:dyDescent="0.2">
      <c r="A82" s="446"/>
      <c r="B82" s="165" t="s">
        <v>778</v>
      </c>
      <c r="C82" s="448"/>
      <c r="D82" s="442"/>
      <c r="E82" s="450"/>
      <c r="F82" s="417"/>
      <c r="G82" s="126">
        <v>2.5000000000000001E-3</v>
      </c>
      <c r="H82" s="279">
        <v>2385.3200000000002</v>
      </c>
      <c r="I82" s="345">
        <f>7095+1745</f>
        <v>8840</v>
      </c>
      <c r="J82" s="345">
        <f>8105+1840</f>
        <v>9945</v>
      </c>
      <c r="K82" s="345">
        <f>8095+1785</f>
        <v>9880</v>
      </c>
      <c r="L82" s="345">
        <f>8095+1720</f>
        <v>9815</v>
      </c>
      <c r="M82" s="345">
        <f>8045+1650</f>
        <v>9695</v>
      </c>
      <c r="N82" s="345">
        <f>7990+1580</f>
        <v>9570</v>
      </c>
      <c r="O82" s="345">
        <f>7875+1510</f>
        <v>9385</v>
      </c>
      <c r="P82" s="345">
        <f>7705+1450</f>
        <v>9155</v>
      </c>
      <c r="Q82" s="345">
        <f>7420+1375</f>
        <v>8795</v>
      </c>
      <c r="R82" s="345">
        <f>7055+1305</f>
        <v>8360</v>
      </c>
      <c r="S82" s="345">
        <f>6685+1240</f>
        <v>7925</v>
      </c>
      <c r="T82" s="345">
        <f>6335+1175</f>
        <v>7510</v>
      </c>
      <c r="U82" s="345">
        <f>5950+1100</f>
        <v>7050</v>
      </c>
      <c r="V82" s="346">
        <f>5580+1035</f>
        <v>6615</v>
      </c>
      <c r="W82" s="346">
        <f>39375+7285</f>
        <v>46660</v>
      </c>
      <c r="X82" s="127">
        <f t="shared" si="3"/>
        <v>171585.32</v>
      </c>
    </row>
    <row r="83" spans="1:24" s="185" customFormat="1" ht="12.75" customHeight="1" x14ac:dyDescent="0.2">
      <c r="A83" s="451">
        <v>39</v>
      </c>
      <c r="B83" s="311" t="s">
        <v>652</v>
      </c>
      <c r="C83" s="441" t="s">
        <v>779</v>
      </c>
      <c r="D83" s="441">
        <v>666</v>
      </c>
      <c r="E83" s="443">
        <f>663930-19547.23</f>
        <v>644382.77</v>
      </c>
      <c r="F83" s="427" t="s">
        <v>774</v>
      </c>
      <c r="G83" s="314" t="s">
        <v>655</v>
      </c>
      <c r="H83" s="281"/>
      <c r="I83" s="281"/>
      <c r="J83" s="286">
        <v>3000.77</v>
      </c>
      <c r="K83" s="281">
        <v>6000</v>
      </c>
      <c r="L83" s="281">
        <v>10000</v>
      </c>
      <c r="M83" s="281">
        <v>20000</v>
      </c>
      <c r="N83" s="281">
        <v>26040</v>
      </c>
      <c r="O83" s="281">
        <v>26040</v>
      </c>
      <c r="P83" s="281">
        <v>26040</v>
      </c>
      <c r="Q83" s="282">
        <v>26040</v>
      </c>
      <c r="R83" s="282">
        <v>26040</v>
      </c>
      <c r="S83" s="282">
        <v>26040</v>
      </c>
      <c r="T83" s="282">
        <v>26040</v>
      </c>
      <c r="U83" s="282">
        <v>26040</v>
      </c>
      <c r="V83" s="282">
        <v>26040</v>
      </c>
      <c r="W83" s="282">
        <v>371022</v>
      </c>
      <c r="X83" s="124">
        <f t="shared" si="3"/>
        <v>644382.77</v>
      </c>
    </row>
    <row r="84" spans="1:24" s="185" customFormat="1" x14ac:dyDescent="0.2">
      <c r="A84" s="452"/>
      <c r="B84" s="165" t="s">
        <v>780</v>
      </c>
      <c r="C84" s="442"/>
      <c r="D84" s="442"/>
      <c r="E84" s="444"/>
      <c r="F84" s="417"/>
      <c r="G84" s="126">
        <v>2.5000000000000001E-3</v>
      </c>
      <c r="H84" s="279">
        <v>1415.08</v>
      </c>
      <c r="I84" s="284">
        <v>1720</v>
      </c>
      <c r="J84" s="284">
        <v>1960</v>
      </c>
      <c r="K84" s="284">
        <v>1950</v>
      </c>
      <c r="L84" s="284">
        <v>1935</v>
      </c>
      <c r="M84" s="284">
        <v>1895</v>
      </c>
      <c r="N84" s="284">
        <v>1830</v>
      </c>
      <c r="O84" s="284">
        <v>1750</v>
      </c>
      <c r="P84" s="284">
        <v>1680</v>
      </c>
      <c r="Q84" s="284">
        <v>1595</v>
      </c>
      <c r="R84" s="284">
        <v>1515</v>
      </c>
      <c r="S84" s="284">
        <v>1435</v>
      </c>
      <c r="T84" s="284">
        <v>1360</v>
      </c>
      <c r="U84" s="284">
        <v>1275</v>
      </c>
      <c r="V84" s="285">
        <v>1200</v>
      </c>
      <c r="W84" s="285">
        <v>8445</v>
      </c>
      <c r="X84" s="127">
        <f t="shared" si="3"/>
        <v>32960.080000000002</v>
      </c>
    </row>
    <row r="85" spans="1:24" s="185" customFormat="1" ht="12.75" customHeight="1" x14ac:dyDescent="0.2">
      <c r="A85" s="439">
        <v>40</v>
      </c>
      <c r="B85" s="311" t="s">
        <v>652</v>
      </c>
      <c r="C85" s="441" t="s">
        <v>428</v>
      </c>
      <c r="D85" s="441">
        <v>667</v>
      </c>
      <c r="E85" s="443">
        <v>158028</v>
      </c>
      <c r="F85" s="427" t="s">
        <v>850</v>
      </c>
      <c r="G85" s="314" t="s">
        <v>655</v>
      </c>
      <c r="H85" s="281"/>
      <c r="I85" s="281"/>
      <c r="J85" s="281">
        <v>4071</v>
      </c>
      <c r="K85" s="281">
        <v>5548</v>
      </c>
      <c r="L85" s="281">
        <v>5548</v>
      </c>
      <c r="M85" s="281">
        <v>5548</v>
      </c>
      <c r="N85" s="281">
        <v>5548</v>
      </c>
      <c r="O85" s="281">
        <v>5548</v>
      </c>
      <c r="P85" s="281">
        <v>5548</v>
      </c>
      <c r="Q85" s="281">
        <v>5548</v>
      </c>
      <c r="R85" s="281">
        <v>5548</v>
      </c>
      <c r="S85" s="281">
        <v>5548</v>
      </c>
      <c r="T85" s="281">
        <v>5548</v>
      </c>
      <c r="U85" s="281">
        <v>5548</v>
      </c>
      <c r="V85" s="281">
        <v>5548</v>
      </c>
      <c r="W85" s="282">
        <v>87381</v>
      </c>
      <c r="X85" s="124">
        <f t="shared" si="3"/>
        <v>158028</v>
      </c>
    </row>
    <row r="86" spans="1:24" s="185" customFormat="1" x14ac:dyDescent="0.2">
      <c r="A86" s="440"/>
      <c r="B86" s="165" t="s">
        <v>851</v>
      </c>
      <c r="C86" s="442"/>
      <c r="D86" s="442"/>
      <c r="E86" s="444"/>
      <c r="F86" s="417"/>
      <c r="G86" s="296">
        <f>0.892%-0.328%</f>
        <v>5.6400000000000009E-3</v>
      </c>
      <c r="H86" s="279">
        <v>82.79</v>
      </c>
      <c r="I86" s="284">
        <v>1080</v>
      </c>
      <c r="J86" s="284">
        <v>1600</v>
      </c>
      <c r="K86" s="284">
        <v>1555</v>
      </c>
      <c r="L86" s="284">
        <v>1505</v>
      </c>
      <c r="M86" s="284">
        <v>1440</v>
      </c>
      <c r="N86" s="284">
        <v>1385</v>
      </c>
      <c r="O86" s="284">
        <v>1330</v>
      </c>
      <c r="P86" s="284">
        <v>1275</v>
      </c>
      <c r="Q86" s="284">
        <v>1215</v>
      </c>
      <c r="R86" s="284">
        <v>1160</v>
      </c>
      <c r="S86" s="284">
        <v>1105</v>
      </c>
      <c r="T86" s="284">
        <v>1050</v>
      </c>
      <c r="U86" s="284">
        <v>990</v>
      </c>
      <c r="V86" s="285">
        <v>935</v>
      </c>
      <c r="W86" s="285">
        <v>7295</v>
      </c>
      <c r="X86" s="127">
        <f t="shared" si="3"/>
        <v>25002.79</v>
      </c>
    </row>
    <row r="87" spans="1:24" s="185" customFormat="1" ht="12.75" customHeight="1" x14ac:dyDescent="0.2">
      <c r="A87" s="439">
        <v>41</v>
      </c>
      <c r="B87" s="311" t="s">
        <v>652</v>
      </c>
      <c r="C87" s="441" t="s">
        <v>852</v>
      </c>
      <c r="D87" s="441">
        <v>668</v>
      </c>
      <c r="E87" s="443">
        <v>352110</v>
      </c>
      <c r="F87" s="427" t="s">
        <v>853</v>
      </c>
      <c r="G87" s="337" t="s">
        <v>655</v>
      </c>
      <c r="H87" s="281"/>
      <c r="I87" s="281"/>
      <c r="J87" s="281"/>
      <c r="K87" s="282">
        <v>10142</v>
      </c>
      <c r="L87" s="282">
        <v>20416</v>
      </c>
      <c r="M87" s="282">
        <v>20416</v>
      </c>
      <c r="N87" s="282">
        <v>20416</v>
      </c>
      <c r="O87" s="282">
        <v>20416</v>
      </c>
      <c r="P87" s="282">
        <v>20416</v>
      </c>
      <c r="Q87" s="282">
        <v>20416</v>
      </c>
      <c r="R87" s="282">
        <v>20416</v>
      </c>
      <c r="S87" s="282">
        <v>20416</v>
      </c>
      <c r="T87" s="282">
        <v>20416</v>
      </c>
      <c r="U87" s="282">
        <v>20416</v>
      </c>
      <c r="V87" s="282">
        <v>20416</v>
      </c>
      <c r="W87" s="282">
        <v>117392</v>
      </c>
      <c r="X87" s="124">
        <f t="shared" si="3"/>
        <v>352110</v>
      </c>
    </row>
    <row r="88" spans="1:24" s="185" customFormat="1" x14ac:dyDescent="0.2">
      <c r="A88" s="440"/>
      <c r="B88" s="165" t="s">
        <v>854</v>
      </c>
      <c r="C88" s="442"/>
      <c r="D88" s="442"/>
      <c r="E88" s="444"/>
      <c r="F88" s="417"/>
      <c r="G88" s="296">
        <f>0.362%</f>
        <v>3.62E-3</v>
      </c>
      <c r="H88" s="279">
        <v>96.83</v>
      </c>
      <c r="I88" s="284">
        <v>1870</v>
      </c>
      <c r="J88" s="284">
        <v>3575</v>
      </c>
      <c r="K88" s="284">
        <v>3570</v>
      </c>
      <c r="L88" s="284">
        <v>3445</v>
      </c>
      <c r="M88" s="284">
        <v>3230</v>
      </c>
      <c r="N88" s="284">
        <v>3025</v>
      </c>
      <c r="O88" s="284">
        <v>2815</v>
      </c>
      <c r="P88" s="284">
        <v>2615</v>
      </c>
      <c r="Q88" s="284">
        <v>2405</v>
      </c>
      <c r="R88" s="284">
        <v>2195</v>
      </c>
      <c r="S88" s="284">
        <v>1990</v>
      </c>
      <c r="T88" s="284">
        <v>1785</v>
      </c>
      <c r="U88" s="284">
        <v>1575</v>
      </c>
      <c r="V88" s="285">
        <v>1370</v>
      </c>
      <c r="W88" s="285">
        <v>3850</v>
      </c>
      <c r="X88" s="127">
        <f t="shared" si="3"/>
        <v>39411.83</v>
      </c>
    </row>
    <row r="89" spans="1:24" s="185" customFormat="1" ht="12.75" customHeight="1" x14ac:dyDescent="0.2">
      <c r="A89" s="439">
        <v>42</v>
      </c>
      <c r="B89" s="311" t="s">
        <v>652</v>
      </c>
      <c r="C89" s="441" t="s">
        <v>855</v>
      </c>
      <c r="D89" s="441">
        <v>669</v>
      </c>
      <c r="E89" s="443">
        <v>403410</v>
      </c>
      <c r="F89" s="427" t="s">
        <v>853</v>
      </c>
      <c r="G89" s="314" t="s">
        <v>655</v>
      </c>
      <c r="H89" s="286"/>
      <c r="I89" s="281"/>
      <c r="J89" s="281"/>
      <c r="K89" s="282">
        <v>11661</v>
      </c>
      <c r="L89" s="282">
        <v>23388</v>
      </c>
      <c r="M89" s="282">
        <v>23388</v>
      </c>
      <c r="N89" s="282">
        <v>23388</v>
      </c>
      <c r="O89" s="282">
        <v>23388</v>
      </c>
      <c r="P89" s="282">
        <v>23388</v>
      </c>
      <c r="Q89" s="282">
        <v>23388</v>
      </c>
      <c r="R89" s="282">
        <v>23388</v>
      </c>
      <c r="S89" s="282">
        <v>23388</v>
      </c>
      <c r="T89" s="282">
        <v>23388</v>
      </c>
      <c r="U89" s="282">
        <v>23388</v>
      </c>
      <c r="V89" s="282">
        <v>23388</v>
      </c>
      <c r="W89" s="282">
        <v>134481</v>
      </c>
      <c r="X89" s="124">
        <f t="shared" si="3"/>
        <v>403410</v>
      </c>
    </row>
    <row r="90" spans="1:24" s="185" customFormat="1" x14ac:dyDescent="0.2">
      <c r="A90" s="440"/>
      <c r="B90" s="165" t="s">
        <v>856</v>
      </c>
      <c r="C90" s="442"/>
      <c r="D90" s="442"/>
      <c r="E90" s="444"/>
      <c r="F90" s="417"/>
      <c r="G90" s="296">
        <f>0.362%</f>
        <v>3.62E-3</v>
      </c>
      <c r="H90" s="279">
        <v>50.71</v>
      </c>
      <c r="I90" s="284">
        <v>2140</v>
      </c>
      <c r="J90" s="284">
        <v>4095</v>
      </c>
      <c r="K90" s="284">
        <v>4090</v>
      </c>
      <c r="L90" s="284">
        <v>3950</v>
      </c>
      <c r="M90" s="284">
        <v>3700</v>
      </c>
      <c r="N90" s="284">
        <v>3465</v>
      </c>
      <c r="O90" s="284">
        <v>3225</v>
      </c>
      <c r="P90" s="284">
        <v>3000</v>
      </c>
      <c r="Q90" s="284">
        <v>2750</v>
      </c>
      <c r="R90" s="284">
        <v>2515</v>
      </c>
      <c r="S90" s="284">
        <v>2280</v>
      </c>
      <c r="T90" s="284">
        <v>2045</v>
      </c>
      <c r="U90" s="284">
        <v>1805</v>
      </c>
      <c r="V90" s="285">
        <v>1565</v>
      </c>
      <c r="W90" s="285">
        <v>4410</v>
      </c>
      <c r="X90" s="127">
        <f t="shared" si="3"/>
        <v>45085.71</v>
      </c>
    </row>
    <row r="91" spans="1:24" s="185" customFormat="1" ht="12.75" customHeight="1" x14ac:dyDescent="0.2">
      <c r="A91" s="439">
        <v>43</v>
      </c>
      <c r="B91" s="311" t="s">
        <v>652</v>
      </c>
      <c r="C91" s="441" t="s">
        <v>857</v>
      </c>
      <c r="D91" s="441">
        <v>670</v>
      </c>
      <c r="E91" s="443">
        <v>848543</v>
      </c>
      <c r="F91" s="427" t="s">
        <v>858</v>
      </c>
      <c r="G91" s="314" t="s">
        <v>655</v>
      </c>
      <c r="H91" s="286"/>
      <c r="I91" s="281"/>
      <c r="J91" s="281"/>
      <c r="K91" s="281">
        <v>500</v>
      </c>
      <c r="L91" s="281">
        <v>2000</v>
      </c>
      <c r="M91" s="281">
        <v>4000</v>
      </c>
      <c r="N91" s="281">
        <v>8000</v>
      </c>
      <c r="O91" s="282">
        <v>20000</v>
      </c>
      <c r="P91" s="282">
        <v>36180</v>
      </c>
      <c r="Q91" s="282">
        <v>36180</v>
      </c>
      <c r="R91" s="282">
        <v>36180</v>
      </c>
      <c r="S91" s="282">
        <v>36180</v>
      </c>
      <c r="T91" s="282">
        <v>36180</v>
      </c>
      <c r="U91" s="282">
        <v>36180</v>
      </c>
      <c r="V91" s="282">
        <v>36180</v>
      </c>
      <c r="W91" s="282">
        <v>560783</v>
      </c>
      <c r="X91" s="124">
        <f t="shared" si="3"/>
        <v>848543</v>
      </c>
    </row>
    <row r="92" spans="1:24" s="185" customFormat="1" x14ac:dyDescent="0.2">
      <c r="A92" s="440"/>
      <c r="B92" s="165" t="s">
        <v>859</v>
      </c>
      <c r="C92" s="442"/>
      <c r="D92" s="442"/>
      <c r="E92" s="444"/>
      <c r="F92" s="417"/>
      <c r="G92" s="296">
        <f>0.933%-0.366%</f>
        <v>5.6699999999999997E-3</v>
      </c>
      <c r="H92" s="279">
        <v>123.54</v>
      </c>
      <c r="I92" s="284">
        <v>5820</v>
      </c>
      <c r="J92" s="284">
        <v>8605</v>
      </c>
      <c r="K92" s="284">
        <v>8605</v>
      </c>
      <c r="L92" s="284">
        <v>8620</v>
      </c>
      <c r="M92" s="284">
        <v>8575</v>
      </c>
      <c r="N92" s="284">
        <v>8525</v>
      </c>
      <c r="O92" s="284">
        <v>8420</v>
      </c>
      <c r="P92" s="284">
        <v>8215</v>
      </c>
      <c r="Q92" s="284">
        <v>7835</v>
      </c>
      <c r="R92" s="284">
        <v>7465</v>
      </c>
      <c r="S92" s="284">
        <v>7100</v>
      </c>
      <c r="T92" s="284">
        <v>6750</v>
      </c>
      <c r="U92" s="284">
        <v>6365</v>
      </c>
      <c r="V92" s="285">
        <v>6000</v>
      </c>
      <c r="W92" s="285">
        <v>46085</v>
      </c>
      <c r="X92" s="127">
        <f>SUM(H92:W92)</f>
        <v>153108.54</v>
      </c>
    </row>
    <row r="93" spans="1:24" s="185" customFormat="1" x14ac:dyDescent="0.2">
      <c r="A93" s="439">
        <v>44</v>
      </c>
      <c r="B93" s="311" t="s">
        <v>652</v>
      </c>
      <c r="C93" s="441" t="s">
        <v>860</v>
      </c>
      <c r="D93" s="441">
        <v>671</v>
      </c>
      <c r="E93" s="443">
        <v>1698600</v>
      </c>
      <c r="F93" s="427" t="s">
        <v>861</v>
      </c>
      <c r="G93" s="314" t="s">
        <v>655</v>
      </c>
      <c r="H93" s="281"/>
      <c r="I93" s="281"/>
      <c r="J93" s="281"/>
      <c r="K93" s="281">
        <v>2000</v>
      </c>
      <c r="L93" s="282">
        <v>6000</v>
      </c>
      <c r="M93" s="282">
        <v>10000</v>
      </c>
      <c r="N93" s="282">
        <v>20000</v>
      </c>
      <c r="O93" s="282">
        <v>40000</v>
      </c>
      <c r="P93" s="282">
        <v>60000</v>
      </c>
      <c r="Q93" s="282">
        <v>72588</v>
      </c>
      <c r="R93" s="282">
        <v>72588</v>
      </c>
      <c r="S93" s="282">
        <v>72588</v>
      </c>
      <c r="T93" s="282">
        <v>72588</v>
      </c>
      <c r="U93" s="282">
        <v>72588</v>
      </c>
      <c r="V93" s="282">
        <v>72588</v>
      </c>
      <c r="W93" s="282">
        <v>1125072</v>
      </c>
      <c r="X93" s="124">
        <f t="shared" si="3"/>
        <v>1698600</v>
      </c>
    </row>
    <row r="94" spans="1:24" s="185" customFormat="1" x14ac:dyDescent="0.2">
      <c r="A94" s="440"/>
      <c r="B94" s="165" t="s">
        <v>862</v>
      </c>
      <c r="C94" s="442"/>
      <c r="D94" s="442"/>
      <c r="E94" s="444"/>
      <c r="F94" s="417"/>
      <c r="G94" s="296">
        <f>0.915%-0.442%</f>
        <v>4.7299999999999998E-3</v>
      </c>
      <c r="H94" s="284">
        <v>0</v>
      </c>
      <c r="I94" s="284">
        <f>9065-1765</f>
        <v>7300</v>
      </c>
      <c r="J94" s="284">
        <f>17335-110</f>
        <v>17225</v>
      </c>
      <c r="K94" s="284">
        <f>17335-110</f>
        <v>17225</v>
      </c>
      <c r="L94" s="284">
        <f>17350-110</f>
        <v>17240</v>
      </c>
      <c r="M94" s="284">
        <f>17235-110</f>
        <v>17125</v>
      </c>
      <c r="N94" s="284">
        <f>17115-110</f>
        <v>17005</v>
      </c>
      <c r="O94" s="284">
        <f>16875-110</f>
        <v>16765</v>
      </c>
      <c r="P94" s="284">
        <f>16485-110</f>
        <v>16375</v>
      </c>
      <c r="Q94" s="284">
        <f>15815-110</f>
        <v>15705</v>
      </c>
      <c r="R94" s="284">
        <f>15080-105</f>
        <v>14975</v>
      </c>
      <c r="S94" s="284">
        <f>14340-100</f>
        <v>14240</v>
      </c>
      <c r="T94" s="284">
        <f>13635-95</f>
        <v>13540</v>
      </c>
      <c r="U94" s="284">
        <f>12860-90</f>
        <v>12770</v>
      </c>
      <c r="V94" s="285">
        <f>12115-85</f>
        <v>12030</v>
      </c>
      <c r="W94" s="285">
        <f>93095-640</f>
        <v>92455</v>
      </c>
      <c r="X94" s="127">
        <f>SUM(H94:W94)</f>
        <v>301975</v>
      </c>
    </row>
    <row r="95" spans="1:24" s="185" customFormat="1" x14ac:dyDescent="0.2">
      <c r="A95" s="439">
        <v>45</v>
      </c>
      <c r="B95" s="311" t="s">
        <v>652</v>
      </c>
      <c r="C95" s="441" t="s">
        <v>863</v>
      </c>
      <c r="D95" s="441">
        <v>672</v>
      </c>
      <c r="E95" s="443">
        <v>142175</v>
      </c>
      <c r="F95" s="427" t="s">
        <v>864</v>
      </c>
      <c r="G95" s="314" t="s">
        <v>655</v>
      </c>
      <c r="H95" s="281"/>
      <c r="I95" s="281"/>
      <c r="J95" s="281"/>
      <c r="K95" s="281">
        <v>4088</v>
      </c>
      <c r="L95" s="282">
        <v>8244</v>
      </c>
      <c r="M95" s="282">
        <v>8244</v>
      </c>
      <c r="N95" s="282">
        <v>8244</v>
      </c>
      <c r="O95" s="282">
        <v>8244</v>
      </c>
      <c r="P95" s="282">
        <v>8244</v>
      </c>
      <c r="Q95" s="282">
        <v>8244</v>
      </c>
      <c r="R95" s="282">
        <v>8244</v>
      </c>
      <c r="S95" s="282">
        <v>8244</v>
      </c>
      <c r="T95" s="282">
        <v>8244</v>
      </c>
      <c r="U95" s="282">
        <v>8244</v>
      </c>
      <c r="V95" s="282">
        <v>8244</v>
      </c>
      <c r="W95" s="282">
        <v>47403</v>
      </c>
      <c r="X95" s="124">
        <f t="shared" si="3"/>
        <v>142175</v>
      </c>
    </row>
    <row r="96" spans="1:24" s="185" customFormat="1" x14ac:dyDescent="0.2">
      <c r="A96" s="440"/>
      <c r="B96" s="165" t="s">
        <v>865</v>
      </c>
      <c r="C96" s="442"/>
      <c r="D96" s="442"/>
      <c r="E96" s="444"/>
      <c r="F96" s="417"/>
      <c r="G96" s="126">
        <f>0.687%-0.442%</f>
        <v>2.4499999999999999E-3</v>
      </c>
      <c r="H96" s="284">
        <v>0</v>
      </c>
      <c r="I96" s="284">
        <f>755-390</f>
        <v>365</v>
      </c>
      <c r="J96" s="284">
        <v>1445</v>
      </c>
      <c r="K96" s="284">
        <v>1445</v>
      </c>
      <c r="L96" s="284">
        <v>1395</v>
      </c>
      <c r="M96" s="284">
        <v>1305</v>
      </c>
      <c r="N96" s="284">
        <v>1220</v>
      </c>
      <c r="O96" s="284">
        <v>1140</v>
      </c>
      <c r="P96" s="284">
        <v>1060</v>
      </c>
      <c r="Q96" s="284">
        <v>970</v>
      </c>
      <c r="R96" s="284">
        <v>890</v>
      </c>
      <c r="S96" s="284">
        <v>805</v>
      </c>
      <c r="T96" s="284">
        <v>725</v>
      </c>
      <c r="U96" s="284">
        <v>635</v>
      </c>
      <c r="V96" s="285">
        <v>555</v>
      </c>
      <c r="W96" s="285">
        <v>1555</v>
      </c>
      <c r="X96" s="127">
        <f>SUM(H96:W96)</f>
        <v>15510</v>
      </c>
    </row>
    <row r="97" spans="1:24" s="185" customFormat="1" x14ac:dyDescent="0.2">
      <c r="A97" s="439">
        <v>46</v>
      </c>
      <c r="B97" s="311" t="s">
        <v>652</v>
      </c>
      <c r="C97" s="441" t="s">
        <v>866</v>
      </c>
      <c r="D97" s="441">
        <v>673</v>
      </c>
      <c r="E97" s="443">
        <v>625075</v>
      </c>
      <c r="F97" s="427" t="s">
        <v>867</v>
      </c>
      <c r="G97" s="314" t="s">
        <v>655</v>
      </c>
      <c r="H97" s="281"/>
      <c r="I97" s="281"/>
      <c r="J97" s="281"/>
      <c r="K97" s="281">
        <v>2000</v>
      </c>
      <c r="L97" s="282">
        <v>6000</v>
      </c>
      <c r="M97" s="282">
        <v>10000</v>
      </c>
      <c r="N97" s="282">
        <v>20000</v>
      </c>
      <c r="O97" s="282">
        <v>43488</v>
      </c>
      <c r="P97" s="282">
        <v>43488</v>
      </c>
      <c r="Q97" s="282">
        <v>43488</v>
      </c>
      <c r="R97" s="282">
        <v>43488</v>
      </c>
      <c r="S97" s="282">
        <v>43488</v>
      </c>
      <c r="T97" s="282">
        <v>43488</v>
      </c>
      <c r="U97" s="282">
        <v>43488</v>
      </c>
      <c r="V97" s="282">
        <v>43488</v>
      </c>
      <c r="W97" s="282">
        <v>239171</v>
      </c>
      <c r="X97" s="124">
        <f t="shared" si="3"/>
        <v>625075</v>
      </c>
    </row>
    <row r="98" spans="1:24" s="185" customFormat="1" x14ac:dyDescent="0.2">
      <c r="A98" s="440"/>
      <c r="B98" s="165" t="s">
        <v>868</v>
      </c>
      <c r="C98" s="442"/>
      <c r="D98" s="442"/>
      <c r="E98" s="444"/>
      <c r="F98" s="417"/>
      <c r="G98" s="126">
        <f>0.687%-0.442%</f>
        <v>2.4499999999999999E-3</v>
      </c>
      <c r="H98" s="284">
        <v>0</v>
      </c>
      <c r="I98" s="284">
        <f>3315-1730</f>
        <v>1585</v>
      </c>
      <c r="J98" s="284">
        <v>6340</v>
      </c>
      <c r="K98" s="284">
        <v>6340</v>
      </c>
      <c r="L98" s="284">
        <v>6325</v>
      </c>
      <c r="M98" s="284">
        <v>6240</v>
      </c>
      <c r="N98" s="284">
        <v>6120</v>
      </c>
      <c r="O98" s="284">
        <v>5875</v>
      </c>
      <c r="P98" s="284">
        <f>5470-10</f>
        <v>5460</v>
      </c>
      <c r="Q98" s="284">
        <f>5020-15</f>
        <v>5005</v>
      </c>
      <c r="R98" s="284">
        <f>4590-25</f>
        <v>4565</v>
      </c>
      <c r="S98" s="284">
        <f>4155-30</f>
        <v>4125</v>
      </c>
      <c r="T98" s="284">
        <f>3735-40</f>
        <v>3695</v>
      </c>
      <c r="U98" s="284">
        <f>3290-50</f>
        <v>3240</v>
      </c>
      <c r="V98" s="285">
        <f>2860-60</f>
        <v>2800</v>
      </c>
      <c r="W98" s="285">
        <f>8045-505</f>
        <v>7540</v>
      </c>
      <c r="X98" s="127">
        <f>SUM(H98:W98)</f>
        <v>75255</v>
      </c>
    </row>
    <row r="99" spans="1:24" s="185" customFormat="1" x14ac:dyDescent="0.2">
      <c r="A99" s="439"/>
      <c r="B99" s="313"/>
      <c r="C99" s="447" t="s">
        <v>869</v>
      </c>
      <c r="D99" s="447"/>
      <c r="E99" s="449">
        <v>50002.5</v>
      </c>
      <c r="F99" s="486" t="s">
        <v>870</v>
      </c>
      <c r="G99" s="349" t="s">
        <v>655</v>
      </c>
      <c r="H99" s="350"/>
      <c r="I99" s="351"/>
      <c r="J99" s="341"/>
      <c r="K99" s="341">
        <v>1780.5</v>
      </c>
      <c r="L99" s="341">
        <v>7144</v>
      </c>
      <c r="M99" s="341">
        <v>7144</v>
      </c>
      <c r="N99" s="341">
        <v>7144</v>
      </c>
      <c r="O99" s="341">
        <v>7144</v>
      </c>
      <c r="P99" s="341">
        <v>7144</v>
      </c>
      <c r="Q99" s="341">
        <v>7144</v>
      </c>
      <c r="R99" s="341">
        <v>5358</v>
      </c>
      <c r="S99" s="341"/>
      <c r="T99" s="341"/>
      <c r="U99" s="341"/>
      <c r="V99" s="341"/>
      <c r="W99" s="341"/>
      <c r="X99" s="124">
        <f t="shared" si="3"/>
        <v>50002.5</v>
      </c>
    </row>
    <row r="100" spans="1:24" s="185" customFormat="1" x14ac:dyDescent="0.2">
      <c r="A100" s="440"/>
      <c r="B100" s="342"/>
      <c r="C100" s="448"/>
      <c r="D100" s="448"/>
      <c r="E100" s="450"/>
      <c r="F100" s="487"/>
      <c r="G100" s="352">
        <v>2.5000000000000001E-3</v>
      </c>
      <c r="H100" s="345">
        <v>0</v>
      </c>
      <c r="I100" s="345">
        <v>130</v>
      </c>
      <c r="J100" s="345">
        <v>255</v>
      </c>
      <c r="K100" s="345">
        <v>255</v>
      </c>
      <c r="L100" s="345">
        <v>240</v>
      </c>
      <c r="M100" s="345">
        <v>205</v>
      </c>
      <c r="N100" s="345">
        <v>170</v>
      </c>
      <c r="O100" s="345">
        <v>135</v>
      </c>
      <c r="P100" s="345">
        <v>95</v>
      </c>
      <c r="Q100" s="345">
        <v>60</v>
      </c>
      <c r="R100" s="345">
        <v>25</v>
      </c>
      <c r="S100" s="345"/>
      <c r="T100" s="345"/>
      <c r="U100" s="345"/>
      <c r="V100" s="346"/>
      <c r="W100" s="346"/>
      <c r="X100" s="127">
        <f>SUM(H100:W100)</f>
        <v>1570</v>
      </c>
    </row>
    <row r="101" spans="1:24" s="185" customFormat="1" x14ac:dyDescent="0.2">
      <c r="A101" s="439"/>
      <c r="B101" s="313"/>
      <c r="C101" s="447" t="s">
        <v>841</v>
      </c>
      <c r="D101" s="447"/>
      <c r="E101" s="449">
        <v>223252</v>
      </c>
      <c r="F101" s="486" t="s">
        <v>870</v>
      </c>
      <c r="G101" s="349" t="s">
        <v>655</v>
      </c>
      <c r="H101" s="350"/>
      <c r="I101" s="350"/>
      <c r="J101" s="350"/>
      <c r="K101" s="341">
        <v>3283</v>
      </c>
      <c r="L101" s="341">
        <v>13132</v>
      </c>
      <c r="M101" s="341">
        <v>13132</v>
      </c>
      <c r="N101" s="341">
        <v>13132</v>
      </c>
      <c r="O101" s="341">
        <v>13132</v>
      </c>
      <c r="P101" s="341">
        <v>13132</v>
      </c>
      <c r="Q101" s="341">
        <v>13132</v>
      </c>
      <c r="R101" s="341">
        <v>13132</v>
      </c>
      <c r="S101" s="341">
        <v>13132</v>
      </c>
      <c r="T101" s="341">
        <v>13132</v>
      </c>
      <c r="U101" s="341">
        <v>13132</v>
      </c>
      <c r="V101" s="341">
        <v>13132</v>
      </c>
      <c r="W101" s="341">
        <v>75517</v>
      </c>
      <c r="X101" s="124">
        <f t="shared" si="3"/>
        <v>223252</v>
      </c>
    </row>
    <row r="102" spans="1:24" s="185" customFormat="1" x14ac:dyDescent="0.2">
      <c r="A102" s="440"/>
      <c r="B102" s="342"/>
      <c r="C102" s="448"/>
      <c r="D102" s="448"/>
      <c r="E102" s="450"/>
      <c r="F102" s="487"/>
      <c r="G102" s="352">
        <v>2.5000000000000001E-3</v>
      </c>
      <c r="H102" s="345">
        <v>0</v>
      </c>
      <c r="I102" s="345">
        <v>570</v>
      </c>
      <c r="J102" s="345">
        <v>1135</v>
      </c>
      <c r="K102" s="345">
        <v>1135</v>
      </c>
      <c r="L102" s="345">
        <v>1110</v>
      </c>
      <c r="M102" s="345">
        <v>1040</v>
      </c>
      <c r="N102" s="345">
        <v>975</v>
      </c>
      <c r="O102" s="345">
        <v>910</v>
      </c>
      <c r="P102" s="345">
        <v>845</v>
      </c>
      <c r="Q102" s="345">
        <v>775</v>
      </c>
      <c r="R102" s="345">
        <v>710</v>
      </c>
      <c r="S102" s="345">
        <v>640</v>
      </c>
      <c r="T102" s="345">
        <v>575</v>
      </c>
      <c r="U102" s="345">
        <v>510</v>
      </c>
      <c r="V102" s="346">
        <v>440</v>
      </c>
      <c r="W102" s="346">
        <v>1240</v>
      </c>
      <c r="X102" s="127">
        <f>SUM(H102:W102)</f>
        <v>12610</v>
      </c>
    </row>
    <row r="103" spans="1:24" s="185" customFormat="1" hidden="1" x14ac:dyDescent="0.2">
      <c r="A103" s="439"/>
      <c r="B103" s="311"/>
      <c r="C103" s="488"/>
      <c r="D103" s="488"/>
      <c r="E103" s="490"/>
      <c r="F103" s="492"/>
      <c r="G103" s="338"/>
      <c r="H103" s="339"/>
      <c r="I103" s="339"/>
      <c r="J103" s="339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124">
        <f t="shared" si="3"/>
        <v>0</v>
      </c>
    </row>
    <row r="104" spans="1:24" s="185" customFormat="1" hidden="1" x14ac:dyDescent="0.2">
      <c r="A104" s="440"/>
      <c r="B104" s="342"/>
      <c r="C104" s="489"/>
      <c r="D104" s="489"/>
      <c r="E104" s="491"/>
      <c r="F104" s="493"/>
      <c r="G104" s="343"/>
      <c r="H104" s="344"/>
      <c r="I104" s="344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7"/>
      <c r="W104" s="347"/>
      <c r="X104" s="127">
        <f>SUM(H104:W104)</f>
        <v>0</v>
      </c>
    </row>
    <row r="105" spans="1:24" x14ac:dyDescent="0.2">
      <c r="A105" s="201"/>
      <c r="B105" s="202"/>
      <c r="C105" s="203"/>
      <c r="D105" s="203"/>
      <c r="E105" s="204">
        <f>SUM(E7:E104)</f>
        <v>96891351.560000002</v>
      </c>
      <c r="F105" s="205"/>
      <c r="G105" s="206"/>
      <c r="H105" s="207">
        <f>H9+H11+H13+H15+H17+H23+H19+H21+H25+H27+H33+H31+H29+H35+H37+H39+H41+H43+H45+H47+H7+H49+H51+H53+H55+H57+H59+H63+H61+H65+H67+H69+H71+H91+H73+H75+H77+H79+H81+H83+H85+H87+H89+H93+H95+H97+H99+H101+H103</f>
        <v>7830519.1600000001</v>
      </c>
      <c r="I105" s="207">
        <f t="shared" ref="I105:V105" si="5">I9+I11+I13+I15+I17+I23+I19+I21+I25+I27+I33+I31+I29+I35+I37+I39+I41+I43+I45+I47+I7+I49+I51+I53+I55+I57+I59+I63+I61+I65+I67+I69+I71+I91+I73+I75+I77+I79+I81+I83+I85+I87+I89+I93+I95+I97+I99+I101+I103</f>
        <v>5416745.6900000004</v>
      </c>
      <c r="J105" s="207">
        <f t="shared" si="5"/>
        <v>4764364.5599999996</v>
      </c>
      <c r="K105" s="207">
        <f t="shared" si="5"/>
        <v>4487594.5</v>
      </c>
      <c r="L105" s="207">
        <f t="shared" si="5"/>
        <v>4403280</v>
      </c>
      <c r="M105" s="207">
        <f t="shared" si="5"/>
        <v>4466184</v>
      </c>
      <c r="N105" s="207">
        <f t="shared" si="5"/>
        <v>4470880</v>
      </c>
      <c r="O105" s="207">
        <f t="shared" si="5"/>
        <v>3285491</v>
      </c>
      <c r="P105" s="207">
        <f t="shared" si="5"/>
        <v>2963781</v>
      </c>
      <c r="Q105" s="207">
        <f t="shared" si="5"/>
        <v>2947956</v>
      </c>
      <c r="R105" s="207">
        <f t="shared" si="5"/>
        <v>3120240</v>
      </c>
      <c r="S105" s="207">
        <f t="shared" si="5"/>
        <v>3246320</v>
      </c>
      <c r="T105" s="207">
        <f t="shared" si="5"/>
        <v>3246320</v>
      </c>
      <c r="U105" s="207">
        <f t="shared" si="5"/>
        <v>3224268</v>
      </c>
      <c r="V105" s="207">
        <f t="shared" si="5"/>
        <v>2767868</v>
      </c>
      <c r="W105" s="207">
        <f>W9+W11+W13+W15+W17+W23+W19+W21+W25+W27+W33+W31+W29+W35+W37+W39+W41+W43+W45+W47+W7+W49+W51+W53+W55+W57+W59+W63+W61+W65+W67+W69+W71+W91+W73+W75+W77+W79+W81+W83+W85+W87+W89+W93+W95+W97+W99+W101+W103</f>
        <v>27881055.870000001</v>
      </c>
      <c r="X105" s="208">
        <f>X9+X11+X13+X15+X17+X23+X19+X21+X25+X27+X33+X31+X29+X35+X37+X39+X41+X43+X45+X47+X7+X49+X51+X53+X55+X57+X59+X63+X61+X65+X67+X69+X71+X91+X73+X75+X77+X79+X81+X83+X85+X87+X89+X93+X95+X97+X99+X101+X103</f>
        <v>88522867.779999986</v>
      </c>
    </row>
    <row r="106" spans="1:24" x14ac:dyDescent="0.2">
      <c r="A106" s="209"/>
      <c r="B106" s="434" t="s">
        <v>750</v>
      </c>
      <c r="C106" s="435"/>
      <c r="D106" s="435"/>
      <c r="E106" s="435"/>
      <c r="F106" s="436"/>
      <c r="G106" s="210"/>
      <c r="H106" s="211">
        <f>SUM(H10+H12+H14+H16+H18+H24+H20+H22+H26+H28+H34+H32+H30+H36+H38+H40+H42)+H44+H46+H48+H8+H50+H52+H54+H56+H58+H60+H64+H62+H66+H68+H70+H72+H92+H74+H76+H78+H80+H82+H84+H86+H88+H90+H94+H96+H98+H100+H102+H104+78995.72</f>
        <v>270000</v>
      </c>
      <c r="I106" s="211">
        <f t="shared" ref="I106:V106" si="6">SUM(I10+I12+I14+I16+I18+I24+I20+I22+I26+I28+I34+I32+I30+I36+I38+I40+I42)+I44+I46+I48+I8+I50+I52+I54+I56+I58+I60+I64+I62+I66+I68+I70+I72+I92+I74+I76+I78+I80+I82+I84+I86+I88+I90+I94+I96+I98+I100+I102+I104</f>
        <v>241025</v>
      </c>
      <c r="J106" s="211">
        <f t="shared" si="6"/>
        <v>271365</v>
      </c>
      <c r="K106" s="211">
        <f t="shared" si="6"/>
        <v>256850</v>
      </c>
      <c r="L106" s="211">
        <f t="shared" si="6"/>
        <v>243475</v>
      </c>
      <c r="M106" s="211">
        <f t="shared" si="6"/>
        <v>228740</v>
      </c>
      <c r="N106" s="211">
        <f t="shared" si="6"/>
        <v>214450</v>
      </c>
      <c r="O106" s="211">
        <f t="shared" si="6"/>
        <v>200635</v>
      </c>
      <c r="P106" s="211">
        <f t="shared" si="6"/>
        <v>189720</v>
      </c>
      <c r="Q106" s="211">
        <f t="shared" si="6"/>
        <v>178095</v>
      </c>
      <c r="R106" s="211">
        <f t="shared" si="6"/>
        <v>166865</v>
      </c>
      <c r="S106" s="211">
        <f t="shared" si="6"/>
        <v>155170</v>
      </c>
      <c r="T106" s="211">
        <f t="shared" si="6"/>
        <v>143570</v>
      </c>
      <c r="U106" s="211">
        <f t="shared" si="6"/>
        <v>131175</v>
      </c>
      <c r="V106" s="211">
        <f t="shared" si="6"/>
        <v>119520</v>
      </c>
      <c r="W106" s="211">
        <f>SUM(W10+W12+W14+W16+W18+W24+W20+W22+W26+W28+W34+W32+W30+W36+W38+W40+W42)+W44+W46+W48+W8+W50+W52+W54+W56+W58+W60+W64+W62+W66+W68+W70+W72+W92+W74+W76+W78+W80+W82+W84+W86+W88+W90+W94+W96+W98+W100+W102+W104</f>
        <v>766550</v>
      </c>
      <c r="X106" s="212">
        <f>SUM(X10+X12+X14+X16+X18+X24+X20+X22+X26+X28+X34+X32+X30+X36+X38+X40+X42)+X44+X46+X48+X8+X50+X52+X54+X56+X58+X60+X64+X62+X66+X68+X70+X72+X92+X74+X76+X78+X80+X82+X84+X86+X88+X90+X94+X96+X98+X100+X102+X104</f>
        <v>3698209.28</v>
      </c>
    </row>
    <row r="107" spans="1:24" x14ac:dyDescent="0.2">
      <c r="A107" s="213"/>
      <c r="B107" s="437" t="s">
        <v>751</v>
      </c>
      <c r="C107" s="438"/>
      <c r="D107" s="438"/>
      <c r="E107" s="438"/>
      <c r="F107" s="438"/>
      <c r="G107" s="214"/>
      <c r="H107" s="215">
        <f>SUM(H105:H106)</f>
        <v>8100519.1600000001</v>
      </c>
      <c r="I107" s="215">
        <f t="shared" ref="I107:V107" si="7">SUM(I105:I106)</f>
        <v>5657770.6900000004</v>
      </c>
      <c r="J107" s="215">
        <f t="shared" si="7"/>
        <v>5035729.5599999996</v>
      </c>
      <c r="K107" s="215">
        <f t="shared" si="7"/>
        <v>4744444.5</v>
      </c>
      <c r="L107" s="215">
        <f t="shared" si="7"/>
        <v>4646755</v>
      </c>
      <c r="M107" s="215">
        <f t="shared" si="7"/>
        <v>4694924</v>
      </c>
      <c r="N107" s="215">
        <f t="shared" si="7"/>
        <v>4685330</v>
      </c>
      <c r="O107" s="215">
        <f t="shared" si="7"/>
        <v>3486126</v>
      </c>
      <c r="P107" s="215">
        <f t="shared" si="7"/>
        <v>3153501</v>
      </c>
      <c r="Q107" s="215">
        <f t="shared" si="7"/>
        <v>3126051</v>
      </c>
      <c r="R107" s="215">
        <f t="shared" si="7"/>
        <v>3287105</v>
      </c>
      <c r="S107" s="215">
        <f t="shared" si="7"/>
        <v>3401490</v>
      </c>
      <c r="T107" s="215">
        <f t="shared" si="7"/>
        <v>3389890</v>
      </c>
      <c r="U107" s="215">
        <f t="shared" si="7"/>
        <v>3355443</v>
      </c>
      <c r="V107" s="215">
        <f t="shared" si="7"/>
        <v>2887388</v>
      </c>
      <c r="W107" s="215">
        <f>SUM(W105:W106)</f>
        <v>28647605.870000001</v>
      </c>
      <c r="X107" s="216">
        <f>SUM(X105:X106)</f>
        <v>92221077.059999987</v>
      </c>
    </row>
    <row r="108" spans="1:24" x14ac:dyDescent="0.2">
      <c r="A108" s="217"/>
      <c r="B108" s="403" t="s">
        <v>752</v>
      </c>
      <c r="C108" s="404"/>
      <c r="D108" s="218"/>
      <c r="E108" s="219" t="s">
        <v>753</v>
      </c>
      <c r="F108" s="297">
        <v>65240852</v>
      </c>
      <c r="G108" s="220" t="s">
        <v>754</v>
      </c>
      <c r="H108" s="151">
        <f>SUM(H107/$F$108)</f>
        <v>0.12416329510840846</v>
      </c>
      <c r="I108" s="151">
        <f t="shared" ref="I108:S108" si="8">SUM(I107/$F$108)</f>
        <v>8.6721287606728384E-2</v>
      </c>
      <c r="J108" s="151">
        <f t="shared" si="8"/>
        <v>7.7186753477713616E-2</v>
      </c>
      <c r="K108" s="151">
        <f t="shared" si="8"/>
        <v>7.2721988670534227E-2</v>
      </c>
      <c r="L108" s="151">
        <f>SUM(L107/$F$108)</f>
        <v>7.122462165270313E-2</v>
      </c>
      <c r="M108" s="151">
        <f t="shared" si="8"/>
        <v>7.1962947387627624E-2</v>
      </c>
      <c r="N108" s="151">
        <f t="shared" si="8"/>
        <v>7.1815892287856689E-2</v>
      </c>
      <c r="O108" s="151">
        <f t="shared" si="8"/>
        <v>5.3434709896185907E-2</v>
      </c>
      <c r="P108" s="152">
        <f t="shared" si="8"/>
        <v>4.8336293952752178E-2</v>
      </c>
      <c r="Q108" s="152">
        <f t="shared" si="8"/>
        <v>4.791554530894232E-2</v>
      </c>
      <c r="R108" s="152">
        <f t="shared" si="8"/>
        <v>5.0384151942099102E-2</v>
      </c>
      <c r="S108" s="152">
        <f t="shared" si="8"/>
        <v>5.213742456950133E-2</v>
      </c>
      <c r="T108" s="152">
        <f>SUM(T107/$F$108)</f>
        <v>5.1959621863920474E-2</v>
      </c>
      <c r="U108" s="152">
        <f t="shared" ref="U108:W108" si="9">SUM(U107/$F$108)</f>
        <v>5.143162446744258E-2</v>
      </c>
      <c r="V108" s="152">
        <f t="shared" si="9"/>
        <v>4.4257361936352393E-2</v>
      </c>
      <c r="W108" s="152">
        <f t="shared" si="9"/>
        <v>0.43910533035344174</v>
      </c>
      <c r="X108" s="153"/>
    </row>
    <row r="109" spans="1:24" x14ac:dyDescent="0.2">
      <c r="A109" s="221"/>
      <c r="B109" s="403" t="s">
        <v>782</v>
      </c>
      <c r="C109" s="404"/>
      <c r="D109" s="218"/>
      <c r="E109" s="219"/>
      <c r="F109" s="166"/>
      <c r="G109" s="222" t="s">
        <v>754</v>
      </c>
      <c r="H109" s="223">
        <f t="shared" ref="H109:W109" si="10">SUM((H107-H111)/$F$108)</f>
        <v>8.9708586270455193E-2</v>
      </c>
      <c r="I109" s="224">
        <f t="shared" si="10"/>
        <v>8.6721287606728384E-2</v>
      </c>
      <c r="J109" s="224">
        <f t="shared" si="10"/>
        <v>7.7186753477713616E-2</v>
      </c>
      <c r="K109" s="224">
        <f t="shared" si="10"/>
        <v>7.2721988670534227E-2</v>
      </c>
      <c r="L109" s="224">
        <f t="shared" si="10"/>
        <v>7.122462165270313E-2</v>
      </c>
      <c r="M109" s="224">
        <f t="shared" si="10"/>
        <v>7.1962947387627624E-2</v>
      </c>
      <c r="N109" s="224">
        <f t="shared" si="10"/>
        <v>7.1815892287856689E-2</v>
      </c>
      <c r="O109" s="224">
        <f t="shared" si="10"/>
        <v>5.3434709896185907E-2</v>
      </c>
      <c r="P109" s="224">
        <f t="shared" si="10"/>
        <v>4.8336293952752178E-2</v>
      </c>
      <c r="Q109" s="224">
        <f t="shared" si="10"/>
        <v>4.791554530894232E-2</v>
      </c>
      <c r="R109" s="224">
        <f t="shared" si="10"/>
        <v>5.0384151942099102E-2</v>
      </c>
      <c r="S109" s="224">
        <f t="shared" si="10"/>
        <v>5.213742456950133E-2</v>
      </c>
      <c r="T109" s="224">
        <f t="shared" si="10"/>
        <v>5.1959621863920474E-2</v>
      </c>
      <c r="U109" s="224">
        <f t="shared" si="10"/>
        <v>5.143162446744258E-2</v>
      </c>
      <c r="V109" s="224">
        <f t="shared" si="10"/>
        <v>4.4257361936352393E-2</v>
      </c>
      <c r="W109" s="224">
        <f t="shared" si="10"/>
        <v>0.43910533035344174</v>
      </c>
      <c r="X109" s="225"/>
    </row>
    <row r="110" spans="1:24" ht="15" customHeight="1" x14ac:dyDescent="0.2">
      <c r="C110" s="226"/>
      <c r="D110" s="226"/>
      <c r="E110" s="226"/>
      <c r="F110" s="226"/>
      <c r="G110" s="226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X110" s="227"/>
    </row>
    <row r="111" spans="1:24" ht="15" customHeight="1" x14ac:dyDescent="0.2">
      <c r="C111" s="226"/>
      <c r="D111" s="226"/>
      <c r="E111" s="407" t="s">
        <v>871</v>
      </c>
      <c r="F111" s="407"/>
      <c r="G111" s="407"/>
      <c r="H111" s="276">
        <f>H19-750.21+H39+H41+H47+H51+H57+H65+H69+H73+H75+H79+H81+H359+H71+H35-38592</f>
        <v>2247854.56</v>
      </c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8"/>
      <c r="X111" s="227"/>
    </row>
    <row r="112" spans="1:24" ht="15" customHeight="1" x14ac:dyDescent="0.2">
      <c r="C112" s="226"/>
      <c r="D112" s="226"/>
      <c r="E112" s="407" t="s">
        <v>781</v>
      </c>
      <c r="F112" s="407"/>
      <c r="G112" s="407"/>
      <c r="H112" s="227">
        <f>5582664.39+0.21</f>
        <v>5582664.5999999996</v>
      </c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8"/>
      <c r="X112" s="227"/>
    </row>
    <row r="113" spans="1:24" ht="15" customHeight="1" x14ac:dyDescent="0.2">
      <c r="C113" s="226"/>
      <c r="D113" s="226"/>
      <c r="E113" s="432"/>
      <c r="F113" s="432"/>
      <c r="G113" s="432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8"/>
      <c r="X113" s="227"/>
    </row>
    <row r="114" spans="1:24" x14ac:dyDescent="0.2">
      <c r="D114" s="182"/>
      <c r="E114" s="229"/>
      <c r="F114" s="230"/>
      <c r="G114" s="230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X114" s="232"/>
    </row>
    <row r="115" spans="1:24" s="235" customFormat="1" ht="15" hidden="1" customHeight="1" x14ac:dyDescent="0.2">
      <c r="A115" s="180"/>
      <c r="B115" s="185"/>
      <c r="C115" s="433" t="s">
        <v>755</v>
      </c>
      <c r="D115" s="433"/>
      <c r="E115" s="433"/>
      <c r="F115" s="433"/>
      <c r="G115" s="433"/>
      <c r="H115" s="233"/>
      <c r="I115" s="233">
        <f>I105-H105+H111+1000000</f>
        <v>834081.09000000032</v>
      </c>
      <c r="J115" s="233">
        <f t="shared" ref="J115:V115" si="11">J105-I105</f>
        <v>-652381.13000000082</v>
      </c>
      <c r="K115" s="233">
        <f t="shared" si="11"/>
        <v>-276770.05999999959</v>
      </c>
      <c r="L115" s="233">
        <f t="shared" si="11"/>
        <v>-84314.5</v>
      </c>
      <c r="M115" s="233">
        <f t="shared" si="11"/>
        <v>62904</v>
      </c>
      <c r="N115" s="233">
        <f t="shared" si="11"/>
        <v>4696</v>
      </c>
      <c r="O115" s="233">
        <f t="shared" si="11"/>
        <v>-1185389</v>
      </c>
      <c r="P115" s="233">
        <f t="shared" si="11"/>
        <v>-321710</v>
      </c>
      <c r="Q115" s="233">
        <f t="shared" si="11"/>
        <v>-15825</v>
      </c>
      <c r="R115" s="233">
        <f t="shared" si="11"/>
        <v>172284</v>
      </c>
      <c r="S115" s="233">
        <f t="shared" si="11"/>
        <v>126080</v>
      </c>
      <c r="T115" s="233">
        <f t="shared" si="11"/>
        <v>0</v>
      </c>
      <c r="U115" s="233">
        <f t="shared" si="11"/>
        <v>-22052</v>
      </c>
      <c r="V115" s="233">
        <f t="shared" si="11"/>
        <v>-456400</v>
      </c>
      <c r="W115" s="233"/>
      <c r="X115" s="234"/>
    </row>
    <row r="116" spans="1:24" s="235" customFormat="1" ht="15" hidden="1" customHeight="1" x14ac:dyDescent="0.2">
      <c r="A116" s="180"/>
      <c r="B116" s="185"/>
      <c r="C116" s="433" t="s">
        <v>756</v>
      </c>
      <c r="D116" s="433"/>
      <c r="E116" s="433"/>
      <c r="F116" s="433"/>
      <c r="G116" s="433"/>
      <c r="H116" s="233"/>
      <c r="I116" s="233">
        <f>I107-H107</f>
        <v>-2442748.4699999997</v>
      </c>
      <c r="J116" s="233">
        <f>J107-I107</f>
        <v>-622041.13000000082</v>
      </c>
      <c r="K116" s="233">
        <f t="shared" ref="K116:V116" si="12">K107-J107</f>
        <v>-291285.05999999959</v>
      </c>
      <c r="L116" s="233">
        <f t="shared" si="12"/>
        <v>-97689.5</v>
      </c>
      <c r="M116" s="233">
        <f t="shared" si="12"/>
        <v>48169</v>
      </c>
      <c r="N116" s="233">
        <f t="shared" si="12"/>
        <v>-9594</v>
      </c>
      <c r="O116" s="233">
        <f t="shared" si="12"/>
        <v>-1199204</v>
      </c>
      <c r="P116" s="233">
        <f t="shared" si="12"/>
        <v>-332625</v>
      </c>
      <c r="Q116" s="233">
        <f t="shared" si="12"/>
        <v>-27450</v>
      </c>
      <c r="R116" s="233">
        <f t="shared" si="12"/>
        <v>161054</v>
      </c>
      <c r="S116" s="233">
        <f t="shared" si="12"/>
        <v>114385</v>
      </c>
      <c r="T116" s="233">
        <f t="shared" si="12"/>
        <v>-11600</v>
      </c>
      <c r="U116" s="233">
        <f t="shared" si="12"/>
        <v>-34447</v>
      </c>
      <c r="V116" s="233">
        <f t="shared" si="12"/>
        <v>-468055</v>
      </c>
      <c r="W116" s="233"/>
      <c r="X116" s="234"/>
    </row>
    <row r="117" spans="1:24" s="235" customFormat="1" hidden="1" x14ac:dyDescent="0.2">
      <c r="A117" s="236"/>
      <c r="B117" s="237"/>
      <c r="C117" s="236"/>
      <c r="D117" s="236"/>
      <c r="E117" s="186"/>
      <c r="F117" s="238"/>
      <c r="G117" s="238"/>
      <c r="H117" s="239"/>
      <c r="I117" s="239"/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</row>
    <row r="118" spans="1:24" s="235" customFormat="1" x14ac:dyDescent="0.2">
      <c r="A118" s="236"/>
      <c r="B118" s="237"/>
      <c r="C118" s="236"/>
      <c r="D118" s="236"/>
      <c r="E118" s="186"/>
      <c r="F118" s="238"/>
      <c r="G118" s="238"/>
      <c r="H118" s="239"/>
      <c r="I118" s="239"/>
      <c r="J118" s="239"/>
      <c r="K118" s="239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</row>
    <row r="119" spans="1:24" s="235" customFormat="1" x14ac:dyDescent="0.2">
      <c r="A119" s="236"/>
      <c r="B119" s="237"/>
      <c r="C119" s="236"/>
      <c r="D119" s="236"/>
      <c r="E119" s="186"/>
      <c r="F119" s="238"/>
      <c r="G119" s="238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</row>
    <row r="120" spans="1:24" s="235" customFormat="1" x14ac:dyDescent="0.2">
      <c r="A120" s="236"/>
      <c r="B120" s="240" t="s">
        <v>757</v>
      </c>
      <c r="C120" s="236"/>
      <c r="D120" s="236"/>
      <c r="E120" s="186"/>
      <c r="F120" s="238"/>
      <c r="G120" s="238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</row>
    <row r="121" spans="1:24" s="235" customFormat="1" x14ac:dyDescent="0.2">
      <c r="A121" s="425">
        <v>1</v>
      </c>
      <c r="B121" s="170" t="s">
        <v>652</v>
      </c>
      <c r="C121" s="427" t="s">
        <v>758</v>
      </c>
      <c r="D121" s="172"/>
      <c r="E121" s="418">
        <v>5122338.5199999996</v>
      </c>
      <c r="F121" s="420" t="s">
        <v>759</v>
      </c>
      <c r="G121" s="241" t="s">
        <v>655</v>
      </c>
      <c r="H121" s="132">
        <v>216000</v>
      </c>
      <c r="I121" s="132">
        <v>216000</v>
      </c>
      <c r="J121" s="132">
        <v>216000</v>
      </c>
      <c r="K121" s="132">
        <v>216000</v>
      </c>
      <c r="L121" s="132">
        <v>216000</v>
      </c>
      <c r="M121" s="132">
        <v>216000</v>
      </c>
      <c r="N121" s="132">
        <v>216000</v>
      </c>
      <c r="O121" s="132">
        <v>216000</v>
      </c>
      <c r="P121" s="132">
        <v>216000</v>
      </c>
      <c r="Q121" s="132">
        <v>216000</v>
      </c>
      <c r="R121" s="132">
        <v>216000</v>
      </c>
      <c r="S121" s="132">
        <v>0</v>
      </c>
      <c r="T121" s="132">
        <v>0</v>
      </c>
      <c r="U121" s="167">
        <v>0</v>
      </c>
      <c r="V121" s="167">
        <v>0</v>
      </c>
      <c r="W121" s="167">
        <v>0</v>
      </c>
      <c r="X121" s="124">
        <f t="shared" ref="X121:X128" si="13">SUM(H121:W121)</f>
        <v>2376000</v>
      </c>
    </row>
    <row r="122" spans="1:24" s="235" customFormat="1" x14ac:dyDescent="0.2">
      <c r="A122" s="426"/>
      <c r="B122" s="171" t="s">
        <v>760</v>
      </c>
      <c r="C122" s="417"/>
      <c r="D122" s="173"/>
      <c r="E122" s="419"/>
      <c r="F122" s="421"/>
      <c r="G122" s="242">
        <v>5.0000000000000001E-3</v>
      </c>
      <c r="H122" s="158">
        <v>11850</v>
      </c>
      <c r="I122" s="158">
        <v>10785</v>
      </c>
      <c r="J122" s="158">
        <v>9690</v>
      </c>
      <c r="K122" s="158">
        <v>8595</v>
      </c>
      <c r="L122" s="158">
        <v>7520</v>
      </c>
      <c r="M122" s="158">
        <v>6405</v>
      </c>
      <c r="N122" s="158">
        <v>5310</v>
      </c>
      <c r="O122" s="158">
        <v>4215</v>
      </c>
      <c r="P122" s="158">
        <v>3130</v>
      </c>
      <c r="Q122" s="158">
        <v>2025</v>
      </c>
      <c r="R122" s="158">
        <v>930</v>
      </c>
      <c r="S122" s="158">
        <v>65</v>
      </c>
      <c r="T122" s="158">
        <v>0</v>
      </c>
      <c r="U122" s="168">
        <v>0</v>
      </c>
      <c r="V122" s="168">
        <v>0</v>
      </c>
      <c r="W122" s="168">
        <v>0</v>
      </c>
      <c r="X122" s="127">
        <f t="shared" si="13"/>
        <v>70520</v>
      </c>
    </row>
    <row r="123" spans="1:24" s="235" customFormat="1" x14ac:dyDescent="0.2">
      <c r="A123" s="425">
        <v>2</v>
      </c>
      <c r="B123" s="170" t="s">
        <v>652</v>
      </c>
      <c r="C123" s="427" t="s">
        <v>761</v>
      </c>
      <c r="D123" s="172"/>
      <c r="E123" s="418">
        <v>522193.95</v>
      </c>
      <c r="F123" s="420" t="s">
        <v>762</v>
      </c>
      <c r="G123" s="241" t="s">
        <v>655</v>
      </c>
      <c r="H123" s="132"/>
      <c r="I123" s="132"/>
      <c r="J123" s="132">
        <v>0</v>
      </c>
      <c r="K123" s="132">
        <v>10699.57</v>
      </c>
      <c r="L123" s="132">
        <v>32139.84</v>
      </c>
      <c r="M123" s="132">
        <v>32139.84</v>
      </c>
      <c r="N123" s="132">
        <v>32139.84</v>
      </c>
      <c r="O123" s="132">
        <v>32139.84</v>
      </c>
      <c r="P123" s="132">
        <v>32139.84</v>
      </c>
      <c r="Q123" s="132">
        <v>32139.84</v>
      </c>
      <c r="R123" s="132">
        <v>32061.39</v>
      </c>
      <c r="S123" s="132">
        <v>0</v>
      </c>
      <c r="T123" s="132">
        <v>0</v>
      </c>
      <c r="U123" s="167">
        <v>0</v>
      </c>
      <c r="V123" s="167">
        <v>0</v>
      </c>
      <c r="W123" s="167">
        <v>0</v>
      </c>
      <c r="X123" s="124">
        <f>SUM(H123:W123)</f>
        <v>235600</v>
      </c>
    </row>
    <row r="124" spans="1:24" s="235" customFormat="1" x14ac:dyDescent="0.2">
      <c r="A124" s="426"/>
      <c r="B124" s="171" t="s">
        <v>763</v>
      </c>
      <c r="C124" s="417"/>
      <c r="D124" s="173"/>
      <c r="E124" s="419"/>
      <c r="F124" s="421"/>
      <c r="G124" s="242">
        <v>5.0000000000000001E-3</v>
      </c>
      <c r="H124" s="158">
        <v>1200</v>
      </c>
      <c r="I124" s="158">
        <v>1195</v>
      </c>
      <c r="J124" s="158">
        <v>1195</v>
      </c>
      <c r="K124" s="158">
        <v>1195</v>
      </c>
      <c r="L124" s="158">
        <v>1120</v>
      </c>
      <c r="M124" s="158">
        <v>955</v>
      </c>
      <c r="N124" s="158">
        <v>790</v>
      </c>
      <c r="O124" s="158">
        <v>630</v>
      </c>
      <c r="P124" s="158">
        <v>465</v>
      </c>
      <c r="Q124" s="158">
        <v>305</v>
      </c>
      <c r="R124" s="158">
        <v>140</v>
      </c>
      <c r="S124" s="158">
        <v>10</v>
      </c>
      <c r="T124" s="158">
        <v>0</v>
      </c>
      <c r="U124" s="168">
        <v>0</v>
      </c>
      <c r="V124" s="168">
        <v>0</v>
      </c>
      <c r="W124" s="168">
        <v>0</v>
      </c>
      <c r="X124" s="127">
        <f t="shared" si="13"/>
        <v>9200</v>
      </c>
    </row>
    <row r="125" spans="1:24" s="235" customFormat="1" ht="12.75" customHeight="1" x14ac:dyDescent="0.2">
      <c r="A125" s="428">
        <v>3</v>
      </c>
      <c r="B125" s="289" t="s">
        <v>652</v>
      </c>
      <c r="C125" s="430" t="s">
        <v>815</v>
      </c>
      <c r="D125" s="290"/>
      <c r="E125" s="418">
        <v>6033386</v>
      </c>
      <c r="F125" s="430" t="s">
        <v>822</v>
      </c>
      <c r="G125" s="291" t="s">
        <v>655</v>
      </c>
      <c r="H125" s="132"/>
      <c r="I125" s="132"/>
      <c r="J125" s="132"/>
      <c r="K125" s="167">
        <v>221321</v>
      </c>
      <c r="L125" s="167">
        <v>221412</v>
      </c>
      <c r="M125" s="167">
        <v>221412</v>
      </c>
      <c r="N125" s="167">
        <v>221412</v>
      </c>
      <c r="O125" s="167">
        <v>221412</v>
      </c>
      <c r="P125" s="167">
        <v>221412</v>
      </c>
      <c r="Q125" s="167">
        <v>221412</v>
      </c>
      <c r="R125" s="167">
        <v>221412</v>
      </c>
      <c r="S125" s="167">
        <v>221412</v>
      </c>
      <c r="T125" s="167">
        <v>221412</v>
      </c>
      <c r="U125" s="167">
        <v>221412</v>
      </c>
      <c r="V125" s="167">
        <v>221412</v>
      </c>
      <c r="W125" s="167">
        <v>3376533</v>
      </c>
      <c r="X125" s="124">
        <f t="shared" si="13"/>
        <v>6033386</v>
      </c>
    </row>
    <row r="126" spans="1:24" s="235" customFormat="1" x14ac:dyDescent="0.2">
      <c r="A126" s="429"/>
      <c r="B126" s="292" t="s">
        <v>823</v>
      </c>
      <c r="C126" s="431"/>
      <c r="D126" s="293"/>
      <c r="E126" s="419"/>
      <c r="F126" s="431"/>
      <c r="G126" s="294">
        <v>1.477E-2</v>
      </c>
      <c r="H126" s="158">
        <f>25250</f>
        <v>25250</v>
      </c>
      <c r="I126" s="158">
        <v>90355</v>
      </c>
      <c r="J126" s="158">
        <v>90355</v>
      </c>
      <c r="K126" s="158">
        <v>89660</v>
      </c>
      <c r="L126" s="158">
        <v>86765</v>
      </c>
      <c r="M126" s="158">
        <v>83210</v>
      </c>
      <c r="N126" s="158">
        <v>79895</v>
      </c>
      <c r="O126" s="158">
        <v>76580</v>
      </c>
      <c r="P126" s="158">
        <v>73465</v>
      </c>
      <c r="Q126" s="158">
        <v>69950</v>
      </c>
      <c r="R126" s="158">
        <v>66635</v>
      </c>
      <c r="S126" s="158">
        <v>63320</v>
      </c>
      <c r="T126" s="158">
        <v>60170</v>
      </c>
      <c r="U126" s="168">
        <v>56685</v>
      </c>
      <c r="V126" s="168">
        <v>53370</v>
      </c>
      <c r="W126" s="168">
        <v>403525</v>
      </c>
      <c r="X126" s="127">
        <f t="shared" si="13"/>
        <v>1469190</v>
      </c>
    </row>
    <row r="127" spans="1:24" s="235" customFormat="1" hidden="1" x14ac:dyDescent="0.2">
      <c r="A127" s="414"/>
      <c r="B127" s="170"/>
      <c r="C127" s="416"/>
      <c r="D127" s="172"/>
      <c r="E127" s="418"/>
      <c r="F127" s="420"/>
      <c r="G127" s="241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5"/>
      <c r="V127" s="155"/>
      <c r="W127" s="155"/>
      <c r="X127" s="124">
        <f t="shared" si="13"/>
        <v>0</v>
      </c>
    </row>
    <row r="128" spans="1:24" s="235" customFormat="1" hidden="1" x14ac:dyDescent="0.2">
      <c r="A128" s="415"/>
      <c r="B128" s="171"/>
      <c r="C128" s="417"/>
      <c r="D128" s="173"/>
      <c r="E128" s="419"/>
      <c r="F128" s="421"/>
      <c r="G128" s="242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7"/>
      <c r="V128" s="157"/>
      <c r="W128" s="157"/>
      <c r="X128" s="127">
        <f t="shared" si="13"/>
        <v>0</v>
      </c>
    </row>
    <row r="129" spans="1:24" s="235" customFormat="1" x14ac:dyDescent="0.2">
      <c r="A129" s="243"/>
      <c r="B129" s="422" t="s">
        <v>764</v>
      </c>
      <c r="C129" s="423"/>
      <c r="D129" s="423"/>
      <c r="E129" s="423"/>
      <c r="F129" s="424"/>
      <c r="G129" s="244"/>
      <c r="H129" s="245">
        <f>H121+H123+H125+H127</f>
        <v>216000</v>
      </c>
      <c r="I129" s="245">
        <f t="shared" ref="I129:W130" si="14">I121+I123+I125+I127</f>
        <v>216000</v>
      </c>
      <c r="J129" s="245">
        <f t="shared" si="14"/>
        <v>216000</v>
      </c>
      <c r="K129" s="245">
        <f t="shared" si="14"/>
        <v>448020.57</v>
      </c>
      <c r="L129" s="245">
        <f t="shared" si="14"/>
        <v>469551.83999999997</v>
      </c>
      <c r="M129" s="245">
        <f t="shared" si="14"/>
        <v>469551.83999999997</v>
      </c>
      <c r="N129" s="245">
        <f t="shared" si="14"/>
        <v>469551.83999999997</v>
      </c>
      <c r="O129" s="245">
        <f t="shared" si="14"/>
        <v>469551.83999999997</v>
      </c>
      <c r="P129" s="245">
        <f t="shared" si="14"/>
        <v>469551.83999999997</v>
      </c>
      <c r="Q129" s="245">
        <f t="shared" si="14"/>
        <v>469551.83999999997</v>
      </c>
      <c r="R129" s="245">
        <f t="shared" si="14"/>
        <v>469473.39</v>
      </c>
      <c r="S129" s="245">
        <f t="shared" si="14"/>
        <v>221412</v>
      </c>
      <c r="T129" s="245">
        <f t="shared" si="14"/>
        <v>221412</v>
      </c>
      <c r="U129" s="245">
        <f t="shared" si="14"/>
        <v>221412</v>
      </c>
      <c r="V129" s="245">
        <f t="shared" si="14"/>
        <v>221412</v>
      </c>
      <c r="W129" s="245">
        <f t="shared" si="14"/>
        <v>3376533</v>
      </c>
      <c r="X129" s="246">
        <f>+X121+X123+X125+X127</f>
        <v>8644986</v>
      </c>
    </row>
    <row r="130" spans="1:24" s="235" customFormat="1" ht="13.5" thickBot="1" x14ac:dyDescent="0.25">
      <c r="A130" s="247"/>
      <c r="B130" s="411" t="s">
        <v>750</v>
      </c>
      <c r="C130" s="411"/>
      <c r="D130" s="411"/>
      <c r="E130" s="411"/>
      <c r="F130" s="411"/>
      <c r="G130" s="248"/>
      <c r="H130" s="249">
        <f>H122+H124+H126+H128</f>
        <v>38300</v>
      </c>
      <c r="I130" s="249">
        <f t="shared" si="14"/>
        <v>102335</v>
      </c>
      <c r="J130" s="249">
        <f t="shared" si="14"/>
        <v>101240</v>
      </c>
      <c r="K130" s="249">
        <f t="shared" si="14"/>
        <v>99450</v>
      </c>
      <c r="L130" s="249">
        <f t="shared" si="14"/>
        <v>95405</v>
      </c>
      <c r="M130" s="249">
        <f t="shared" si="14"/>
        <v>90570</v>
      </c>
      <c r="N130" s="249">
        <f t="shared" si="14"/>
        <v>85995</v>
      </c>
      <c r="O130" s="249">
        <f t="shared" si="14"/>
        <v>81425</v>
      </c>
      <c r="P130" s="249">
        <f t="shared" si="14"/>
        <v>77060</v>
      </c>
      <c r="Q130" s="249">
        <f t="shared" si="14"/>
        <v>72280</v>
      </c>
      <c r="R130" s="249">
        <f t="shared" si="14"/>
        <v>67705</v>
      </c>
      <c r="S130" s="249">
        <f t="shared" si="14"/>
        <v>63395</v>
      </c>
      <c r="T130" s="249">
        <f t="shared" si="14"/>
        <v>60170</v>
      </c>
      <c r="U130" s="249">
        <f t="shared" si="14"/>
        <v>56685</v>
      </c>
      <c r="V130" s="249">
        <f t="shared" si="14"/>
        <v>53370</v>
      </c>
      <c r="W130" s="249">
        <f t="shared" si="14"/>
        <v>403525</v>
      </c>
      <c r="X130" s="250">
        <f>+X122+X124+X126+X128</f>
        <v>1548910</v>
      </c>
    </row>
    <row r="131" spans="1:24" s="235" customFormat="1" ht="13.5" thickTop="1" x14ac:dyDescent="0.2">
      <c r="A131" s="251"/>
      <c r="B131" s="405" t="s">
        <v>765</v>
      </c>
      <c r="C131" s="406"/>
      <c r="D131" s="406"/>
      <c r="E131" s="406"/>
      <c r="F131" s="406"/>
      <c r="G131" s="252"/>
      <c r="H131" s="253">
        <f t="shared" ref="H131:W131" si="15">SUM(H129:H130)</f>
        <v>254300</v>
      </c>
      <c r="I131" s="253">
        <f t="shared" si="15"/>
        <v>318335</v>
      </c>
      <c r="J131" s="253">
        <f t="shared" si="15"/>
        <v>317240</v>
      </c>
      <c r="K131" s="253">
        <f t="shared" si="15"/>
        <v>547470.57000000007</v>
      </c>
      <c r="L131" s="253">
        <f t="shared" si="15"/>
        <v>564956.84</v>
      </c>
      <c r="M131" s="253">
        <f t="shared" si="15"/>
        <v>560121.84</v>
      </c>
      <c r="N131" s="253">
        <f t="shared" si="15"/>
        <v>555546.84</v>
      </c>
      <c r="O131" s="253">
        <f t="shared" si="15"/>
        <v>550976.84</v>
      </c>
      <c r="P131" s="253">
        <f t="shared" si="15"/>
        <v>546611.84</v>
      </c>
      <c r="Q131" s="253">
        <f t="shared" si="15"/>
        <v>541831.84</v>
      </c>
      <c r="R131" s="253">
        <f t="shared" si="15"/>
        <v>537178.39</v>
      </c>
      <c r="S131" s="253">
        <f t="shared" si="15"/>
        <v>284807</v>
      </c>
      <c r="T131" s="253">
        <f t="shared" si="15"/>
        <v>281582</v>
      </c>
      <c r="U131" s="253">
        <f t="shared" si="15"/>
        <v>278097</v>
      </c>
      <c r="V131" s="253">
        <f t="shared" si="15"/>
        <v>274782</v>
      </c>
      <c r="W131" s="253">
        <f t="shared" si="15"/>
        <v>3780058</v>
      </c>
      <c r="X131" s="254">
        <f>SUM(X129:X130)</f>
        <v>10193896</v>
      </c>
    </row>
    <row r="132" spans="1:24" s="235" customFormat="1" x14ac:dyDescent="0.2">
      <c r="A132" s="255"/>
      <c r="B132" s="256"/>
      <c r="C132" s="257"/>
      <c r="D132" s="257"/>
      <c r="E132" s="257"/>
      <c r="F132" s="257"/>
      <c r="G132" s="255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258"/>
      <c r="X132" s="258"/>
    </row>
    <row r="133" spans="1:24" s="235" customFormat="1" hidden="1" x14ac:dyDescent="0.2">
      <c r="A133" s="255"/>
      <c r="B133" s="256"/>
      <c r="C133" s="257"/>
      <c r="D133" s="257"/>
      <c r="E133" s="407" t="s">
        <v>816</v>
      </c>
      <c r="F133" s="407"/>
      <c r="G133" s="407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</row>
    <row r="134" spans="1:24" s="235" customFormat="1" hidden="1" x14ac:dyDescent="0.2">
      <c r="A134" s="255"/>
      <c r="B134" s="256"/>
      <c r="C134" s="257"/>
      <c r="D134" s="257"/>
      <c r="E134" s="407" t="s">
        <v>781</v>
      </c>
      <c r="F134" s="407"/>
      <c r="G134" s="407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</row>
    <row r="135" spans="1:24" s="235" customFormat="1" hidden="1" x14ac:dyDescent="0.2">
      <c r="A135" s="255"/>
      <c r="B135" s="256"/>
      <c r="C135" s="257"/>
      <c r="D135" s="257"/>
      <c r="E135" s="259"/>
      <c r="F135" s="259"/>
      <c r="G135" s="259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</row>
    <row r="136" spans="1:24" x14ac:dyDescent="0.2"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</row>
    <row r="137" spans="1:24" s="235" customFormat="1" ht="12" customHeight="1" x14ac:dyDescent="0.2">
      <c r="A137" s="180"/>
      <c r="B137" s="185"/>
      <c r="C137" s="261" t="s">
        <v>639</v>
      </c>
      <c r="D137" s="261"/>
      <c r="E137" s="186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</row>
    <row r="138" spans="1:24" s="235" customFormat="1" x14ac:dyDescent="0.2">
      <c r="A138" s="201"/>
      <c r="B138" s="408" t="s">
        <v>766</v>
      </c>
      <c r="C138" s="409"/>
      <c r="D138" s="409"/>
      <c r="E138" s="409"/>
      <c r="F138" s="410"/>
      <c r="G138" s="206"/>
      <c r="H138" s="262">
        <f t="shared" ref="H138:W139" si="16">H105+H129</f>
        <v>8046519.1600000001</v>
      </c>
      <c r="I138" s="262">
        <f t="shared" si="16"/>
        <v>5632745.6900000004</v>
      </c>
      <c r="J138" s="262">
        <f t="shared" si="16"/>
        <v>4980364.5599999996</v>
      </c>
      <c r="K138" s="262">
        <f t="shared" si="16"/>
        <v>4935615.07</v>
      </c>
      <c r="L138" s="262">
        <f t="shared" si="16"/>
        <v>4872831.84</v>
      </c>
      <c r="M138" s="262">
        <f t="shared" si="16"/>
        <v>4935735.84</v>
      </c>
      <c r="N138" s="262">
        <f t="shared" si="16"/>
        <v>4940431.84</v>
      </c>
      <c r="O138" s="262">
        <f t="shared" si="16"/>
        <v>3755042.84</v>
      </c>
      <c r="P138" s="262">
        <f t="shared" si="16"/>
        <v>3433332.84</v>
      </c>
      <c r="Q138" s="262">
        <f t="shared" si="16"/>
        <v>3417507.8399999999</v>
      </c>
      <c r="R138" s="262">
        <f t="shared" si="16"/>
        <v>3589713.39</v>
      </c>
      <c r="S138" s="262">
        <f t="shared" si="16"/>
        <v>3467732</v>
      </c>
      <c r="T138" s="262">
        <f t="shared" si="16"/>
        <v>3467732</v>
      </c>
      <c r="U138" s="262">
        <f t="shared" si="16"/>
        <v>3445680</v>
      </c>
      <c r="V138" s="262">
        <f t="shared" si="16"/>
        <v>2989280</v>
      </c>
      <c r="W138" s="262">
        <f t="shared" si="16"/>
        <v>31257588.870000001</v>
      </c>
      <c r="X138" s="263">
        <f>SUM(H138:W138)</f>
        <v>97167853.780000016</v>
      </c>
    </row>
    <row r="139" spans="1:24" s="235" customFormat="1" ht="13.5" thickBot="1" x14ac:dyDescent="0.25">
      <c r="A139" s="247"/>
      <c r="B139" s="411" t="s">
        <v>750</v>
      </c>
      <c r="C139" s="411"/>
      <c r="D139" s="411"/>
      <c r="E139" s="411"/>
      <c r="F139" s="411"/>
      <c r="G139" s="264"/>
      <c r="H139" s="249">
        <f t="shared" si="16"/>
        <v>308300</v>
      </c>
      <c r="I139" s="249">
        <f t="shared" si="16"/>
        <v>343360</v>
      </c>
      <c r="J139" s="249">
        <f t="shared" si="16"/>
        <v>372605</v>
      </c>
      <c r="K139" s="249">
        <f t="shared" si="16"/>
        <v>356300</v>
      </c>
      <c r="L139" s="249">
        <f t="shared" si="16"/>
        <v>338880</v>
      </c>
      <c r="M139" s="249">
        <f t="shared" si="16"/>
        <v>319310</v>
      </c>
      <c r="N139" s="249">
        <f t="shared" si="16"/>
        <v>300445</v>
      </c>
      <c r="O139" s="249">
        <f t="shared" si="16"/>
        <v>282060</v>
      </c>
      <c r="P139" s="249">
        <f t="shared" si="16"/>
        <v>266780</v>
      </c>
      <c r="Q139" s="249">
        <f t="shared" si="16"/>
        <v>250375</v>
      </c>
      <c r="R139" s="249">
        <f t="shared" si="16"/>
        <v>234570</v>
      </c>
      <c r="S139" s="249">
        <f t="shared" si="16"/>
        <v>218565</v>
      </c>
      <c r="T139" s="249">
        <f t="shared" si="16"/>
        <v>203740</v>
      </c>
      <c r="U139" s="249">
        <f t="shared" si="16"/>
        <v>187860</v>
      </c>
      <c r="V139" s="249">
        <f t="shared" si="16"/>
        <v>172890</v>
      </c>
      <c r="W139" s="249">
        <f t="shared" si="16"/>
        <v>1170075</v>
      </c>
      <c r="X139" s="250">
        <f>SUM(H139:W139)</f>
        <v>5326115</v>
      </c>
    </row>
    <row r="140" spans="1:24" s="235" customFormat="1" ht="13.5" thickTop="1" x14ac:dyDescent="0.2">
      <c r="A140" s="265"/>
      <c r="B140" s="412" t="s">
        <v>651</v>
      </c>
      <c r="C140" s="413"/>
      <c r="D140" s="413"/>
      <c r="E140" s="413"/>
      <c r="F140" s="413"/>
      <c r="G140" s="214"/>
      <c r="H140" s="215">
        <f t="shared" ref="H140:W140" si="17">SUM(H138:H139)</f>
        <v>8354819.1600000001</v>
      </c>
      <c r="I140" s="215">
        <f t="shared" si="17"/>
        <v>5976105.6900000004</v>
      </c>
      <c r="J140" s="215">
        <f t="shared" si="17"/>
        <v>5352969.5599999996</v>
      </c>
      <c r="K140" s="215">
        <f t="shared" si="17"/>
        <v>5291915.07</v>
      </c>
      <c r="L140" s="215">
        <f t="shared" si="17"/>
        <v>5211711.84</v>
      </c>
      <c r="M140" s="215">
        <f t="shared" si="17"/>
        <v>5255045.84</v>
      </c>
      <c r="N140" s="215">
        <f t="shared" si="17"/>
        <v>5240876.84</v>
      </c>
      <c r="O140" s="215">
        <f t="shared" si="17"/>
        <v>4037102.84</v>
      </c>
      <c r="P140" s="215">
        <f t="shared" si="17"/>
        <v>3700112.84</v>
      </c>
      <c r="Q140" s="215">
        <f t="shared" si="17"/>
        <v>3667882.84</v>
      </c>
      <c r="R140" s="215">
        <f t="shared" si="17"/>
        <v>3824283.39</v>
      </c>
      <c r="S140" s="215">
        <f t="shared" si="17"/>
        <v>3686297</v>
      </c>
      <c r="T140" s="215">
        <f t="shared" si="17"/>
        <v>3671472</v>
      </c>
      <c r="U140" s="215">
        <f t="shared" si="17"/>
        <v>3633540</v>
      </c>
      <c r="V140" s="215">
        <f>SUM(V138:V139)</f>
        <v>3162170</v>
      </c>
      <c r="W140" s="215">
        <f t="shared" si="17"/>
        <v>32427663.870000001</v>
      </c>
      <c r="X140" s="216">
        <f>SUM(X138:X139)</f>
        <v>102493968.78000002</v>
      </c>
    </row>
    <row r="141" spans="1:24" s="235" customFormat="1" x14ac:dyDescent="0.2">
      <c r="A141" s="217"/>
      <c r="B141" s="403" t="s">
        <v>752</v>
      </c>
      <c r="C141" s="404"/>
      <c r="D141" s="218"/>
      <c r="E141" s="218" t="s">
        <v>753</v>
      </c>
      <c r="F141" s="164">
        <f>F108</f>
        <v>65240852</v>
      </c>
      <c r="G141" s="220" t="s">
        <v>754</v>
      </c>
      <c r="H141" s="151">
        <f t="shared" ref="H141:W141" si="18">SUM(H140/$F$141)</f>
        <v>0.12806115959368525</v>
      </c>
      <c r="I141" s="151">
        <f t="shared" si="18"/>
        <v>9.1600669010269822E-2</v>
      </c>
      <c r="J141" s="151">
        <f t="shared" si="18"/>
        <v>8.2049350918961012E-2</v>
      </c>
      <c r="K141" s="151">
        <f t="shared" si="18"/>
        <v>8.1113518719835243E-2</v>
      </c>
      <c r="L141" s="151">
        <f t="shared" si="18"/>
        <v>7.9884178091359073E-2</v>
      </c>
      <c r="M141" s="151">
        <f t="shared" si="18"/>
        <v>8.0548393819259129E-2</v>
      </c>
      <c r="N141" s="151">
        <f t="shared" si="18"/>
        <v>8.0331213945519897E-2</v>
      </c>
      <c r="O141" s="151">
        <f t="shared" si="18"/>
        <v>6.1879983418978032E-2</v>
      </c>
      <c r="P141" s="152">
        <f t="shared" si="18"/>
        <v>5.671466154365979E-2</v>
      </c>
      <c r="Q141" s="152">
        <f t="shared" si="18"/>
        <v>5.6220645922895059E-2</v>
      </c>
      <c r="R141" s="152">
        <f t="shared" si="18"/>
        <v>5.8617925314647948E-2</v>
      </c>
      <c r="S141" s="152">
        <f t="shared" si="18"/>
        <v>5.6502894842636327E-2</v>
      </c>
      <c r="T141" s="152">
        <f t="shared" si="18"/>
        <v>5.627565991934011E-2</v>
      </c>
      <c r="U141" s="152">
        <f t="shared" si="18"/>
        <v>5.5694245072090719E-2</v>
      </c>
      <c r="V141" s="152">
        <f t="shared" si="18"/>
        <v>4.8469170819534974E-2</v>
      </c>
      <c r="W141" s="152">
        <f t="shared" si="18"/>
        <v>0.49704537687521311</v>
      </c>
      <c r="X141" s="266"/>
    </row>
    <row r="142" spans="1:24" s="235" customFormat="1" x14ac:dyDescent="0.2">
      <c r="A142" s="221"/>
      <c r="B142" s="403" t="s">
        <v>782</v>
      </c>
      <c r="C142" s="404"/>
      <c r="D142" s="218"/>
      <c r="E142" s="219"/>
      <c r="F142" s="166"/>
      <c r="G142" s="222" t="s">
        <v>754</v>
      </c>
      <c r="H142" s="267">
        <f t="shared" ref="H142:W142" si="19">SUM((H140-H111-H133)/$F$141)</f>
        <v>9.3606450755731999E-2</v>
      </c>
      <c r="I142" s="268">
        <f t="shared" si="19"/>
        <v>9.1600669010269822E-2</v>
      </c>
      <c r="J142" s="268">
        <f t="shared" si="19"/>
        <v>8.2049350918961012E-2</v>
      </c>
      <c r="K142" s="268">
        <f t="shared" si="19"/>
        <v>8.1113518719835243E-2</v>
      </c>
      <c r="L142" s="268">
        <f t="shared" si="19"/>
        <v>7.9884178091359073E-2</v>
      </c>
      <c r="M142" s="268">
        <f t="shared" si="19"/>
        <v>8.0548393819259129E-2</v>
      </c>
      <c r="N142" s="268">
        <f t="shared" si="19"/>
        <v>8.0331213945519897E-2</v>
      </c>
      <c r="O142" s="268">
        <f t="shared" si="19"/>
        <v>6.1879983418978032E-2</v>
      </c>
      <c r="P142" s="268">
        <f t="shared" si="19"/>
        <v>5.671466154365979E-2</v>
      </c>
      <c r="Q142" s="268">
        <f t="shared" si="19"/>
        <v>5.6220645922895059E-2</v>
      </c>
      <c r="R142" s="268">
        <f t="shared" si="19"/>
        <v>5.8617925314647948E-2</v>
      </c>
      <c r="S142" s="268">
        <f t="shared" si="19"/>
        <v>5.6502894842636327E-2</v>
      </c>
      <c r="T142" s="268">
        <f t="shared" si="19"/>
        <v>5.627565991934011E-2</v>
      </c>
      <c r="U142" s="268">
        <f t="shared" si="19"/>
        <v>5.5694245072090719E-2</v>
      </c>
      <c r="V142" s="268">
        <f t="shared" si="19"/>
        <v>4.8469170819534974E-2</v>
      </c>
      <c r="W142" s="268">
        <f t="shared" si="19"/>
        <v>0.49704537687521311</v>
      </c>
      <c r="X142" s="269"/>
    </row>
    <row r="143" spans="1:24" s="235" customFormat="1" ht="15.75" x14ac:dyDescent="0.25">
      <c r="A143" s="180"/>
      <c r="B143" s="185"/>
      <c r="C143" s="186"/>
      <c r="D143" s="186"/>
      <c r="E143" s="186"/>
      <c r="F143" s="180"/>
      <c r="G143" s="180"/>
      <c r="H143" s="159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270"/>
      <c r="U143" s="270"/>
      <c r="V143" s="270"/>
      <c r="W143" s="270"/>
      <c r="X143" s="260"/>
    </row>
    <row r="144" spans="1:24" s="235" customFormat="1" ht="18.75" x14ac:dyDescent="0.3">
      <c r="A144" s="180"/>
      <c r="B144" s="185"/>
      <c r="C144" s="186"/>
      <c r="D144" s="186"/>
      <c r="E144" s="186"/>
      <c r="F144" s="180"/>
      <c r="G144" s="180"/>
      <c r="H144" s="180"/>
      <c r="I144" s="180"/>
      <c r="J144" s="180"/>
      <c r="K144" s="180"/>
      <c r="M144" s="271" t="s">
        <v>102</v>
      </c>
      <c r="N144" s="180"/>
      <c r="O144" s="180"/>
      <c r="P144" s="180"/>
      <c r="Q144" s="180"/>
      <c r="R144" s="180"/>
      <c r="S144" s="180"/>
      <c r="T144" s="272" t="s">
        <v>103</v>
      </c>
      <c r="U144" s="270"/>
      <c r="V144" s="270"/>
      <c r="W144" s="270"/>
      <c r="X144" s="260"/>
    </row>
    <row r="145" spans="1:24" s="235" customFormat="1" x14ac:dyDescent="0.2">
      <c r="A145" s="180"/>
      <c r="B145" s="185"/>
      <c r="C145" s="186"/>
      <c r="D145" s="186"/>
      <c r="E145" s="186"/>
      <c r="F145" s="180"/>
      <c r="G145" s="180"/>
      <c r="H145" s="186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</row>
    <row r="146" spans="1:24" s="235" customFormat="1" ht="18.75" x14ac:dyDescent="0.3">
      <c r="A146" s="180"/>
      <c r="B146" s="185"/>
      <c r="C146" s="186"/>
      <c r="D146" s="186"/>
      <c r="E146" s="186"/>
      <c r="F146" s="180"/>
      <c r="G146" s="180"/>
      <c r="H146" s="160"/>
      <c r="I146" s="180"/>
      <c r="M146" s="180"/>
      <c r="N146" s="180"/>
      <c r="O146" s="180"/>
      <c r="P146" s="180"/>
      <c r="Q146" s="180"/>
      <c r="R146" s="180"/>
      <c r="S146" s="180"/>
      <c r="U146" s="272"/>
      <c r="V146" s="272"/>
      <c r="W146" s="272"/>
      <c r="X146" s="180"/>
    </row>
    <row r="147" spans="1:24" s="235" customFormat="1" ht="15.75" x14ac:dyDescent="0.25">
      <c r="A147" s="180"/>
      <c r="B147" s="185"/>
      <c r="C147" s="186"/>
      <c r="D147" s="186"/>
      <c r="E147" s="186"/>
      <c r="F147" s="180"/>
      <c r="G147" s="180"/>
      <c r="H147" s="273"/>
      <c r="I147" s="274"/>
      <c r="J147" s="160"/>
      <c r="K147" s="161"/>
      <c r="L147" s="161"/>
      <c r="M147" s="161"/>
      <c r="N147" s="161"/>
      <c r="O147" s="161"/>
      <c r="P147" s="161"/>
      <c r="Q147" s="161"/>
      <c r="R147" s="161"/>
      <c r="S147" s="161"/>
      <c r="T147" s="275"/>
      <c r="U147" s="275"/>
      <c r="V147" s="275"/>
      <c r="W147" s="275"/>
      <c r="X147" s="180"/>
    </row>
    <row r="148" spans="1:24" s="235" customFormat="1" ht="15" x14ac:dyDescent="0.25">
      <c r="A148" s="180"/>
      <c r="B148" s="185"/>
      <c r="C148" s="273"/>
      <c r="D148" s="273"/>
      <c r="E148" s="183"/>
      <c r="F148" s="183"/>
      <c r="G148" s="275"/>
      <c r="H148" s="180"/>
      <c r="I148" s="180"/>
      <c r="J148" s="183"/>
      <c r="K148" s="275"/>
      <c r="L148" s="275"/>
      <c r="M148" s="275"/>
      <c r="N148" s="275"/>
      <c r="O148" s="275"/>
      <c r="P148" s="275"/>
      <c r="Q148" s="275"/>
      <c r="R148" s="275"/>
      <c r="S148" s="275"/>
      <c r="T148" s="180"/>
      <c r="U148" s="180"/>
      <c r="V148" s="180"/>
      <c r="W148" s="180"/>
      <c r="X148" s="180"/>
    </row>
    <row r="149" spans="1:24" s="235" customFormat="1" ht="15" x14ac:dyDescent="0.25">
      <c r="A149" s="180"/>
      <c r="B149" s="273"/>
      <c r="C149" s="273"/>
      <c r="D149" s="273"/>
      <c r="E149" s="183"/>
      <c r="F149" s="183"/>
      <c r="G149" s="275"/>
      <c r="H149" s="180"/>
      <c r="I149" s="162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</row>
    <row r="150" spans="1:24" ht="15" x14ac:dyDescent="0.25">
      <c r="B150" s="273"/>
      <c r="C150" s="273"/>
      <c r="D150" s="273"/>
      <c r="E150" s="183"/>
      <c r="F150" s="183"/>
      <c r="G150" s="275"/>
    </row>
    <row r="151" spans="1:24" ht="15" x14ac:dyDescent="0.25">
      <c r="B151" s="273"/>
      <c r="C151" s="273"/>
      <c r="D151" s="273"/>
      <c r="E151" s="183"/>
      <c r="F151" s="183"/>
      <c r="G151" s="275"/>
    </row>
    <row r="152" spans="1:24" ht="15" x14ac:dyDescent="0.25">
      <c r="C152" s="273"/>
      <c r="D152" s="273"/>
      <c r="E152" s="183"/>
      <c r="F152" s="183"/>
      <c r="G152" s="275"/>
    </row>
    <row r="153" spans="1:24" ht="15" x14ac:dyDescent="0.25">
      <c r="C153" s="273"/>
      <c r="D153" s="273"/>
      <c r="E153" s="183"/>
      <c r="F153" s="183"/>
      <c r="G153" s="275"/>
    </row>
  </sheetData>
  <mergeCells count="284"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4:H4"/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B106:F106"/>
    <mergeCell ref="B107:F107"/>
    <mergeCell ref="B108:C108"/>
    <mergeCell ref="B109:C109"/>
    <mergeCell ref="E111:G111"/>
    <mergeCell ref="E112:G112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A123:A124"/>
    <mergeCell ref="C123:C124"/>
    <mergeCell ref="E123:E124"/>
    <mergeCell ref="F123:F124"/>
    <mergeCell ref="A125:A126"/>
    <mergeCell ref="C125:C126"/>
    <mergeCell ref="E125:E126"/>
    <mergeCell ref="F125:F126"/>
    <mergeCell ref="E113:G113"/>
    <mergeCell ref="C115:G115"/>
    <mergeCell ref="C116:G116"/>
    <mergeCell ref="A121:A122"/>
    <mergeCell ref="C121:C122"/>
    <mergeCell ref="E121:E122"/>
    <mergeCell ref="F121:F122"/>
    <mergeCell ref="B141:C141"/>
    <mergeCell ref="B142:C142"/>
    <mergeCell ref="B131:F131"/>
    <mergeCell ref="E133:G133"/>
    <mergeCell ref="E134:G134"/>
    <mergeCell ref="B138:F138"/>
    <mergeCell ref="B139:F139"/>
    <mergeCell ref="B140:F140"/>
    <mergeCell ref="A127:A128"/>
    <mergeCell ref="C127:C128"/>
    <mergeCell ref="E127:E128"/>
    <mergeCell ref="F127:F128"/>
    <mergeCell ref="B129:F129"/>
    <mergeCell ref="B130:F130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3" manualBreakCount="3">
    <brk id="42" max="16383" man="1"/>
    <brk id="80" max="16383" man="1"/>
    <brk id="1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91"/>
  <sheetViews>
    <sheetView showGridLines="0" tabSelected="1" workbookViewId="0">
      <selection activeCell="K5" sqref="K5"/>
    </sheetView>
  </sheetViews>
  <sheetFormatPr defaultRowHeight="12.75" x14ac:dyDescent="0.2"/>
  <cols>
    <col min="1" max="1" width="1.7109375" style="298" customWidth="1"/>
    <col min="2" max="2" width="3.42578125" style="298" customWidth="1"/>
    <col min="3" max="3" width="30.140625" style="298" customWidth="1"/>
    <col min="4" max="4" width="2.85546875" style="298" customWidth="1"/>
    <col min="5" max="5" width="13.28515625" style="298" customWidth="1"/>
    <col min="6" max="6" width="13.7109375" style="298" customWidth="1"/>
    <col min="7" max="7" width="5.140625" style="298" customWidth="1"/>
    <col min="8" max="8" width="7" style="298" customWidth="1"/>
    <col min="9" max="9" width="1.28515625" style="298" customWidth="1"/>
    <col min="10" max="10" width="13.5703125" style="298" customWidth="1"/>
    <col min="11" max="16384" width="9.140625" style="298"/>
  </cols>
  <sheetData>
    <row r="1" spans="1:10" ht="15" x14ac:dyDescent="0.25">
      <c r="A1" s="370"/>
    </row>
    <row r="2" spans="1:10" ht="15.75" customHeight="1" x14ac:dyDescent="0.2">
      <c r="H2" s="494" t="s">
        <v>837</v>
      </c>
      <c r="I2" s="495"/>
      <c r="J2" s="495"/>
    </row>
    <row r="3" spans="1:10" ht="15.75" customHeight="1" x14ac:dyDescent="0.2">
      <c r="D3" s="494" t="s">
        <v>883</v>
      </c>
      <c r="E3" s="495"/>
      <c r="F3" s="495"/>
      <c r="G3" s="495"/>
      <c r="H3" s="495"/>
      <c r="I3" s="495"/>
      <c r="J3" s="495"/>
    </row>
    <row r="4" spans="1:10" ht="15.75" customHeight="1" x14ac:dyDescent="0.2">
      <c r="E4" s="494" t="s">
        <v>884</v>
      </c>
      <c r="F4" s="495"/>
      <c r="G4" s="495"/>
      <c r="H4" s="495"/>
      <c r="I4" s="495"/>
      <c r="J4" s="495"/>
    </row>
    <row r="6" spans="1:10" ht="56.25" customHeight="1" x14ac:dyDescent="0.2">
      <c r="B6" s="496" t="s">
        <v>880</v>
      </c>
      <c r="C6" s="497"/>
      <c r="D6" s="497"/>
      <c r="E6" s="497"/>
      <c r="F6" s="497"/>
      <c r="G6" s="497"/>
      <c r="H6" s="497"/>
      <c r="I6" s="497"/>
      <c r="J6" s="498"/>
    </row>
    <row r="7" spans="1:10" ht="28.5" customHeight="1" x14ac:dyDescent="0.2">
      <c r="A7" s="499" t="s">
        <v>418</v>
      </c>
      <c r="B7" s="500"/>
      <c r="C7" s="500"/>
      <c r="D7" s="500"/>
      <c r="E7" s="501"/>
      <c r="F7" s="356" t="s">
        <v>817</v>
      </c>
      <c r="G7" s="502" t="s">
        <v>872</v>
      </c>
      <c r="H7" s="500"/>
      <c r="I7" s="500"/>
      <c r="J7" s="357" t="s">
        <v>881</v>
      </c>
    </row>
    <row r="8" spans="1:10" ht="15.75" customHeight="1" x14ac:dyDescent="0.2">
      <c r="A8" s="390" t="s">
        <v>515</v>
      </c>
      <c r="B8" s="391"/>
      <c r="C8" s="391"/>
      <c r="D8" s="391"/>
      <c r="E8" s="391"/>
      <c r="F8" s="391"/>
      <c r="G8" s="391"/>
      <c r="H8" s="391"/>
      <c r="I8" s="391"/>
      <c r="J8" s="391"/>
    </row>
    <row r="9" spans="1:10" ht="15" customHeight="1" x14ac:dyDescent="0.2">
      <c r="A9" s="307"/>
      <c r="B9" s="307"/>
      <c r="C9" s="507" t="s">
        <v>516</v>
      </c>
      <c r="D9" s="508"/>
      <c r="E9" s="508"/>
      <c r="F9" s="303">
        <v>513028</v>
      </c>
      <c r="G9" s="509">
        <v>0</v>
      </c>
      <c r="H9" s="509"/>
      <c r="I9" s="306"/>
      <c r="J9" s="303">
        <v>513028</v>
      </c>
    </row>
    <row r="10" spans="1:10" ht="15" customHeight="1" x14ac:dyDescent="0.2">
      <c r="A10" s="307"/>
      <c r="B10" s="307"/>
      <c r="C10" s="507" t="s">
        <v>518</v>
      </c>
      <c r="D10" s="508"/>
      <c r="E10" s="508"/>
      <c r="F10" s="303">
        <v>13028</v>
      </c>
      <c r="G10" s="509">
        <v>-13018</v>
      </c>
      <c r="H10" s="510"/>
      <c r="I10" s="306"/>
      <c r="J10" s="303">
        <v>10</v>
      </c>
    </row>
    <row r="11" spans="1:10" ht="15" customHeight="1" x14ac:dyDescent="0.2">
      <c r="A11" s="307"/>
      <c r="B11" s="307"/>
      <c r="C11" s="507" t="s">
        <v>520</v>
      </c>
      <c r="D11" s="508"/>
      <c r="E11" s="508"/>
      <c r="F11" s="303">
        <v>500000</v>
      </c>
      <c r="G11" s="509">
        <v>13018</v>
      </c>
      <c r="H11" s="510"/>
      <c r="I11" s="306"/>
      <c r="J11" s="303">
        <v>513018</v>
      </c>
    </row>
    <row r="13" spans="1:10" ht="15.75" customHeight="1" x14ac:dyDescent="0.2">
      <c r="A13" s="388" t="s">
        <v>522</v>
      </c>
      <c r="B13" s="389"/>
      <c r="C13" s="389"/>
      <c r="D13" s="389"/>
      <c r="E13" s="389"/>
      <c r="F13" s="389"/>
      <c r="G13" s="389"/>
      <c r="H13" s="389"/>
      <c r="I13" s="389"/>
      <c r="J13" s="389"/>
    </row>
    <row r="14" spans="1:10" s="308" customFormat="1" ht="15" customHeight="1" x14ac:dyDescent="0.2">
      <c r="C14" s="503" t="s">
        <v>516</v>
      </c>
      <c r="D14" s="402"/>
      <c r="E14" s="402"/>
      <c r="F14" s="305">
        <v>513028</v>
      </c>
      <c r="G14" s="504">
        <v>0</v>
      </c>
      <c r="H14" s="504"/>
      <c r="J14" s="305">
        <v>513028</v>
      </c>
    </row>
    <row r="15" spans="1:10" ht="15" customHeight="1" x14ac:dyDescent="0.2">
      <c r="C15" s="505" t="s">
        <v>518</v>
      </c>
      <c r="D15" s="389"/>
      <c r="E15" s="389"/>
      <c r="F15" s="299">
        <v>13028</v>
      </c>
      <c r="G15" s="506">
        <v>-13018</v>
      </c>
      <c r="H15" s="495"/>
      <c r="J15" s="299">
        <v>10</v>
      </c>
    </row>
    <row r="16" spans="1:10" ht="15" customHeight="1" x14ac:dyDescent="0.2">
      <c r="C16" s="505" t="s">
        <v>520</v>
      </c>
      <c r="D16" s="389"/>
      <c r="E16" s="389"/>
      <c r="F16" s="299">
        <v>500000</v>
      </c>
      <c r="G16" s="506">
        <v>13018</v>
      </c>
      <c r="H16" s="495"/>
      <c r="J16" s="299">
        <v>513018</v>
      </c>
    </row>
    <row r="19" spans="1:10" ht="15.75" customHeight="1" x14ac:dyDescent="0.2">
      <c r="A19" s="390" t="s">
        <v>582</v>
      </c>
      <c r="B19" s="400"/>
      <c r="C19" s="400"/>
      <c r="D19" s="400"/>
      <c r="E19" s="400"/>
      <c r="F19" s="400"/>
      <c r="G19" s="400"/>
      <c r="H19" s="400"/>
      <c r="I19" s="400"/>
      <c r="J19" s="400"/>
    </row>
    <row r="20" spans="1:10" ht="15" customHeight="1" x14ac:dyDescent="0.2">
      <c r="A20" s="359"/>
      <c r="B20" s="359"/>
      <c r="C20" s="507" t="s">
        <v>516</v>
      </c>
      <c r="D20" s="508"/>
      <c r="E20" s="508"/>
      <c r="F20" s="303">
        <v>125</v>
      </c>
      <c r="G20" s="509">
        <v>0</v>
      </c>
      <c r="H20" s="509"/>
      <c r="I20" s="306"/>
      <c r="J20" s="303">
        <v>125</v>
      </c>
    </row>
    <row r="21" spans="1:10" ht="15" customHeight="1" x14ac:dyDescent="0.2">
      <c r="A21" s="359"/>
      <c r="B21" s="359"/>
      <c r="C21" s="507" t="s">
        <v>518</v>
      </c>
      <c r="D21" s="508"/>
      <c r="E21" s="508"/>
      <c r="F21" s="303">
        <v>125</v>
      </c>
      <c r="G21" s="509">
        <v>0</v>
      </c>
      <c r="H21" s="509"/>
      <c r="I21" s="306"/>
      <c r="J21" s="303">
        <v>125</v>
      </c>
    </row>
    <row r="23" spans="1:10" ht="15.75" customHeight="1" x14ac:dyDescent="0.2">
      <c r="A23" s="388" t="s">
        <v>583</v>
      </c>
      <c r="B23" s="389"/>
      <c r="C23" s="389"/>
      <c r="D23" s="389"/>
      <c r="E23" s="389"/>
      <c r="F23" s="389"/>
      <c r="G23" s="389"/>
      <c r="H23" s="389"/>
      <c r="I23" s="389"/>
      <c r="J23" s="389"/>
    </row>
    <row r="24" spans="1:10" s="308" customFormat="1" ht="15" customHeight="1" x14ac:dyDescent="0.2">
      <c r="C24" s="503" t="s">
        <v>516</v>
      </c>
      <c r="D24" s="402"/>
      <c r="E24" s="402"/>
      <c r="F24" s="305">
        <v>125</v>
      </c>
      <c r="G24" s="504">
        <v>0</v>
      </c>
      <c r="H24" s="504"/>
      <c r="J24" s="305">
        <v>125</v>
      </c>
    </row>
    <row r="25" spans="1:10" ht="15" customHeight="1" x14ac:dyDescent="0.2">
      <c r="C25" s="505" t="s">
        <v>518</v>
      </c>
      <c r="D25" s="389"/>
      <c r="E25" s="389"/>
      <c r="F25" s="299">
        <v>125</v>
      </c>
      <c r="G25" s="506">
        <v>0</v>
      </c>
      <c r="H25" s="506"/>
      <c r="J25" s="299">
        <v>125</v>
      </c>
    </row>
    <row r="28" spans="1:10" ht="31.5" customHeight="1" x14ac:dyDescent="0.2">
      <c r="A28" s="390" t="s">
        <v>589</v>
      </c>
      <c r="B28" s="400"/>
      <c r="C28" s="400"/>
      <c r="D28" s="400"/>
      <c r="E28" s="400"/>
      <c r="F28" s="400"/>
      <c r="G28" s="400"/>
      <c r="H28" s="400"/>
      <c r="I28" s="400"/>
      <c r="J28" s="400"/>
    </row>
    <row r="29" spans="1:10" ht="15" customHeight="1" x14ac:dyDescent="0.2">
      <c r="A29" s="359"/>
      <c r="B29" s="359"/>
      <c r="C29" s="507" t="s">
        <v>516</v>
      </c>
      <c r="D29" s="508"/>
      <c r="E29" s="508"/>
      <c r="F29" s="303">
        <v>1589</v>
      </c>
      <c r="G29" s="509">
        <v>0</v>
      </c>
      <c r="H29" s="509"/>
      <c r="I29" s="306"/>
      <c r="J29" s="303">
        <v>1589</v>
      </c>
    </row>
    <row r="30" spans="1:10" ht="15" customHeight="1" x14ac:dyDescent="0.2">
      <c r="A30" s="359"/>
      <c r="B30" s="359"/>
      <c r="C30" s="507" t="s">
        <v>518</v>
      </c>
      <c r="D30" s="508"/>
      <c r="E30" s="508"/>
      <c r="F30" s="303">
        <v>1589</v>
      </c>
      <c r="G30" s="509">
        <v>0</v>
      </c>
      <c r="H30" s="509"/>
      <c r="I30" s="306"/>
      <c r="J30" s="303">
        <v>1589</v>
      </c>
    </row>
    <row r="32" spans="1:10" ht="15.75" customHeight="1" x14ac:dyDescent="0.2">
      <c r="A32" s="388" t="s">
        <v>590</v>
      </c>
      <c r="B32" s="389"/>
      <c r="C32" s="389"/>
      <c r="D32" s="389"/>
      <c r="E32" s="389"/>
      <c r="F32" s="389"/>
      <c r="G32" s="389"/>
      <c r="H32" s="389"/>
      <c r="I32" s="389"/>
      <c r="J32" s="389"/>
    </row>
    <row r="33" spans="1:10" s="308" customFormat="1" ht="15" customHeight="1" x14ac:dyDescent="0.2">
      <c r="C33" s="503" t="s">
        <v>516</v>
      </c>
      <c r="D33" s="402"/>
      <c r="E33" s="402"/>
      <c r="F33" s="305">
        <v>1589</v>
      </c>
      <c r="G33" s="504">
        <v>0</v>
      </c>
      <c r="H33" s="504"/>
      <c r="J33" s="305">
        <v>1589</v>
      </c>
    </row>
    <row r="34" spans="1:10" ht="15" customHeight="1" x14ac:dyDescent="0.2">
      <c r="C34" s="505" t="s">
        <v>518</v>
      </c>
      <c r="D34" s="389"/>
      <c r="E34" s="389"/>
      <c r="F34" s="299">
        <v>1589</v>
      </c>
      <c r="G34" s="506">
        <v>0</v>
      </c>
      <c r="H34" s="506"/>
      <c r="J34" s="299">
        <v>1589</v>
      </c>
    </row>
    <row r="37" spans="1:10" ht="15.75" customHeight="1" x14ac:dyDescent="0.2">
      <c r="A37" s="390" t="s">
        <v>591</v>
      </c>
      <c r="B37" s="400"/>
      <c r="C37" s="400"/>
      <c r="D37" s="400"/>
      <c r="E37" s="400"/>
      <c r="F37" s="400"/>
      <c r="G37" s="400"/>
      <c r="H37" s="400"/>
      <c r="I37" s="400"/>
      <c r="J37" s="400"/>
    </row>
    <row r="38" spans="1:10" ht="15" customHeight="1" x14ac:dyDescent="0.2">
      <c r="A38" s="359"/>
      <c r="B38" s="359"/>
      <c r="C38" s="507" t="s">
        <v>516</v>
      </c>
      <c r="D38" s="508"/>
      <c r="E38" s="508"/>
      <c r="F38" s="303">
        <v>11652</v>
      </c>
      <c r="G38" s="509">
        <v>0</v>
      </c>
      <c r="H38" s="509"/>
      <c r="I38" s="306"/>
      <c r="J38" s="303">
        <v>11652</v>
      </c>
    </row>
    <row r="39" spans="1:10" ht="15" customHeight="1" x14ac:dyDescent="0.2">
      <c r="A39" s="359"/>
      <c r="B39" s="359"/>
      <c r="C39" s="507" t="s">
        <v>517</v>
      </c>
      <c r="D39" s="508"/>
      <c r="E39" s="508"/>
      <c r="F39" s="303">
        <v>3142</v>
      </c>
      <c r="G39" s="509">
        <v>0</v>
      </c>
      <c r="H39" s="509"/>
      <c r="I39" s="306"/>
      <c r="J39" s="303">
        <v>3142</v>
      </c>
    </row>
    <row r="40" spans="1:10" ht="15" customHeight="1" x14ac:dyDescent="0.2">
      <c r="A40" s="359"/>
      <c r="B40" s="359"/>
      <c r="C40" s="507" t="s">
        <v>518</v>
      </c>
      <c r="D40" s="508"/>
      <c r="E40" s="508"/>
      <c r="F40" s="303">
        <v>8010</v>
      </c>
      <c r="G40" s="509">
        <v>0</v>
      </c>
      <c r="H40" s="509"/>
      <c r="I40" s="306"/>
      <c r="J40" s="303">
        <v>8010</v>
      </c>
    </row>
    <row r="41" spans="1:10" ht="15" customHeight="1" x14ac:dyDescent="0.2">
      <c r="A41" s="359"/>
      <c r="B41" s="359"/>
      <c r="C41" s="507" t="s">
        <v>520</v>
      </c>
      <c r="D41" s="508"/>
      <c r="E41" s="508"/>
      <c r="F41" s="303">
        <v>500</v>
      </c>
      <c r="G41" s="509">
        <v>0</v>
      </c>
      <c r="H41" s="509"/>
      <c r="I41" s="306"/>
      <c r="J41" s="303">
        <v>500</v>
      </c>
    </row>
    <row r="43" spans="1:10" ht="15.75" customHeight="1" x14ac:dyDescent="0.2">
      <c r="A43" s="388" t="s">
        <v>592</v>
      </c>
      <c r="B43" s="389"/>
      <c r="C43" s="389"/>
      <c r="D43" s="389"/>
      <c r="E43" s="389"/>
      <c r="F43" s="389"/>
      <c r="G43" s="389"/>
      <c r="H43" s="389"/>
      <c r="I43" s="389"/>
      <c r="J43" s="389"/>
    </row>
    <row r="44" spans="1:10" s="308" customFormat="1" ht="15" customHeight="1" x14ac:dyDescent="0.2">
      <c r="C44" s="503" t="s">
        <v>516</v>
      </c>
      <c r="D44" s="402"/>
      <c r="E44" s="402"/>
      <c r="F44" s="305">
        <v>11652</v>
      </c>
      <c r="G44" s="504">
        <v>0</v>
      </c>
      <c r="H44" s="504"/>
      <c r="J44" s="305">
        <v>11652</v>
      </c>
    </row>
    <row r="45" spans="1:10" ht="15" customHeight="1" x14ac:dyDescent="0.2">
      <c r="C45" s="505" t="s">
        <v>517</v>
      </c>
      <c r="D45" s="389"/>
      <c r="E45" s="389"/>
      <c r="F45" s="299">
        <v>3142</v>
      </c>
      <c r="G45" s="506">
        <v>0</v>
      </c>
      <c r="H45" s="506"/>
      <c r="J45" s="299">
        <v>3142</v>
      </c>
    </row>
    <row r="46" spans="1:10" ht="15" customHeight="1" x14ac:dyDescent="0.2">
      <c r="C46" s="505" t="s">
        <v>518</v>
      </c>
      <c r="D46" s="389"/>
      <c r="E46" s="389"/>
      <c r="F46" s="299">
        <v>8010</v>
      </c>
      <c r="G46" s="506">
        <v>0</v>
      </c>
      <c r="H46" s="506"/>
      <c r="J46" s="299">
        <v>8010</v>
      </c>
    </row>
    <row r="47" spans="1:10" ht="15" customHeight="1" x14ac:dyDescent="0.2">
      <c r="C47" s="505" t="s">
        <v>520</v>
      </c>
      <c r="D47" s="389"/>
      <c r="E47" s="389"/>
      <c r="F47" s="299">
        <v>500</v>
      </c>
      <c r="G47" s="506">
        <v>0</v>
      </c>
      <c r="H47" s="506"/>
      <c r="J47" s="299">
        <v>500</v>
      </c>
    </row>
    <row r="49" spans="1:10" ht="31.5" customHeight="1" x14ac:dyDescent="0.2">
      <c r="A49" s="390" t="s">
        <v>832</v>
      </c>
      <c r="B49" s="400"/>
      <c r="C49" s="400"/>
      <c r="D49" s="400"/>
      <c r="E49" s="400"/>
      <c r="F49" s="400"/>
      <c r="G49" s="400"/>
      <c r="H49" s="400"/>
      <c r="I49" s="400"/>
      <c r="J49" s="400"/>
    </row>
    <row r="50" spans="1:10" ht="15" customHeight="1" x14ac:dyDescent="0.2">
      <c r="A50" s="359"/>
      <c r="B50" s="359"/>
      <c r="C50" s="507" t="s">
        <v>516</v>
      </c>
      <c r="D50" s="508"/>
      <c r="E50" s="508"/>
      <c r="F50" s="303">
        <v>20856</v>
      </c>
      <c r="G50" s="509">
        <v>0</v>
      </c>
      <c r="H50" s="509"/>
      <c r="I50" s="306"/>
      <c r="J50" s="303">
        <v>20856</v>
      </c>
    </row>
    <row r="51" spans="1:10" ht="15" customHeight="1" x14ac:dyDescent="0.2">
      <c r="A51" s="359"/>
      <c r="B51" s="359"/>
      <c r="C51" s="507" t="s">
        <v>518</v>
      </c>
      <c r="D51" s="508"/>
      <c r="E51" s="508"/>
      <c r="F51" s="303">
        <v>3456</v>
      </c>
      <c r="G51" s="509">
        <v>0</v>
      </c>
      <c r="H51" s="509"/>
      <c r="I51" s="306"/>
      <c r="J51" s="303">
        <v>3456</v>
      </c>
    </row>
    <row r="52" spans="1:10" ht="15" customHeight="1" x14ac:dyDescent="0.2">
      <c r="A52" s="359"/>
      <c r="B52" s="359"/>
      <c r="C52" s="507" t="s">
        <v>572</v>
      </c>
      <c r="D52" s="508"/>
      <c r="E52" s="508"/>
      <c r="F52" s="303">
        <v>17400</v>
      </c>
      <c r="G52" s="509">
        <v>0</v>
      </c>
      <c r="H52" s="509"/>
      <c r="I52" s="306"/>
      <c r="J52" s="303">
        <v>17400</v>
      </c>
    </row>
    <row r="54" spans="1:10" ht="15" x14ac:dyDescent="0.2">
      <c r="A54" s="388" t="s">
        <v>797</v>
      </c>
      <c r="B54" s="389"/>
      <c r="C54" s="389"/>
      <c r="D54" s="389"/>
      <c r="E54" s="389"/>
      <c r="F54" s="389"/>
      <c r="G54" s="389"/>
      <c r="H54" s="389"/>
      <c r="I54" s="389"/>
      <c r="J54" s="389"/>
    </row>
    <row r="55" spans="1:10" ht="15" customHeight="1" x14ac:dyDescent="0.2">
      <c r="C55" s="503" t="s">
        <v>516</v>
      </c>
      <c r="D55" s="402"/>
      <c r="E55" s="402"/>
      <c r="F55" s="305">
        <v>2160</v>
      </c>
      <c r="G55" s="504">
        <v>0</v>
      </c>
      <c r="H55" s="504"/>
      <c r="I55" s="308"/>
      <c r="J55" s="305">
        <v>2160</v>
      </c>
    </row>
    <row r="56" spans="1:10" ht="15" customHeight="1" x14ac:dyDescent="0.2">
      <c r="C56" s="505" t="s">
        <v>518</v>
      </c>
      <c r="D56" s="389"/>
      <c r="E56" s="389"/>
      <c r="F56" s="299">
        <v>2160</v>
      </c>
      <c r="G56" s="506">
        <v>0</v>
      </c>
      <c r="H56" s="506"/>
      <c r="J56" s="299">
        <v>2160</v>
      </c>
    </row>
    <row r="58" spans="1:10" ht="15.75" customHeight="1" x14ac:dyDescent="0.2">
      <c r="A58" s="388" t="s">
        <v>878</v>
      </c>
      <c r="B58" s="389"/>
      <c r="C58" s="389"/>
      <c r="D58" s="389"/>
      <c r="E58" s="389"/>
      <c r="F58" s="389"/>
      <c r="G58" s="389"/>
      <c r="H58" s="389"/>
      <c r="I58" s="389"/>
      <c r="J58" s="389"/>
    </row>
    <row r="59" spans="1:10" ht="15" customHeight="1" x14ac:dyDescent="0.2">
      <c r="C59" s="503" t="s">
        <v>516</v>
      </c>
      <c r="D59" s="402"/>
      <c r="E59" s="402"/>
      <c r="F59" s="305">
        <v>1200</v>
      </c>
      <c r="G59" s="504">
        <v>0</v>
      </c>
      <c r="H59" s="504"/>
      <c r="I59" s="308"/>
      <c r="J59" s="305">
        <v>1200</v>
      </c>
    </row>
    <row r="60" spans="1:10" ht="15" customHeight="1" x14ac:dyDescent="0.2">
      <c r="C60" s="505" t="s">
        <v>518</v>
      </c>
      <c r="D60" s="389"/>
      <c r="E60" s="389"/>
      <c r="F60" s="299">
        <v>1200</v>
      </c>
      <c r="G60" s="506">
        <v>0</v>
      </c>
      <c r="H60" s="506"/>
      <c r="J60" s="299">
        <v>1200</v>
      </c>
    </row>
    <row r="62" spans="1:10" ht="15.75" customHeight="1" x14ac:dyDescent="0.2">
      <c r="A62" s="388" t="s">
        <v>608</v>
      </c>
      <c r="B62" s="389"/>
      <c r="C62" s="389"/>
      <c r="D62" s="389"/>
      <c r="E62" s="389"/>
      <c r="F62" s="389"/>
      <c r="G62" s="389"/>
      <c r="H62" s="389"/>
      <c r="I62" s="389"/>
      <c r="J62" s="389"/>
    </row>
    <row r="63" spans="1:10" ht="15" customHeight="1" x14ac:dyDescent="0.2">
      <c r="C63" s="503" t="s">
        <v>516</v>
      </c>
      <c r="D63" s="402"/>
      <c r="E63" s="402"/>
      <c r="F63" s="305">
        <v>2496</v>
      </c>
      <c r="G63" s="504">
        <v>0</v>
      </c>
      <c r="H63" s="504"/>
      <c r="I63" s="308"/>
      <c r="J63" s="305">
        <v>2496</v>
      </c>
    </row>
    <row r="64" spans="1:10" ht="15" customHeight="1" x14ac:dyDescent="0.2">
      <c r="C64" s="505" t="s">
        <v>518</v>
      </c>
      <c r="D64" s="389"/>
      <c r="E64" s="389"/>
      <c r="F64" s="299">
        <v>96</v>
      </c>
      <c r="G64" s="506">
        <v>0</v>
      </c>
      <c r="H64" s="506"/>
      <c r="J64" s="299">
        <v>96</v>
      </c>
    </row>
    <row r="65" spans="1:10" ht="15" customHeight="1" x14ac:dyDescent="0.2">
      <c r="C65" s="505" t="s">
        <v>572</v>
      </c>
      <c r="D65" s="389"/>
      <c r="E65" s="389"/>
      <c r="F65" s="299">
        <v>2400</v>
      </c>
      <c r="G65" s="506">
        <v>0</v>
      </c>
      <c r="H65" s="506"/>
      <c r="J65" s="299">
        <v>2400</v>
      </c>
    </row>
    <row r="67" spans="1:10" ht="15.75" customHeight="1" x14ac:dyDescent="0.2">
      <c r="A67" s="388" t="s">
        <v>833</v>
      </c>
      <c r="B67" s="389"/>
      <c r="C67" s="389"/>
      <c r="D67" s="389"/>
      <c r="E67" s="389"/>
      <c r="F67" s="389"/>
      <c r="G67" s="389"/>
      <c r="H67" s="389"/>
      <c r="I67" s="389"/>
      <c r="J67" s="389"/>
    </row>
    <row r="68" spans="1:10" ht="15" customHeight="1" x14ac:dyDescent="0.2">
      <c r="C68" s="503" t="s">
        <v>516</v>
      </c>
      <c r="D68" s="402"/>
      <c r="E68" s="402"/>
      <c r="F68" s="305">
        <v>15000</v>
      </c>
      <c r="G68" s="504">
        <v>0</v>
      </c>
      <c r="H68" s="504"/>
      <c r="I68" s="308"/>
      <c r="J68" s="305">
        <v>15000</v>
      </c>
    </row>
    <row r="69" spans="1:10" ht="15" customHeight="1" x14ac:dyDescent="0.2">
      <c r="C69" s="505" t="s">
        <v>572</v>
      </c>
      <c r="D69" s="389"/>
      <c r="E69" s="389"/>
      <c r="F69" s="299">
        <v>15000</v>
      </c>
      <c r="G69" s="506">
        <v>0</v>
      </c>
      <c r="H69" s="506"/>
      <c r="J69" s="299">
        <v>15000</v>
      </c>
    </row>
    <row r="71" spans="1:10" ht="31.5" customHeight="1" x14ac:dyDescent="0.2">
      <c r="A71" s="390" t="s">
        <v>835</v>
      </c>
      <c r="B71" s="400"/>
      <c r="C71" s="400"/>
      <c r="D71" s="400"/>
      <c r="E71" s="400"/>
      <c r="F71" s="400"/>
      <c r="G71" s="400"/>
      <c r="H71" s="400"/>
      <c r="I71" s="400"/>
      <c r="J71" s="400"/>
    </row>
    <row r="72" spans="1:10" ht="15" customHeight="1" x14ac:dyDescent="0.2">
      <c r="A72" s="359"/>
      <c r="B72" s="359"/>
      <c r="C72" s="507" t="s">
        <v>516</v>
      </c>
      <c r="D72" s="508"/>
      <c r="E72" s="508"/>
      <c r="F72" s="303">
        <v>7563</v>
      </c>
      <c r="G72" s="509">
        <v>0</v>
      </c>
      <c r="H72" s="509"/>
      <c r="I72" s="306"/>
      <c r="J72" s="303">
        <v>7563</v>
      </c>
    </row>
    <row r="73" spans="1:10" ht="15" customHeight="1" x14ac:dyDescent="0.2">
      <c r="A73" s="359"/>
      <c r="B73" s="359"/>
      <c r="C73" s="507" t="s">
        <v>518</v>
      </c>
      <c r="D73" s="508"/>
      <c r="E73" s="508"/>
      <c r="F73" s="303">
        <v>7563</v>
      </c>
      <c r="G73" s="509">
        <v>0</v>
      </c>
      <c r="H73" s="509"/>
      <c r="I73" s="306"/>
      <c r="J73" s="303">
        <v>7563</v>
      </c>
    </row>
    <row r="75" spans="1:10" ht="15.75" customHeight="1" x14ac:dyDescent="0.2">
      <c r="A75" s="388" t="s">
        <v>619</v>
      </c>
      <c r="B75" s="389"/>
      <c r="C75" s="389"/>
      <c r="D75" s="389"/>
      <c r="E75" s="389"/>
      <c r="F75" s="389"/>
      <c r="G75" s="389"/>
      <c r="H75" s="389"/>
      <c r="I75" s="389"/>
      <c r="J75" s="389"/>
    </row>
    <row r="76" spans="1:10" s="308" customFormat="1" ht="15" customHeight="1" x14ac:dyDescent="0.2">
      <c r="C76" s="503" t="s">
        <v>516</v>
      </c>
      <c r="D76" s="402"/>
      <c r="E76" s="402"/>
      <c r="F76" s="305">
        <v>500</v>
      </c>
      <c r="G76" s="504">
        <v>0</v>
      </c>
      <c r="H76" s="504"/>
      <c r="J76" s="305">
        <v>500</v>
      </c>
    </row>
    <row r="77" spans="1:10" ht="15" customHeight="1" x14ac:dyDescent="0.2">
      <c r="C77" s="505" t="s">
        <v>518</v>
      </c>
      <c r="D77" s="389"/>
      <c r="E77" s="389"/>
      <c r="F77" s="299">
        <v>500</v>
      </c>
      <c r="G77" s="506">
        <v>0</v>
      </c>
      <c r="H77" s="506"/>
      <c r="J77" s="299">
        <v>500</v>
      </c>
    </row>
    <row r="79" spans="1:10" ht="15.75" customHeight="1" x14ac:dyDescent="0.2">
      <c r="A79" s="388" t="s">
        <v>631</v>
      </c>
      <c r="B79" s="389"/>
      <c r="C79" s="389"/>
      <c r="D79" s="389"/>
      <c r="E79" s="389"/>
      <c r="F79" s="389"/>
      <c r="G79" s="389"/>
      <c r="H79" s="389"/>
      <c r="I79" s="389"/>
      <c r="J79" s="389"/>
    </row>
    <row r="80" spans="1:10" s="308" customFormat="1" ht="15" customHeight="1" x14ac:dyDescent="0.2">
      <c r="C80" s="503" t="s">
        <v>516</v>
      </c>
      <c r="D80" s="402"/>
      <c r="E80" s="402"/>
      <c r="F80" s="305">
        <v>7063</v>
      </c>
      <c r="G80" s="504">
        <v>0</v>
      </c>
      <c r="H80" s="504"/>
      <c r="J80" s="305">
        <v>7063</v>
      </c>
    </row>
    <row r="81" spans="1:10" ht="15" customHeight="1" x14ac:dyDescent="0.2">
      <c r="C81" s="505" t="s">
        <v>518</v>
      </c>
      <c r="D81" s="389"/>
      <c r="E81" s="389"/>
      <c r="F81" s="299">
        <v>7063</v>
      </c>
      <c r="G81" s="506">
        <v>0</v>
      </c>
      <c r="H81" s="506"/>
      <c r="J81" s="299">
        <v>7063</v>
      </c>
    </row>
    <row r="83" spans="1:10" ht="15.75" customHeight="1" x14ac:dyDescent="0.2">
      <c r="A83" s="388" t="s">
        <v>639</v>
      </c>
      <c r="B83" s="389"/>
      <c r="C83" s="389"/>
      <c r="D83" s="389"/>
      <c r="E83" s="389"/>
      <c r="F83" s="389"/>
      <c r="G83" s="389"/>
      <c r="H83" s="389"/>
      <c r="I83" s="389"/>
      <c r="J83" s="389"/>
    </row>
    <row r="84" spans="1:10" ht="15" customHeight="1" x14ac:dyDescent="0.2">
      <c r="C84" s="503" t="s">
        <v>516</v>
      </c>
      <c r="D84" s="402"/>
      <c r="E84" s="402"/>
      <c r="F84" s="305">
        <v>554813</v>
      </c>
      <c r="G84" s="504">
        <v>0</v>
      </c>
      <c r="H84" s="504"/>
      <c r="I84" s="308"/>
      <c r="J84" s="305">
        <v>554813</v>
      </c>
    </row>
    <row r="85" spans="1:10" ht="15" customHeight="1" x14ac:dyDescent="0.2">
      <c r="C85" s="503" t="s">
        <v>517</v>
      </c>
      <c r="D85" s="402"/>
      <c r="E85" s="402"/>
      <c r="F85" s="305">
        <v>3142</v>
      </c>
      <c r="G85" s="504">
        <v>0</v>
      </c>
      <c r="H85" s="504"/>
      <c r="I85" s="308"/>
      <c r="J85" s="305">
        <v>3142</v>
      </c>
    </row>
    <row r="86" spans="1:10" ht="15" customHeight="1" x14ac:dyDescent="0.2">
      <c r="C86" s="503" t="s">
        <v>518</v>
      </c>
      <c r="D86" s="402"/>
      <c r="E86" s="402"/>
      <c r="F86" s="305">
        <v>33771</v>
      </c>
      <c r="G86" s="504">
        <v>-13018</v>
      </c>
      <c r="H86" s="511"/>
      <c r="I86" s="308"/>
      <c r="J86" s="305">
        <v>20753</v>
      </c>
    </row>
    <row r="87" spans="1:10" ht="15" customHeight="1" x14ac:dyDescent="0.2">
      <c r="C87" s="503" t="s">
        <v>520</v>
      </c>
      <c r="D87" s="402"/>
      <c r="E87" s="402"/>
      <c r="F87" s="305">
        <v>500500</v>
      </c>
      <c r="G87" s="504">
        <v>13018</v>
      </c>
      <c r="H87" s="511"/>
      <c r="I87" s="308"/>
      <c r="J87" s="305">
        <v>513518</v>
      </c>
    </row>
    <row r="88" spans="1:10" ht="15" customHeight="1" x14ac:dyDescent="0.2">
      <c r="C88" s="503" t="s">
        <v>572</v>
      </c>
      <c r="D88" s="402"/>
      <c r="E88" s="402"/>
      <c r="F88" s="305">
        <v>17400</v>
      </c>
      <c r="G88" s="504">
        <v>0</v>
      </c>
      <c r="H88" s="504"/>
      <c r="I88" s="308"/>
      <c r="J88" s="305">
        <v>17400</v>
      </c>
    </row>
    <row r="89" spans="1:10" ht="12.75" customHeight="1" x14ac:dyDescent="0.2">
      <c r="H89" s="512"/>
      <c r="I89" s="495"/>
      <c r="J89" s="495"/>
    </row>
    <row r="91" spans="1:10" ht="18.75" x14ac:dyDescent="0.3">
      <c r="B91" s="15" t="s">
        <v>102</v>
      </c>
      <c r="C91" s="16"/>
      <c r="D91" s="7"/>
      <c r="E91" s="7"/>
      <c r="J91" s="7" t="s">
        <v>103</v>
      </c>
    </row>
  </sheetData>
  <mergeCells count="114">
    <mergeCell ref="C87:E87"/>
    <mergeCell ref="G87:H87"/>
    <mergeCell ref="C88:E88"/>
    <mergeCell ref="G88:H88"/>
    <mergeCell ref="H89:J89"/>
    <mergeCell ref="A83:J83"/>
    <mergeCell ref="C84:E84"/>
    <mergeCell ref="G84:H84"/>
    <mergeCell ref="C85:E85"/>
    <mergeCell ref="G85:H85"/>
    <mergeCell ref="C86:E86"/>
    <mergeCell ref="G86:H86"/>
    <mergeCell ref="C77:E77"/>
    <mergeCell ref="G77:H77"/>
    <mergeCell ref="A79:J79"/>
    <mergeCell ref="C80:E80"/>
    <mergeCell ref="G80:H80"/>
    <mergeCell ref="C81:E81"/>
    <mergeCell ref="G81:H81"/>
    <mergeCell ref="C72:E72"/>
    <mergeCell ref="G72:H72"/>
    <mergeCell ref="C73:E73"/>
    <mergeCell ref="G73:H73"/>
    <mergeCell ref="A75:J75"/>
    <mergeCell ref="C76:E76"/>
    <mergeCell ref="G76:H76"/>
    <mergeCell ref="A67:J67"/>
    <mergeCell ref="C68:E68"/>
    <mergeCell ref="G68:H68"/>
    <mergeCell ref="C69:E69"/>
    <mergeCell ref="G69:H69"/>
    <mergeCell ref="A71:J71"/>
    <mergeCell ref="A62:J62"/>
    <mergeCell ref="C63:E63"/>
    <mergeCell ref="G63:H63"/>
    <mergeCell ref="C64:E64"/>
    <mergeCell ref="G64:H64"/>
    <mergeCell ref="C65:E65"/>
    <mergeCell ref="G65:H65"/>
    <mergeCell ref="C56:E56"/>
    <mergeCell ref="G56:H56"/>
    <mergeCell ref="A58:J58"/>
    <mergeCell ref="C59:E59"/>
    <mergeCell ref="G59:H59"/>
    <mergeCell ref="C60:E60"/>
    <mergeCell ref="G60:H60"/>
    <mergeCell ref="C51:E51"/>
    <mergeCell ref="G51:H51"/>
    <mergeCell ref="C52:E52"/>
    <mergeCell ref="G52:H52"/>
    <mergeCell ref="A54:J54"/>
    <mergeCell ref="C55:E55"/>
    <mergeCell ref="G55:H55"/>
    <mergeCell ref="C46:E46"/>
    <mergeCell ref="G46:H46"/>
    <mergeCell ref="C47:E47"/>
    <mergeCell ref="G47:H47"/>
    <mergeCell ref="A49:J49"/>
    <mergeCell ref="C50:E50"/>
    <mergeCell ref="G50:H50"/>
    <mergeCell ref="C41:E41"/>
    <mergeCell ref="G41:H41"/>
    <mergeCell ref="A43:J43"/>
    <mergeCell ref="C44:E44"/>
    <mergeCell ref="G44:H44"/>
    <mergeCell ref="C45:E45"/>
    <mergeCell ref="G45:H45"/>
    <mergeCell ref="A37:J37"/>
    <mergeCell ref="C38:E38"/>
    <mergeCell ref="G38:H38"/>
    <mergeCell ref="C39:E39"/>
    <mergeCell ref="G39:H39"/>
    <mergeCell ref="C40:E40"/>
    <mergeCell ref="G40:H40"/>
    <mergeCell ref="C30:E30"/>
    <mergeCell ref="G30:H30"/>
    <mergeCell ref="A32:J32"/>
    <mergeCell ref="C33:E33"/>
    <mergeCell ref="G33:H33"/>
    <mergeCell ref="C34:E34"/>
    <mergeCell ref="G34:H34"/>
    <mergeCell ref="C24:E24"/>
    <mergeCell ref="G24:H24"/>
    <mergeCell ref="C25:E25"/>
    <mergeCell ref="G25:H25"/>
    <mergeCell ref="A28:J28"/>
    <mergeCell ref="C29:E29"/>
    <mergeCell ref="G29:H29"/>
    <mergeCell ref="A19:J19"/>
    <mergeCell ref="C20:E20"/>
    <mergeCell ref="G20:H20"/>
    <mergeCell ref="C21:E21"/>
    <mergeCell ref="G21:H21"/>
    <mergeCell ref="A23:J23"/>
    <mergeCell ref="C15:E15"/>
    <mergeCell ref="G15:H15"/>
    <mergeCell ref="C16:E16"/>
    <mergeCell ref="G16:H16"/>
    <mergeCell ref="A8:J8"/>
    <mergeCell ref="C9:E9"/>
    <mergeCell ref="G9:H9"/>
    <mergeCell ref="C10:E10"/>
    <mergeCell ref="G10:H10"/>
    <mergeCell ref="C11:E11"/>
    <mergeCell ref="G11:H11"/>
    <mergeCell ref="H2:J2"/>
    <mergeCell ref="D3:J3"/>
    <mergeCell ref="E4:J4"/>
    <mergeCell ref="B6:J6"/>
    <mergeCell ref="A7:E7"/>
    <mergeCell ref="G7:I7"/>
    <mergeCell ref="A13:J13"/>
    <mergeCell ref="C14:E14"/>
    <mergeCell ref="G14:H14"/>
  </mergeCells>
  <pageMargins left="0.78740157480314965" right="0.78740157480314965" top="0.78740157480314965" bottom="0.39370078740157483" header="0.11811023622047245" footer="0.11811023622047245"/>
  <pageSetup scale="95" fitToHeight="0" pageOrder="overThenDown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1.pielikums</vt:lpstr>
      <vt:lpstr>2.pielikums</vt:lpstr>
      <vt:lpstr>3.pielikums</vt:lpstr>
      <vt:lpstr>4.pielikums</vt:lpstr>
      <vt:lpstr>5.pielikums</vt:lpstr>
      <vt:lpstr>7.pielikums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Baiba Jēkabsone</cp:lastModifiedBy>
  <cp:lastPrinted>2020-10-29T11:29:37Z</cp:lastPrinted>
  <dcterms:created xsi:type="dcterms:W3CDTF">2016-06-01T06:50:59Z</dcterms:created>
  <dcterms:modified xsi:type="dcterms:W3CDTF">2020-10-29T11:35:14Z</dcterms:modified>
</cp:coreProperties>
</file>