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602" activeTab="4"/>
  </bookViews>
  <sheets>
    <sheet name="1.pielikums" sheetId="1" r:id="rId1"/>
    <sheet name="2.pielikums" sheetId="2" r:id="rId2"/>
    <sheet name="3.pielikums" sheetId="3" r:id="rId3"/>
    <sheet name="4.pielikums" sheetId="28" r:id="rId4"/>
    <sheet name="5.pielikums" sheetId="20" r:id="rId5"/>
  </sheets>
  <definedNames>
    <definedName name="_xlnm.Print_Area" localSheetId="4">'5.pielikums'!$A$1:$X$146</definedName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</definedNames>
  <calcPr calcId="145621"/>
</workbook>
</file>

<file path=xl/calcChain.xml><?xml version="1.0" encoding="utf-8"?>
<calcChain xmlns="http://schemas.openxmlformats.org/spreadsheetml/2006/main">
  <c r="E97" i="20" l="1"/>
  <c r="E95" i="20"/>
  <c r="X78" i="20" l="1"/>
  <c r="E77" i="20" l="1"/>
  <c r="D14" i="1" l="1"/>
  <c r="D28" i="2"/>
  <c r="F19" i="2"/>
  <c r="E19" i="2"/>
  <c r="F18" i="2"/>
  <c r="D14" i="2"/>
  <c r="I138" i="3" l="1"/>
  <c r="I137" i="3"/>
  <c r="E105" i="20" l="1"/>
  <c r="X99" i="20"/>
  <c r="D19" i="2" l="1"/>
  <c r="D12" i="2"/>
  <c r="E31" i="3" l="1"/>
  <c r="J106" i="20" l="1"/>
  <c r="J105" i="20"/>
  <c r="X102" i="20"/>
  <c r="X83" i="20"/>
  <c r="X84" i="20"/>
  <c r="X100" i="20"/>
  <c r="X101" i="20"/>
  <c r="E81" i="20" l="1"/>
  <c r="J82" i="20"/>
  <c r="H81" i="20"/>
  <c r="H106" i="20" l="1"/>
  <c r="D199" i="3" l="1"/>
  <c r="D201" i="3"/>
  <c r="D208" i="3"/>
  <c r="F201" i="3"/>
  <c r="C29" i="2"/>
  <c r="C28" i="2"/>
  <c r="C26" i="2"/>
  <c r="C25" i="2"/>
  <c r="C24" i="2"/>
  <c r="C19" i="2"/>
  <c r="C18" i="2"/>
  <c r="C17" i="2"/>
  <c r="C16" i="2"/>
  <c r="C15" i="2"/>
  <c r="C14" i="2"/>
  <c r="C13" i="2"/>
  <c r="C12" i="2"/>
  <c r="C11" i="2"/>
  <c r="H162" i="3"/>
  <c r="D161" i="3"/>
  <c r="F203" i="3"/>
  <c r="H203" i="3"/>
  <c r="D210" i="3"/>
  <c r="D207" i="3"/>
  <c r="D206" i="3"/>
  <c r="D95" i="3"/>
  <c r="F183" i="3" l="1"/>
  <c r="H176" i="3" l="1"/>
  <c r="H199" i="3"/>
  <c r="D146" i="3"/>
  <c r="D139" i="3"/>
  <c r="D127" i="3"/>
  <c r="D129" i="3"/>
  <c r="F89" i="3"/>
  <c r="F86" i="3"/>
  <c r="D62" i="3"/>
  <c r="J52" i="3"/>
  <c r="F52" i="3"/>
  <c r="F198" i="3"/>
  <c r="F193" i="3"/>
  <c r="F194" i="3"/>
  <c r="F195" i="3"/>
  <c r="H192" i="3"/>
  <c r="D168" i="3"/>
  <c r="F166" i="3"/>
  <c r="D157" i="3"/>
  <c r="D156" i="3"/>
  <c r="D142" i="3"/>
  <c r="D141" i="3"/>
  <c r="D140" i="3"/>
  <c r="D128" i="3"/>
  <c r="D101" i="3"/>
  <c r="D96" i="3"/>
  <c r="D92" i="3"/>
  <c r="D94" i="3"/>
  <c r="D89" i="3"/>
  <c r="D88" i="3"/>
  <c r="D87" i="3"/>
  <c r="D75" i="3"/>
  <c r="C21" i="2"/>
  <c r="D196" i="3"/>
  <c r="D195" i="3"/>
  <c r="D192" i="3"/>
  <c r="D184" i="3"/>
  <c r="H183" i="3"/>
  <c r="D183" i="3"/>
  <c r="D181" i="3"/>
  <c r="D180" i="3"/>
  <c r="D176" i="3"/>
  <c r="D171" i="3"/>
  <c r="F164" i="3"/>
  <c r="D166" i="3"/>
  <c r="H165" i="3"/>
  <c r="D164" i="3"/>
  <c r="H160" i="3"/>
  <c r="F160" i="3"/>
  <c r="F159" i="3"/>
  <c r="H151" i="3"/>
  <c r="H150" i="3"/>
  <c r="H149" i="3"/>
  <c r="D149" i="3"/>
  <c r="D147" i="3"/>
  <c r="H146" i="3"/>
  <c r="H145" i="3"/>
  <c r="H139" i="3"/>
  <c r="H138" i="3"/>
  <c r="H137" i="3"/>
  <c r="D138" i="3"/>
  <c r="D137" i="3"/>
  <c r="H132" i="3"/>
  <c r="D134" i="3"/>
  <c r="D132" i="3"/>
  <c r="D126" i="3"/>
  <c r="D121" i="3"/>
  <c r="H114" i="3"/>
  <c r="F113" i="3"/>
  <c r="D114" i="3"/>
  <c r="D113" i="3"/>
  <c r="H109" i="3"/>
  <c r="H107" i="3"/>
  <c r="F100" i="3"/>
  <c r="D100" i="3"/>
  <c r="H95" i="3"/>
  <c r="D93" i="3"/>
  <c r="D91" i="3"/>
  <c r="D80" i="3"/>
  <c r="D86" i="3"/>
  <c r="D85" i="3"/>
  <c r="D84" i="3"/>
  <c r="F83" i="3"/>
  <c r="D83" i="3"/>
  <c r="D81" i="3"/>
  <c r="D71" i="3"/>
  <c r="D69" i="3"/>
  <c r="D66" i="3"/>
  <c r="D63" i="3"/>
  <c r="D61" i="3"/>
  <c r="H54" i="3"/>
  <c r="D54" i="3"/>
  <c r="H50" i="3"/>
  <c r="D49" i="3"/>
  <c r="D48" i="3"/>
  <c r="D46" i="3"/>
  <c r="D45" i="3"/>
  <c r="D40" i="3"/>
  <c r="H38" i="3"/>
  <c r="D38" i="3"/>
  <c r="D37" i="3"/>
  <c r="D34" i="3"/>
  <c r="J30" i="3"/>
  <c r="D30" i="3"/>
  <c r="D14" i="3"/>
  <c r="C89" i="1"/>
  <c r="C86" i="1"/>
  <c r="C85" i="1"/>
  <c r="C83" i="1"/>
  <c r="C82" i="1"/>
  <c r="C80" i="1"/>
  <c r="C77" i="1"/>
  <c r="C74" i="1"/>
  <c r="C72" i="1"/>
  <c r="C69" i="1"/>
  <c r="C65" i="1"/>
  <c r="C59" i="1"/>
  <c r="C56" i="1"/>
  <c r="C55" i="1"/>
  <c r="C52" i="1"/>
  <c r="C45" i="1"/>
  <c r="C31" i="1"/>
  <c r="C30" i="1"/>
  <c r="C28" i="1"/>
  <c r="C20" i="1"/>
  <c r="W106" i="20" l="1"/>
  <c r="W105" i="20"/>
  <c r="H105" i="20"/>
  <c r="U106" i="20" l="1"/>
  <c r="I106" i="20"/>
  <c r="K106" i="20"/>
  <c r="L106" i="20"/>
  <c r="M106" i="20"/>
  <c r="N106" i="20"/>
  <c r="O106" i="20"/>
  <c r="P106" i="20"/>
  <c r="Q106" i="20"/>
  <c r="R106" i="20"/>
  <c r="S106" i="20"/>
  <c r="T106" i="20"/>
  <c r="V106" i="20"/>
  <c r="I105" i="20"/>
  <c r="K105" i="20"/>
  <c r="L105" i="20"/>
  <c r="M105" i="20"/>
  <c r="N105" i="20"/>
  <c r="O105" i="20"/>
  <c r="P105" i="20"/>
  <c r="Q105" i="20"/>
  <c r="R105" i="20"/>
  <c r="S105" i="20"/>
  <c r="T105" i="20"/>
  <c r="U105" i="20"/>
  <c r="V105" i="20"/>
  <c r="J35" i="20"/>
  <c r="H35" i="20"/>
  <c r="H111" i="20" l="1"/>
  <c r="X104" i="20"/>
  <c r="X103" i="20"/>
  <c r="X98" i="20"/>
  <c r="X97" i="20"/>
  <c r="X96" i="20"/>
  <c r="X95" i="20"/>
  <c r="X94" i="20"/>
  <c r="X93" i="20"/>
  <c r="G98" i="20"/>
  <c r="G96" i="20"/>
  <c r="W94" i="20"/>
  <c r="V94" i="20"/>
  <c r="U94" i="20"/>
  <c r="T94" i="20"/>
  <c r="S94" i="20"/>
  <c r="R94" i="20"/>
  <c r="Q94" i="20"/>
  <c r="P94" i="20"/>
  <c r="O94" i="20"/>
  <c r="N94" i="20"/>
  <c r="M94" i="20"/>
  <c r="L94" i="20"/>
  <c r="K94" i="20"/>
  <c r="J94" i="20"/>
  <c r="I94" i="20"/>
  <c r="G94" i="20"/>
  <c r="G92" i="20"/>
  <c r="G90" i="20"/>
  <c r="G88" i="20"/>
  <c r="G86" i="20"/>
  <c r="E83" i="20"/>
  <c r="G80" i="20"/>
  <c r="E79" i="20"/>
  <c r="H75" i="20"/>
  <c r="E75" i="20"/>
  <c r="J74" i="20"/>
  <c r="I74" i="20"/>
  <c r="H73" i="20"/>
  <c r="H71" i="20"/>
  <c r="E71" i="20"/>
  <c r="H70" i="20"/>
  <c r="H69" i="20"/>
  <c r="E69" i="20"/>
  <c r="V67" i="20"/>
  <c r="E67" i="20"/>
  <c r="H65" i="20"/>
  <c r="I60" i="20"/>
  <c r="J58" i="20"/>
  <c r="I58" i="20"/>
  <c r="H57" i="20"/>
  <c r="E57" i="20"/>
  <c r="W56" i="20"/>
  <c r="I56" i="20"/>
  <c r="W55" i="20"/>
  <c r="E55" i="20"/>
  <c r="W54" i="20"/>
  <c r="E53" i="20"/>
  <c r="H51" i="20"/>
  <c r="E51" i="20"/>
  <c r="W50" i="20"/>
  <c r="E49" i="20"/>
  <c r="E45" i="20"/>
  <c r="E41" i="20"/>
  <c r="H39" i="20"/>
  <c r="E39" i="20"/>
  <c r="W37" i="20"/>
  <c r="U37" i="20"/>
  <c r="E37" i="20"/>
  <c r="J36" i="20"/>
  <c r="I36" i="20"/>
  <c r="E35" i="20"/>
  <c r="W34" i="20"/>
  <c r="W33" i="20"/>
  <c r="E33" i="20"/>
  <c r="W32" i="20"/>
  <c r="I32" i="20"/>
  <c r="I30" i="20"/>
  <c r="U29" i="20"/>
  <c r="W26" i="20"/>
  <c r="U23" i="20"/>
  <c r="W21" i="20"/>
  <c r="E21" i="20"/>
  <c r="H19" i="20"/>
  <c r="E19" i="20"/>
  <c r="U17" i="20"/>
  <c r="U15" i="20"/>
  <c r="E15" i="20"/>
  <c r="W8" i="20"/>
  <c r="V8" i="20"/>
  <c r="C63" i="3" l="1"/>
  <c r="C49" i="3"/>
  <c r="F36" i="3"/>
  <c r="G36" i="3"/>
  <c r="H36" i="3"/>
  <c r="I36" i="3"/>
  <c r="J36" i="3"/>
  <c r="K36" i="3"/>
  <c r="L36" i="3"/>
  <c r="E36" i="3"/>
  <c r="C38" i="3"/>
  <c r="H116" i="3" l="1"/>
  <c r="H111" i="3"/>
  <c r="H108" i="3"/>
  <c r="D99" i="3"/>
  <c r="D36" i="3"/>
  <c r="H26" i="3"/>
  <c r="C70" i="1"/>
  <c r="H112" i="20" l="1"/>
  <c r="H126" i="20" l="1"/>
  <c r="E64" i="1" l="1"/>
  <c r="E65" i="1"/>
  <c r="E63" i="1"/>
  <c r="E62" i="1" l="1"/>
  <c r="F141" i="20" l="1"/>
  <c r="W130" i="20"/>
  <c r="V130" i="20"/>
  <c r="U130" i="20"/>
  <c r="T130" i="20"/>
  <c r="S130" i="20"/>
  <c r="R130" i="20"/>
  <c r="Q130" i="20"/>
  <c r="P130" i="20"/>
  <c r="O130" i="20"/>
  <c r="N130" i="20"/>
  <c r="M130" i="20"/>
  <c r="L130" i="20"/>
  <c r="K130" i="20"/>
  <c r="J130" i="20"/>
  <c r="I130" i="20"/>
  <c r="H130" i="20"/>
  <c r="H139" i="20" s="1"/>
  <c r="W129" i="20"/>
  <c r="W131" i="20" s="1"/>
  <c r="V129" i="20"/>
  <c r="V131" i="20" s="1"/>
  <c r="U129" i="20"/>
  <c r="U131" i="20" s="1"/>
  <c r="T129" i="20"/>
  <c r="T131" i="20" s="1"/>
  <c r="S129" i="20"/>
  <c r="S131" i="20" s="1"/>
  <c r="R129" i="20"/>
  <c r="R131" i="20" s="1"/>
  <c r="Q129" i="20"/>
  <c r="Q131" i="20" s="1"/>
  <c r="P129" i="20"/>
  <c r="P131" i="20" s="1"/>
  <c r="O129" i="20"/>
  <c r="O131" i="20" s="1"/>
  <c r="N129" i="20"/>
  <c r="N131" i="20" s="1"/>
  <c r="M129" i="20"/>
  <c r="M131" i="20" s="1"/>
  <c r="L129" i="20"/>
  <c r="L131" i="20" s="1"/>
  <c r="K129" i="20"/>
  <c r="K131" i="20" s="1"/>
  <c r="J129" i="20"/>
  <c r="J131" i="20" s="1"/>
  <c r="I129" i="20"/>
  <c r="I131" i="20" s="1"/>
  <c r="H129" i="20"/>
  <c r="H131" i="20" s="1"/>
  <c r="X128" i="20"/>
  <c r="X127" i="20"/>
  <c r="X126" i="20"/>
  <c r="X125" i="20"/>
  <c r="X124" i="20"/>
  <c r="X123" i="20"/>
  <c r="X122" i="20"/>
  <c r="X121" i="20"/>
  <c r="X129" i="20" s="1"/>
  <c r="R139" i="20"/>
  <c r="N139" i="20"/>
  <c r="R138" i="20"/>
  <c r="N138" i="20"/>
  <c r="J138" i="20"/>
  <c r="X92" i="20"/>
  <c r="X91" i="20"/>
  <c r="X90" i="20"/>
  <c r="X89" i="20"/>
  <c r="X88" i="20"/>
  <c r="X87" i="20"/>
  <c r="X86" i="20"/>
  <c r="X85" i="20"/>
  <c r="X82" i="20"/>
  <c r="X81" i="20"/>
  <c r="X80" i="20"/>
  <c r="X79" i="20"/>
  <c r="X77" i="20"/>
  <c r="X76" i="20"/>
  <c r="X75" i="20"/>
  <c r="X74" i="20"/>
  <c r="X73" i="20"/>
  <c r="X72" i="20"/>
  <c r="X71" i="20"/>
  <c r="X70" i="20"/>
  <c r="X69" i="20"/>
  <c r="X68" i="20"/>
  <c r="X67" i="20"/>
  <c r="X66" i="20"/>
  <c r="X65" i="20"/>
  <c r="X64" i="20"/>
  <c r="X63" i="20"/>
  <c r="X62" i="20"/>
  <c r="X61" i="20"/>
  <c r="X60" i="20"/>
  <c r="X59" i="20"/>
  <c r="X58" i="20"/>
  <c r="X57" i="20"/>
  <c r="X56" i="20"/>
  <c r="X55" i="20"/>
  <c r="X54" i="20"/>
  <c r="X53" i="20"/>
  <c r="X52" i="20"/>
  <c r="X51" i="20"/>
  <c r="X50" i="20"/>
  <c r="X49" i="20"/>
  <c r="X48" i="20"/>
  <c r="X47" i="20"/>
  <c r="X46" i="20"/>
  <c r="X45" i="20"/>
  <c r="X44" i="20"/>
  <c r="X43" i="20"/>
  <c r="X42" i="20"/>
  <c r="X41" i="20"/>
  <c r="X40" i="20"/>
  <c r="X38" i="20"/>
  <c r="X37" i="20"/>
  <c r="X35" i="20"/>
  <c r="X33" i="20"/>
  <c r="X32" i="20"/>
  <c r="X31" i="20"/>
  <c r="X30" i="20"/>
  <c r="X29" i="20"/>
  <c r="X28" i="20"/>
  <c r="X27" i="20"/>
  <c r="X26" i="20"/>
  <c r="X25" i="20"/>
  <c r="X24" i="20"/>
  <c r="X23" i="20"/>
  <c r="X22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V139" i="20"/>
  <c r="X7" i="20"/>
  <c r="I6" i="20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X105" i="20" l="1"/>
  <c r="X130" i="20"/>
  <c r="M139" i="20"/>
  <c r="Q139" i="20"/>
  <c r="U139" i="20"/>
  <c r="I139" i="20"/>
  <c r="R140" i="20"/>
  <c r="R142" i="20" s="1"/>
  <c r="Q107" i="20"/>
  <c r="Q109" i="20" s="1"/>
  <c r="N140" i="20"/>
  <c r="N142" i="20" s="1"/>
  <c r="M107" i="20"/>
  <c r="M109" i="20" s="1"/>
  <c r="L107" i="20"/>
  <c r="L108" i="20" s="1"/>
  <c r="W139" i="20"/>
  <c r="O138" i="20"/>
  <c r="K139" i="20"/>
  <c r="O139" i="20"/>
  <c r="S139" i="20"/>
  <c r="P138" i="20"/>
  <c r="L139" i="20"/>
  <c r="P139" i="20"/>
  <c r="T139" i="20"/>
  <c r="K138" i="20"/>
  <c r="S138" i="20"/>
  <c r="T115" i="20"/>
  <c r="I107" i="20"/>
  <c r="I108" i="20" s="1"/>
  <c r="N107" i="20"/>
  <c r="R107" i="20"/>
  <c r="R109" i="20" s="1"/>
  <c r="W138" i="20"/>
  <c r="W107" i="20"/>
  <c r="J139" i="20"/>
  <c r="J140" i="20" s="1"/>
  <c r="J107" i="20"/>
  <c r="V107" i="20"/>
  <c r="V138" i="20"/>
  <c r="V140" i="20" s="1"/>
  <c r="X131" i="20"/>
  <c r="P115" i="20"/>
  <c r="L138" i="20"/>
  <c r="T138" i="20"/>
  <c r="T140" i="20" s="1"/>
  <c r="X21" i="20"/>
  <c r="X34" i="20"/>
  <c r="X106" i="20" s="1"/>
  <c r="X36" i="20"/>
  <c r="X39" i="20"/>
  <c r="K107" i="20"/>
  <c r="O107" i="20"/>
  <c r="S107" i="20"/>
  <c r="M115" i="20"/>
  <c r="Q115" i="20"/>
  <c r="I138" i="20"/>
  <c r="M138" i="20"/>
  <c r="Q138" i="20"/>
  <c r="I115" i="20"/>
  <c r="L115" i="20"/>
  <c r="X8" i="20"/>
  <c r="P107" i="20"/>
  <c r="T107" i="20"/>
  <c r="J115" i="20"/>
  <c r="N115" i="20"/>
  <c r="R115" i="20"/>
  <c r="K115" i="20"/>
  <c r="O115" i="20"/>
  <c r="S115" i="20"/>
  <c r="M140" i="20" l="1"/>
  <c r="M142" i="20" s="1"/>
  <c r="S140" i="20"/>
  <c r="S141" i="20" s="1"/>
  <c r="Q140" i="20"/>
  <c r="Q142" i="20" s="1"/>
  <c r="R141" i="20"/>
  <c r="L109" i="20"/>
  <c r="I140" i="20"/>
  <c r="I141" i="20" s="1"/>
  <c r="Q116" i="20"/>
  <c r="Q108" i="20"/>
  <c r="W140" i="20"/>
  <c r="W141" i="20" s="1"/>
  <c r="S142" i="20"/>
  <c r="N141" i="20"/>
  <c r="M116" i="20"/>
  <c r="N116" i="20"/>
  <c r="M108" i="20"/>
  <c r="L140" i="20"/>
  <c r="L142" i="20" s="1"/>
  <c r="N109" i="20"/>
  <c r="N108" i="20"/>
  <c r="I109" i="20"/>
  <c r="K140" i="20"/>
  <c r="P140" i="20"/>
  <c r="O140" i="20"/>
  <c r="R108" i="20"/>
  <c r="R116" i="20"/>
  <c r="X139" i="20"/>
  <c r="J142" i="20"/>
  <c r="J141" i="20"/>
  <c r="O109" i="20"/>
  <c r="O108" i="20"/>
  <c r="O116" i="20"/>
  <c r="V109" i="20"/>
  <c r="V108" i="20"/>
  <c r="W109" i="20"/>
  <c r="W108" i="20"/>
  <c r="H138" i="20"/>
  <c r="H107" i="20"/>
  <c r="K109" i="20"/>
  <c r="K108" i="20"/>
  <c r="K116" i="20"/>
  <c r="J116" i="20"/>
  <c r="J109" i="20"/>
  <c r="J108" i="20"/>
  <c r="S109" i="20"/>
  <c r="S108" i="20"/>
  <c r="S116" i="20"/>
  <c r="T141" i="20"/>
  <c r="T142" i="20"/>
  <c r="V142" i="20"/>
  <c r="V141" i="20"/>
  <c r="T109" i="20"/>
  <c r="T108" i="20"/>
  <c r="T116" i="20"/>
  <c r="P109" i="20"/>
  <c r="P108" i="20"/>
  <c r="P116" i="20"/>
  <c r="U107" i="20"/>
  <c r="U138" i="20"/>
  <c r="U140" i="20" s="1"/>
  <c r="U115" i="20"/>
  <c r="V115" i="20"/>
  <c r="L116" i="20"/>
  <c r="M141" i="20" l="1"/>
  <c r="I142" i="20"/>
  <c r="Q141" i="20"/>
  <c r="W142" i="20"/>
  <c r="X107" i="20"/>
  <c r="L141" i="20"/>
  <c r="O142" i="20"/>
  <c r="O141" i="20"/>
  <c r="P141" i="20"/>
  <c r="P142" i="20"/>
  <c r="K142" i="20"/>
  <c r="K141" i="20"/>
  <c r="U142" i="20"/>
  <c r="U141" i="20"/>
  <c r="U116" i="20"/>
  <c r="U109" i="20"/>
  <c r="U108" i="20"/>
  <c r="V116" i="20"/>
  <c r="H140" i="20"/>
  <c r="X138" i="20"/>
  <c r="X140" i="20" s="1"/>
  <c r="H109" i="20"/>
  <c r="H108" i="20"/>
  <c r="I116" i="20"/>
  <c r="H141" i="20" l="1"/>
  <c r="H142" i="20"/>
  <c r="C142" i="3" l="1"/>
  <c r="D136" i="3"/>
  <c r="E131" i="3"/>
  <c r="F131" i="3"/>
  <c r="G131" i="3"/>
  <c r="H131" i="3"/>
  <c r="I131" i="3"/>
  <c r="J131" i="3"/>
  <c r="K131" i="3"/>
  <c r="L131" i="3"/>
  <c r="D131" i="3"/>
  <c r="C133" i="3"/>
  <c r="C134" i="3"/>
  <c r="C131" i="3" l="1"/>
  <c r="E44" i="3"/>
  <c r="F44" i="3"/>
  <c r="G44" i="3"/>
  <c r="H44" i="3"/>
  <c r="I44" i="3"/>
  <c r="J44" i="3"/>
  <c r="K44" i="3"/>
  <c r="L44" i="3"/>
  <c r="D44" i="3"/>
  <c r="C46" i="3"/>
  <c r="C47" i="3"/>
  <c r="C48" i="3"/>
  <c r="C50" i="3"/>
  <c r="L15" i="3"/>
  <c r="F15" i="3"/>
  <c r="D15" i="3"/>
  <c r="L14" i="3"/>
  <c r="F14" i="3"/>
  <c r="D155" i="3"/>
  <c r="E155" i="3"/>
  <c r="F155" i="3"/>
  <c r="G155" i="3"/>
  <c r="H155" i="3"/>
  <c r="I155" i="3"/>
  <c r="J155" i="3"/>
  <c r="K155" i="3"/>
  <c r="L155" i="3"/>
  <c r="C88" i="1"/>
  <c r="D62" i="1"/>
  <c r="C62" i="1"/>
  <c r="E20" i="1"/>
  <c r="C44" i="3" l="1"/>
  <c r="L170" i="3" l="1"/>
  <c r="K170" i="3"/>
  <c r="J170" i="3"/>
  <c r="I170" i="3"/>
  <c r="H170" i="3"/>
  <c r="G170" i="3"/>
  <c r="F170" i="3"/>
  <c r="E170" i="3"/>
  <c r="D170" i="3"/>
  <c r="C178" i="3"/>
  <c r="C168" i="3"/>
  <c r="L167" i="3"/>
  <c r="K167" i="3"/>
  <c r="J167" i="3"/>
  <c r="I167" i="3"/>
  <c r="H167" i="3"/>
  <c r="G167" i="3"/>
  <c r="F167" i="3"/>
  <c r="E167" i="3"/>
  <c r="D167" i="3"/>
  <c r="D163" i="3"/>
  <c r="K70" i="3"/>
  <c r="I70" i="3"/>
  <c r="G70" i="3"/>
  <c r="E70" i="3"/>
  <c r="L70" i="3"/>
  <c r="J70" i="3"/>
  <c r="H70" i="3"/>
  <c r="F70" i="3"/>
  <c r="D70" i="3"/>
  <c r="C71" i="3"/>
  <c r="C167" i="3" l="1"/>
  <c r="C70" i="3"/>
  <c r="E13" i="3" l="1"/>
  <c r="C210" i="3" l="1"/>
  <c r="L90" i="3" l="1"/>
  <c r="C194" i="3"/>
  <c r="E188" i="3"/>
  <c r="F188" i="3"/>
  <c r="G188" i="3"/>
  <c r="H188" i="3"/>
  <c r="I188" i="3"/>
  <c r="J188" i="3"/>
  <c r="K188" i="3"/>
  <c r="L188" i="3"/>
  <c r="D188" i="3"/>
  <c r="E186" i="3"/>
  <c r="F186" i="3"/>
  <c r="G186" i="3"/>
  <c r="H186" i="3"/>
  <c r="I186" i="3"/>
  <c r="J186" i="3"/>
  <c r="K186" i="3"/>
  <c r="L186" i="3"/>
  <c r="D186" i="3"/>
  <c r="D98" i="3"/>
  <c r="E123" i="3"/>
  <c r="F123" i="3"/>
  <c r="G123" i="3"/>
  <c r="H123" i="3"/>
  <c r="I123" i="3"/>
  <c r="J123" i="3"/>
  <c r="K123" i="3"/>
  <c r="L123" i="3"/>
  <c r="D123" i="3"/>
  <c r="C108" i="3"/>
  <c r="C103" i="3"/>
  <c r="C102" i="3"/>
  <c r="L79" i="3"/>
  <c r="E79" i="3"/>
  <c r="F79" i="3"/>
  <c r="G79" i="3"/>
  <c r="H79" i="3"/>
  <c r="I79" i="3"/>
  <c r="J79" i="3"/>
  <c r="K79" i="3"/>
  <c r="D79" i="3"/>
  <c r="C80" i="3"/>
  <c r="L77" i="3"/>
  <c r="K77" i="3"/>
  <c r="J77" i="3"/>
  <c r="I77" i="3"/>
  <c r="H77" i="3"/>
  <c r="G77" i="3"/>
  <c r="F77" i="3"/>
  <c r="E77" i="3"/>
  <c r="D77" i="3"/>
  <c r="C74" i="3"/>
  <c r="L68" i="3"/>
  <c r="K68" i="3"/>
  <c r="J68" i="3"/>
  <c r="I68" i="3"/>
  <c r="H68" i="3"/>
  <c r="G68" i="3"/>
  <c r="F68" i="3"/>
  <c r="E68" i="3"/>
  <c r="D68" i="3"/>
  <c r="C62" i="3"/>
  <c r="C58" i="3"/>
  <c r="C57" i="3"/>
  <c r="C54" i="3"/>
  <c r="C41" i="3"/>
  <c r="L33" i="3"/>
  <c r="K33" i="3"/>
  <c r="J33" i="3"/>
  <c r="I33" i="3"/>
  <c r="H33" i="3"/>
  <c r="G33" i="3"/>
  <c r="F33" i="3"/>
  <c r="E33" i="3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E80" i="1"/>
  <c r="E81" i="1"/>
  <c r="E82" i="1"/>
  <c r="E83" i="1"/>
  <c r="D78" i="1"/>
  <c r="C78" i="1"/>
  <c r="D73" i="1"/>
  <c r="C73" i="1"/>
  <c r="D68" i="1"/>
  <c r="C68" i="1"/>
  <c r="E74" i="1"/>
  <c r="E75" i="1"/>
  <c r="E76" i="1"/>
  <c r="E77" i="1"/>
  <c r="D71" i="1"/>
  <c r="C71" i="1"/>
  <c r="E72" i="1"/>
  <c r="E69" i="1"/>
  <c r="E70" i="1"/>
  <c r="D42" i="1"/>
  <c r="D18" i="1"/>
  <c r="C18" i="1"/>
  <c r="E71" i="1" l="1"/>
  <c r="E68" i="1"/>
  <c r="C66" i="1"/>
  <c r="C33" i="3"/>
  <c r="D66" i="1"/>
  <c r="C188" i="3"/>
  <c r="C68" i="3"/>
  <c r="C36" i="3"/>
  <c r="C27" i="3"/>
  <c r="C186" i="3"/>
  <c r="C123" i="3"/>
  <c r="C77" i="3"/>
  <c r="C79" i="3"/>
  <c r="C25" i="3"/>
  <c r="E73" i="1"/>
  <c r="C143" i="3"/>
  <c r="E43" i="1" l="1"/>
  <c r="E44" i="1"/>
  <c r="C203" i="3" l="1"/>
  <c r="L98" i="3" l="1"/>
  <c r="J98" i="3"/>
  <c r="I98" i="3"/>
  <c r="H98" i="3"/>
  <c r="G98" i="3"/>
  <c r="F98" i="3"/>
  <c r="E98" i="3"/>
  <c r="C22" i="2"/>
  <c r="C42" i="1" l="1"/>
  <c r="D25" i="2" l="1"/>
  <c r="D24" i="2"/>
  <c r="C104" i="3"/>
  <c r="C177" i="3" l="1"/>
  <c r="J90" i="3"/>
  <c r="H90" i="3"/>
  <c r="F90" i="3"/>
  <c r="K90" i="3"/>
  <c r="I90" i="3"/>
  <c r="G90" i="3"/>
  <c r="E90" i="3"/>
  <c r="C96" i="3"/>
  <c r="D90" i="3" l="1"/>
  <c r="D204" i="3" l="1"/>
  <c r="D202" i="3" s="1"/>
  <c r="E45" i="1" l="1"/>
  <c r="E42" i="1" l="1"/>
  <c r="L158" i="3"/>
  <c r="K158" i="3"/>
  <c r="J158" i="3"/>
  <c r="I158" i="3"/>
  <c r="H158" i="3"/>
  <c r="G158" i="3"/>
  <c r="F158" i="3"/>
  <c r="E158" i="3"/>
  <c r="D158" i="3"/>
  <c r="C162" i="3"/>
  <c r="L51" i="3"/>
  <c r="K51" i="3"/>
  <c r="J51" i="3"/>
  <c r="I51" i="3"/>
  <c r="H51" i="3"/>
  <c r="G51" i="3"/>
  <c r="F51" i="3"/>
  <c r="E51" i="3"/>
  <c r="D51" i="3"/>
  <c r="C55" i="3"/>
  <c r="L144" i="3"/>
  <c r="K144" i="3"/>
  <c r="J144" i="3"/>
  <c r="I144" i="3"/>
  <c r="H144" i="3"/>
  <c r="G144" i="3"/>
  <c r="F144" i="3"/>
  <c r="E144" i="3"/>
  <c r="D144" i="3"/>
  <c r="C147" i="3"/>
  <c r="L148" i="3"/>
  <c r="K148" i="3"/>
  <c r="J148" i="3"/>
  <c r="I148" i="3"/>
  <c r="H148" i="3"/>
  <c r="G148" i="3"/>
  <c r="F148" i="3"/>
  <c r="E148" i="3"/>
  <c r="D148" i="3"/>
  <c r="C154" i="3"/>
  <c r="L56" i="3"/>
  <c r="K56" i="3"/>
  <c r="J56" i="3"/>
  <c r="I56" i="3"/>
  <c r="H56" i="3"/>
  <c r="G56" i="3"/>
  <c r="F56" i="3"/>
  <c r="E56" i="3"/>
  <c r="D56" i="3"/>
  <c r="C59" i="3"/>
  <c r="C56" i="3" l="1"/>
  <c r="C200" i="3"/>
  <c r="C199" i="3"/>
  <c r="E119" i="3"/>
  <c r="F119" i="3"/>
  <c r="G119" i="3"/>
  <c r="H119" i="3"/>
  <c r="I119" i="3"/>
  <c r="J119" i="3"/>
  <c r="K119" i="3"/>
  <c r="L119" i="3"/>
  <c r="D119" i="3"/>
  <c r="C122" i="3"/>
  <c r="K98" i="3"/>
  <c r="E82" i="3" l="1"/>
  <c r="E76" i="3" s="1"/>
  <c r="F82" i="3"/>
  <c r="F76" i="3" s="1"/>
  <c r="G82" i="3"/>
  <c r="G76" i="3" s="1"/>
  <c r="H82" i="3"/>
  <c r="H76" i="3" s="1"/>
  <c r="I82" i="3"/>
  <c r="I76" i="3" s="1"/>
  <c r="J82" i="3"/>
  <c r="J76" i="3" s="1"/>
  <c r="K82" i="3"/>
  <c r="K76" i="3" s="1"/>
  <c r="L82" i="3"/>
  <c r="L76" i="3" s="1"/>
  <c r="D82" i="3"/>
  <c r="D76" i="3" s="1"/>
  <c r="D84" i="1"/>
  <c r="C84" i="1"/>
  <c r="E86" i="1"/>
  <c r="E85" i="1"/>
  <c r="E136" i="3"/>
  <c r="F136" i="3"/>
  <c r="G136" i="3"/>
  <c r="H136" i="3"/>
  <c r="I136" i="3"/>
  <c r="J136" i="3"/>
  <c r="K136" i="3"/>
  <c r="L136" i="3"/>
  <c r="E84" i="1" l="1"/>
  <c r="C89" i="3" l="1"/>
  <c r="E39" i="3" l="1"/>
  <c r="E35" i="3" s="1"/>
  <c r="F39" i="3"/>
  <c r="F35" i="3" s="1"/>
  <c r="G39" i="3"/>
  <c r="G35" i="3" s="1"/>
  <c r="H39" i="3"/>
  <c r="H35" i="3" s="1"/>
  <c r="I39" i="3"/>
  <c r="I35" i="3" s="1"/>
  <c r="J39" i="3"/>
  <c r="J35" i="3" s="1"/>
  <c r="K39" i="3"/>
  <c r="K35" i="3" s="1"/>
  <c r="L39" i="3"/>
  <c r="L35" i="3" s="1"/>
  <c r="D39" i="3"/>
  <c r="D35" i="3" s="1"/>
  <c r="C42" i="3"/>
  <c r="C35" i="3" l="1"/>
  <c r="E41" i="1"/>
  <c r="E40" i="1" s="1"/>
  <c r="E39" i="1" s="1"/>
  <c r="D40" i="1"/>
  <c r="D39" i="1" s="1"/>
  <c r="C40" i="1"/>
  <c r="C39" i="1" s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6" i="3"/>
  <c r="K106" i="3"/>
  <c r="J106" i="3"/>
  <c r="I106" i="3"/>
  <c r="H106" i="3"/>
  <c r="G106" i="3"/>
  <c r="F106" i="3"/>
  <c r="E106" i="3"/>
  <c r="D106" i="3"/>
  <c r="C109" i="3"/>
  <c r="F16" i="2"/>
  <c r="C95" i="3"/>
  <c r="C53" i="3"/>
  <c r="C153" i="3" l="1"/>
  <c r="C88" i="3"/>
  <c r="C82" i="3" l="1"/>
  <c r="E49" i="1" l="1"/>
  <c r="D46" i="1"/>
  <c r="C46" i="1"/>
  <c r="C51" i="1" l="1"/>
  <c r="D51" i="1"/>
  <c r="C176" i="3" l="1"/>
  <c r="C161" i="3"/>
  <c r="E52" i="1" l="1"/>
  <c r="E51" i="1" l="1"/>
  <c r="C75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204" i="3"/>
  <c r="E202" i="3" s="1"/>
  <c r="F204" i="3"/>
  <c r="F202" i="3" s="1"/>
  <c r="G204" i="3"/>
  <c r="G202" i="3" s="1"/>
  <c r="H204" i="3"/>
  <c r="H202" i="3" s="1"/>
  <c r="I204" i="3"/>
  <c r="I202" i="3" s="1"/>
  <c r="J204" i="3"/>
  <c r="J202" i="3" s="1"/>
  <c r="K204" i="3"/>
  <c r="K202" i="3" s="1"/>
  <c r="L204" i="3"/>
  <c r="L202" i="3" s="1"/>
  <c r="C209" i="3"/>
  <c r="C208" i="3"/>
  <c r="C207" i="3"/>
  <c r="C206" i="3"/>
  <c r="C205" i="3"/>
  <c r="C202" i="3" l="1"/>
  <c r="C204" i="3"/>
  <c r="H28" i="2"/>
  <c r="E197" i="3" l="1"/>
  <c r="F197" i="3"/>
  <c r="G197" i="3"/>
  <c r="H197" i="3"/>
  <c r="I197" i="3"/>
  <c r="J197" i="3"/>
  <c r="K197" i="3"/>
  <c r="L197" i="3"/>
  <c r="D197" i="3"/>
  <c r="C201" i="3"/>
  <c r="C198" i="3"/>
  <c r="E190" i="3"/>
  <c r="F190" i="3"/>
  <c r="G190" i="3"/>
  <c r="H190" i="3"/>
  <c r="I190" i="3"/>
  <c r="J190" i="3"/>
  <c r="K190" i="3"/>
  <c r="L190" i="3"/>
  <c r="D190" i="3"/>
  <c r="C192" i="3"/>
  <c r="C193" i="3"/>
  <c r="C195" i="3"/>
  <c r="C196" i="3"/>
  <c r="C191" i="3"/>
  <c r="C189" i="3"/>
  <c r="C187" i="3"/>
  <c r="E182" i="3"/>
  <c r="F182" i="3"/>
  <c r="G182" i="3"/>
  <c r="H182" i="3"/>
  <c r="I182" i="3"/>
  <c r="J182" i="3"/>
  <c r="K182" i="3"/>
  <c r="L182" i="3"/>
  <c r="D182" i="3"/>
  <c r="C184" i="3"/>
  <c r="C185" i="3"/>
  <c r="C183" i="3"/>
  <c r="E179" i="3"/>
  <c r="F179" i="3"/>
  <c r="G179" i="3"/>
  <c r="H179" i="3"/>
  <c r="I179" i="3"/>
  <c r="J179" i="3"/>
  <c r="K179" i="3"/>
  <c r="L179" i="3"/>
  <c r="D179" i="3"/>
  <c r="C181" i="3"/>
  <c r="C180" i="3"/>
  <c r="C172" i="3"/>
  <c r="C173" i="3"/>
  <c r="C174" i="3"/>
  <c r="C175" i="3"/>
  <c r="C171" i="3"/>
  <c r="D169" i="3" l="1"/>
  <c r="J169" i="3"/>
  <c r="K169" i="3"/>
  <c r="G19" i="2" s="1"/>
  <c r="G169" i="3"/>
  <c r="E169" i="3"/>
  <c r="I169" i="3"/>
  <c r="H169" i="3"/>
  <c r="L169" i="3"/>
  <c r="F169" i="3"/>
  <c r="C197" i="3"/>
  <c r="C190" i="3"/>
  <c r="C182" i="3"/>
  <c r="C179" i="3"/>
  <c r="E163" i="3"/>
  <c r="F163" i="3"/>
  <c r="G163" i="3"/>
  <c r="H163" i="3"/>
  <c r="I163" i="3"/>
  <c r="J163" i="3"/>
  <c r="K163" i="3"/>
  <c r="L163" i="3"/>
  <c r="C166" i="3"/>
  <c r="C165" i="3"/>
  <c r="C164" i="3"/>
  <c r="C160" i="3"/>
  <c r="C159" i="3"/>
  <c r="C157" i="3"/>
  <c r="C156" i="3"/>
  <c r="C152" i="3"/>
  <c r="C151" i="3"/>
  <c r="C150" i="3"/>
  <c r="C149" i="3"/>
  <c r="C146" i="3"/>
  <c r="C145" i="3"/>
  <c r="C138" i="3"/>
  <c r="C139" i="3"/>
  <c r="C140" i="3"/>
  <c r="C141" i="3"/>
  <c r="C137" i="3"/>
  <c r="C132" i="3"/>
  <c r="E125" i="3"/>
  <c r="F125" i="3"/>
  <c r="G125" i="3"/>
  <c r="H125" i="3"/>
  <c r="I125" i="3"/>
  <c r="J125" i="3"/>
  <c r="K125" i="3"/>
  <c r="L125" i="3"/>
  <c r="D125" i="3"/>
  <c r="C127" i="3"/>
  <c r="C128" i="3"/>
  <c r="C129" i="3"/>
  <c r="C126" i="3"/>
  <c r="C124" i="3"/>
  <c r="C121" i="3"/>
  <c r="C120" i="3"/>
  <c r="E115" i="3"/>
  <c r="F115" i="3"/>
  <c r="G115" i="3"/>
  <c r="H115" i="3"/>
  <c r="I115" i="3"/>
  <c r="J115" i="3"/>
  <c r="K115" i="3"/>
  <c r="L115" i="3"/>
  <c r="D115" i="3"/>
  <c r="C118" i="3"/>
  <c r="C117" i="3"/>
  <c r="C116" i="3"/>
  <c r="E112" i="3"/>
  <c r="F112" i="3"/>
  <c r="G112" i="3"/>
  <c r="H112" i="3"/>
  <c r="I112" i="3"/>
  <c r="J112" i="3"/>
  <c r="K112" i="3"/>
  <c r="L112" i="3"/>
  <c r="D112" i="3"/>
  <c r="C114" i="3"/>
  <c r="C113" i="3"/>
  <c r="E110" i="3"/>
  <c r="F110" i="3"/>
  <c r="G110" i="3"/>
  <c r="H110" i="3"/>
  <c r="I110" i="3"/>
  <c r="J110" i="3"/>
  <c r="K110" i="3"/>
  <c r="L110" i="3"/>
  <c r="D110" i="3"/>
  <c r="C111" i="3"/>
  <c r="C107" i="3"/>
  <c r="C101" i="3"/>
  <c r="C100" i="3"/>
  <c r="C99" i="3"/>
  <c r="D105" i="3" l="1"/>
  <c r="D97" i="3" s="1"/>
  <c r="F105" i="3"/>
  <c r="F97" i="3" s="1"/>
  <c r="J135" i="3"/>
  <c r="J130" i="3" s="1"/>
  <c r="F135" i="3"/>
  <c r="F130" i="3" s="1"/>
  <c r="K135" i="3"/>
  <c r="G135" i="3"/>
  <c r="L105" i="3"/>
  <c r="L97" i="3" s="1"/>
  <c r="H105" i="3"/>
  <c r="H97" i="3" s="1"/>
  <c r="J105" i="3"/>
  <c r="J97" i="3" s="1"/>
  <c r="C112" i="3"/>
  <c r="C144" i="3"/>
  <c r="K105" i="3"/>
  <c r="G105" i="3"/>
  <c r="L135" i="3"/>
  <c r="L130" i="3" s="1"/>
  <c r="H135" i="3"/>
  <c r="H130" i="3" s="1"/>
  <c r="D135" i="3"/>
  <c r="D130" i="3" s="1"/>
  <c r="I135" i="3"/>
  <c r="E135" i="3"/>
  <c r="C119" i="3"/>
  <c r="C110" i="3"/>
  <c r="C155" i="3"/>
  <c r="C163" i="3"/>
  <c r="I105" i="3"/>
  <c r="E105" i="3"/>
  <c r="E97" i="3" s="1"/>
  <c r="C158" i="3"/>
  <c r="C148" i="3"/>
  <c r="C136" i="3"/>
  <c r="C98" i="3"/>
  <c r="C115" i="3"/>
  <c r="C125" i="3"/>
  <c r="C106" i="3"/>
  <c r="C92" i="3"/>
  <c r="C93" i="3"/>
  <c r="C94" i="3"/>
  <c r="C91" i="3"/>
  <c r="D16" i="2"/>
  <c r="E16" i="2"/>
  <c r="G16" i="2"/>
  <c r="E15" i="2"/>
  <c r="F15" i="2"/>
  <c r="G15" i="2"/>
  <c r="C84" i="3"/>
  <c r="C85" i="3"/>
  <c r="C86" i="3"/>
  <c r="C87" i="3"/>
  <c r="C83" i="3"/>
  <c r="C81" i="3"/>
  <c r="C78" i="3"/>
  <c r="G130" i="3" l="1"/>
  <c r="E18" i="2" s="1"/>
  <c r="E130" i="3"/>
  <c r="D18" i="2" s="1"/>
  <c r="I130" i="3"/>
  <c r="K130" i="3"/>
  <c r="K97" i="3"/>
  <c r="G17" i="2" s="1"/>
  <c r="I97" i="3"/>
  <c r="F17" i="2" s="1"/>
  <c r="G97" i="3"/>
  <c r="E17" i="2" s="1"/>
  <c r="D15" i="2"/>
  <c r="C76" i="3"/>
  <c r="C135" i="3"/>
  <c r="C105" i="3"/>
  <c r="C90" i="3"/>
  <c r="C130" i="3" l="1"/>
  <c r="G18" i="2"/>
  <c r="D17" i="2"/>
  <c r="C97" i="3"/>
  <c r="E65" i="3"/>
  <c r="F65" i="3"/>
  <c r="G65" i="3"/>
  <c r="H65" i="3"/>
  <c r="I65" i="3"/>
  <c r="J65" i="3"/>
  <c r="K65" i="3"/>
  <c r="L65" i="3"/>
  <c r="D65" i="3"/>
  <c r="E73" i="3"/>
  <c r="F73" i="3"/>
  <c r="G73" i="3"/>
  <c r="H73" i="3"/>
  <c r="I73" i="3"/>
  <c r="J73" i="3"/>
  <c r="K73" i="3"/>
  <c r="L73" i="3"/>
  <c r="D73" i="3"/>
  <c r="C72" i="3"/>
  <c r="C69" i="3"/>
  <c r="C67" i="3"/>
  <c r="C66" i="3"/>
  <c r="E60" i="3"/>
  <c r="E43" i="3" s="1"/>
  <c r="D13" i="2" s="1"/>
  <c r="F60" i="3"/>
  <c r="F43" i="3" s="1"/>
  <c r="G60" i="3"/>
  <c r="G43" i="3" s="1"/>
  <c r="H60" i="3"/>
  <c r="H43" i="3" s="1"/>
  <c r="I60" i="3"/>
  <c r="I43" i="3" s="1"/>
  <c r="F13" i="2" s="1"/>
  <c r="J60" i="3"/>
  <c r="J43" i="3" s="1"/>
  <c r="K60" i="3"/>
  <c r="K43" i="3" s="1"/>
  <c r="L60" i="3"/>
  <c r="L43" i="3" s="1"/>
  <c r="D60" i="3"/>
  <c r="D43" i="3" s="1"/>
  <c r="C61" i="3"/>
  <c r="C52" i="3"/>
  <c r="C45" i="3"/>
  <c r="C40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K18" i="3"/>
  <c r="L18" i="3"/>
  <c r="D18" i="3"/>
  <c r="C20" i="3"/>
  <c r="C21" i="3"/>
  <c r="C19" i="3"/>
  <c r="J12" i="3" l="1"/>
  <c r="E12" i="3"/>
  <c r="D11" i="2" s="1"/>
  <c r="E64" i="3"/>
  <c r="D64" i="3"/>
  <c r="K64" i="3"/>
  <c r="G14" i="2" s="1"/>
  <c r="L64" i="3"/>
  <c r="J64" i="3"/>
  <c r="I64" i="3"/>
  <c r="F14" i="2" s="1"/>
  <c r="H64" i="3"/>
  <c r="G64" i="3"/>
  <c r="E14" i="2" s="1"/>
  <c r="F64" i="3"/>
  <c r="I12" i="3"/>
  <c r="F11" i="2" s="1"/>
  <c r="F12" i="3"/>
  <c r="L12" i="3"/>
  <c r="K12" i="3"/>
  <c r="G11" i="2" s="1"/>
  <c r="H12" i="3"/>
  <c r="G12" i="3"/>
  <c r="E11" i="2" s="1"/>
  <c r="D12" i="3"/>
  <c r="C18" i="3"/>
  <c r="C73" i="3"/>
  <c r="C51" i="3"/>
  <c r="C65" i="3"/>
  <c r="C60" i="3"/>
  <c r="C39" i="3"/>
  <c r="C29" i="3"/>
  <c r="C15" i="3"/>
  <c r="C16" i="3"/>
  <c r="C14" i="3"/>
  <c r="L11" i="3" l="1"/>
  <c r="L211" i="3" s="1"/>
  <c r="J11" i="3"/>
  <c r="J211" i="3" s="1"/>
  <c r="G13" i="2"/>
  <c r="G10" i="2" s="1"/>
  <c r="K11" i="3"/>
  <c r="K211" i="3" s="1"/>
  <c r="F10" i="2"/>
  <c r="I11" i="3"/>
  <c r="I211" i="3" s="1"/>
  <c r="G11" i="3"/>
  <c r="G211" i="3" s="1"/>
  <c r="E13" i="2"/>
  <c r="E10" i="2" s="1"/>
  <c r="H11" i="3"/>
  <c r="H211" i="3" s="1"/>
  <c r="F11" i="3"/>
  <c r="F211" i="3" s="1"/>
  <c r="C43" i="3"/>
  <c r="C64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9" i="1"/>
  <c r="E88" i="1"/>
  <c r="D87" i="1"/>
  <c r="C87" i="1"/>
  <c r="E79" i="1"/>
  <c r="E78" i="1" s="1"/>
  <c r="E67" i="1"/>
  <c r="D61" i="1"/>
  <c r="D60" i="1" s="1"/>
  <c r="E87" i="1" l="1"/>
  <c r="E66" i="1"/>
  <c r="E11" i="3"/>
  <c r="E211" i="3" s="1"/>
  <c r="C61" i="1"/>
  <c r="C60" i="1" s="1"/>
  <c r="H13" i="2"/>
  <c r="C12" i="3"/>
  <c r="G29" i="2"/>
  <c r="F29" i="2"/>
  <c r="E29" i="2"/>
  <c r="H22" i="2"/>
  <c r="H20" i="2"/>
  <c r="E56" i="1"/>
  <c r="E57" i="1"/>
  <c r="E55" i="1"/>
  <c r="D54" i="1"/>
  <c r="D53" i="1" s="1"/>
  <c r="C54" i="1"/>
  <c r="C53" i="1" s="1"/>
  <c r="E59" i="1"/>
  <c r="D58" i="1"/>
  <c r="C58" i="1"/>
  <c r="E48" i="1"/>
  <c r="E47" i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19" i="1"/>
  <c r="E18" i="1" s="1"/>
  <c r="E17" i="1"/>
  <c r="E16" i="1"/>
  <c r="E15" i="1"/>
  <c r="E13" i="1"/>
  <c r="E12" i="1"/>
  <c r="D23" i="1"/>
  <c r="C23" i="1"/>
  <c r="D27" i="1"/>
  <c r="C27" i="1"/>
  <c r="C14" i="1"/>
  <c r="D11" i="1"/>
  <c r="C11" i="1"/>
  <c r="D10" i="1" l="1"/>
  <c r="C10" i="1"/>
  <c r="E61" i="1"/>
  <c r="E58" i="1"/>
  <c r="E14" i="1"/>
  <c r="E46" i="1"/>
  <c r="H11" i="2"/>
  <c r="D10" i="2"/>
  <c r="C50" i="1"/>
  <c r="D50" i="1"/>
  <c r="D22" i="1"/>
  <c r="D21" i="1" s="1"/>
  <c r="E54" i="1"/>
  <c r="C22" i="1"/>
  <c r="C21" i="1" s="1"/>
  <c r="E27" i="1"/>
  <c r="E23" i="1"/>
  <c r="E11" i="1"/>
  <c r="E36" i="1"/>
  <c r="E35" i="1" s="1"/>
  <c r="E10" i="1" l="1"/>
  <c r="E60" i="1"/>
  <c r="E53" i="1"/>
  <c r="D29" i="2"/>
  <c r="H29" i="2" s="1"/>
  <c r="H10" i="2"/>
  <c r="D9" i="1"/>
  <c r="D90" i="1" s="1"/>
  <c r="E22" i="1"/>
  <c r="C9" i="1"/>
  <c r="C90" i="1" s="1"/>
  <c r="E50" i="1" l="1"/>
  <c r="E21" i="1"/>
  <c r="E9" i="1" l="1"/>
  <c r="E90" i="1" s="1"/>
  <c r="C170" i="3"/>
  <c r="C169" i="3" l="1"/>
  <c r="D11" i="3"/>
  <c r="C11" i="3" l="1"/>
  <c r="C211" i="3" s="1"/>
  <c r="D211" i="3"/>
</calcChain>
</file>

<file path=xl/sharedStrings.xml><?xml version="1.0" encoding="utf-8"?>
<sst xmlns="http://schemas.openxmlformats.org/spreadsheetml/2006/main" count="1562" uniqueCount="887">
  <si>
    <t>1.pielikums</t>
  </si>
  <si>
    <t>Pamatbudžeta ieņēmumi</t>
  </si>
  <si>
    <t>Rādītāju nosaukums</t>
  </si>
  <si>
    <t>Grozījumi</t>
  </si>
  <si>
    <t>Klasifikā-cijas kods</t>
  </si>
  <si>
    <t>01.110.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</si>
  <si>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</si>
  <si>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</si>
  <si>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</si>
  <si>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</si>
  <si>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</si>
  <si>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</si>
  <si>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</si>
  <si>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</si>
  <si>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</si>
  <si>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</si>
  <si>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</si>
  <si>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</si>
  <si>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</si>
  <si>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</si>
  <si>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</si>
  <si>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</si>
  <si>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</si>
  <si>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</si>
  <si>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</si>
  <si>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</si>
  <si>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</si>
  <si>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</si>
  <si>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</si>
  <si>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</si>
  <si>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</si>
  <si>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</si>
  <si>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</si>
  <si>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</si>
  <si>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</si>
  <si>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</si>
  <si>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</si>
  <si>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</si>
  <si>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</si>
  <si>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</si>
  <si>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</si>
  <si>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</si>
  <si>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</si>
  <si>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</si>
  <si>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</si>
  <si>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</si>
  <si>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</si>
  <si>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</si>
  <si>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</si>
  <si>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</si>
  <si>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</si>
  <si>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</si>
  <si>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</si>
  <si>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</si>
  <si>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</si>
  <si>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</si>
  <si>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</si>
  <si>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</si>
  <si>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</si>
  <si>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12.390.</t>
  </si>
  <si>
    <t>13.000.</t>
  </si>
  <si>
    <t>13.100.</t>
  </si>
  <si>
    <t>Ieņēmumi no ēku un būvju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</si>
  <si>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</si>
  <si>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</si>
  <si>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</si>
  <si>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</si>
  <si>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</si>
  <si>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</si>
  <si>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</si>
  <si>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</si>
  <si>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Pašvaldību no valsts budžeta iestādēm saņemtie transferti Eiropas Savienības politiku instrumentu un pārējās ārvalstu finanšu palīdzības līdzfinansētajiem projektiem (pasākumiem)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</si>
  <si>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</si>
  <si>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</si>
  <si>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</si>
  <si>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</si>
  <si>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</si>
  <si>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</si>
  <si>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</si>
  <si>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</si>
  <si>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</si>
  <si>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</si>
  <si>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</si>
  <si>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</si>
  <si>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</si>
  <si>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</si>
  <si>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</si>
  <si>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</si>
  <si>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</si>
  <si>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</si>
  <si>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</si>
  <si>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</si>
  <si>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</si>
  <si>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</si>
  <si>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</si>
  <si>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</si>
  <si>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</si>
  <si>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</si>
  <si>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</si>
  <si>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</si>
  <si>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</si>
  <si>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</si>
  <si>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</si>
  <si>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</si>
  <si>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</si>
  <si>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</si>
  <si>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</si>
  <si>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</si>
  <si>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</si>
  <si>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</si>
  <si>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</si>
  <si>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</si>
  <si>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</si>
  <si>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</si>
  <si>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</si>
  <si>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</si>
  <si>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</si>
  <si>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</si>
  <si>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</si>
  <si>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</si>
  <si>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</si>
  <si>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</si>
  <si>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</si>
  <si>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</si>
  <si>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</si>
  <si>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</si>
  <si>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</si>
  <si>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</si>
  <si>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</si>
  <si>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</si>
  <si>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</si>
  <si>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</si>
  <si>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</si>
  <si>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</si>
  <si>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</si>
  <si>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</si>
  <si>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</si>
  <si>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</si>
  <si>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</si>
  <si>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</si>
  <si>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</si>
  <si>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</si>
  <si>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</si>
  <si>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</si>
  <si>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</si>
  <si>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</si>
  <si>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</si>
  <si>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</si>
  <si>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</si>
  <si>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</si>
  <si>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</si>
  <si>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</si>
  <si>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</si>
  <si>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</si>
  <si>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</si>
  <si>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</si>
  <si>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</si>
  <si>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</si>
  <si>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</si>
  <si>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</si>
  <si>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</si>
  <si>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</si>
  <si>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</si>
  <si>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</si>
  <si>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</si>
  <si>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</si>
  <si>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</si>
  <si>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</si>
  <si>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</si>
  <si>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</si>
  <si>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</si>
  <si>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</si>
  <si>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</si>
  <si>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</si>
  <si>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</si>
  <si>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</si>
  <si>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</si>
  <si>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</si>
  <si>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</si>
  <si>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</si>
  <si>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</si>
  <si>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</si>
  <si>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</si>
  <si>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</si>
  <si>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</si>
  <si>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</si>
  <si>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</si>
  <si>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</si>
  <si>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</si>
  <si>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</si>
  <si>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</si>
  <si>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</si>
  <si>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</si>
  <si>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</si>
  <si>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</si>
  <si>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</si>
  <si>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</si>
  <si>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</si>
  <si>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</si>
  <si>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</si>
  <si>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</si>
  <si>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</si>
  <si>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</si>
  <si>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</si>
  <si>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</si>
  <si>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</si>
  <si>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</si>
  <si>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</si>
  <si>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</si>
  <si>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</si>
  <si>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</si>
  <si>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</si>
  <si>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</si>
  <si>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</si>
  <si>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</si>
  <si>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</si>
  <si>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</si>
  <si>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</si>
  <si>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</si>
  <si>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</si>
  <si>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</si>
  <si>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</si>
  <si>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</si>
  <si>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</si>
  <si>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</si>
  <si>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</si>
  <si>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</si>
  <si>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</si>
  <si>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</si>
  <si>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</si>
  <si>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</si>
  <si>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</si>
  <si>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</si>
  <si>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</si>
  <si>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</si>
  <si>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</si>
  <si>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</si>
  <si>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</si>
  <si>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</si>
  <si>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</si>
  <si>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</si>
  <si>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</si>
  <si>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</si>
  <si>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</si>
  <si>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</si>
  <si>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</si>
  <si>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</si>
  <si>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</si>
  <si>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</si>
  <si>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</si>
  <si>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</si>
  <si>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</si>
  <si>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</si>
  <si>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</si>
  <si>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</si>
  <si>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</si>
  <si>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</si>
  <si>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</si>
  <si>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</si>
  <si>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</si>
  <si>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</si>
  <si>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</si>
  <si>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</si>
  <si>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</si>
  <si>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</si>
  <si>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</si>
  <si>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</si>
  <si>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</si>
  <si>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</si>
  <si>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</si>
  <si>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</si>
  <si>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</si>
  <si>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</si>
  <si>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</si>
  <si>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</si>
  <si>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</si>
  <si>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</si>
  <si>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</si>
  <si>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</si>
  <si>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</si>
  <si>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</si>
  <si>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</si>
  <si>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</si>
  <si>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</si>
  <si>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</si>
  <si>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</si>
  <si>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</si>
  <si>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</si>
  <si>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</si>
  <si>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</si>
  <si>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</si>
  <si>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</si>
  <si>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</si>
  <si>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</si>
  <si>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</si>
  <si>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</si>
  <si>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</si>
  <si>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</si>
  <si>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</si>
  <si>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</si>
  <si>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</si>
  <si>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</si>
  <si>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</si>
  <si>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</si>
  <si>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</si>
  <si>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</si>
  <si>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</si>
  <si>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</si>
  <si>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</si>
  <si>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</si>
  <si>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</si>
  <si>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</si>
  <si>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</si>
  <si>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</si>
  <si>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</si>
  <si>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</si>
  <si>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</si>
  <si>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</si>
  <si>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</si>
  <si>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</si>
  <si>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</si>
  <si>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</si>
  <si>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</si>
  <si>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</si>
  <si>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</si>
  <si>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</si>
  <si>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</si>
  <si>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</si>
  <si>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</si>
  <si>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</si>
  <si>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</si>
  <si>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</si>
  <si>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</si>
  <si>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</si>
  <si>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</si>
  <si>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</si>
  <si>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</si>
  <si>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</si>
  <si>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</si>
  <si>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</si>
  <si>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</si>
  <si>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</si>
  <si>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</si>
  <si>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</si>
  <si>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</si>
  <si>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</si>
  <si>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</si>
  <si>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</si>
  <si>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</si>
  <si>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</si>
  <si>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</si>
  <si>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</si>
  <si>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</si>
  <si>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</si>
  <si>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</si>
  <si>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</si>
  <si>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</si>
  <si>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</si>
  <si>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</si>
  <si>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</si>
  <si>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</si>
  <si>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</si>
  <si>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</si>
  <si>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</si>
  <si>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</si>
  <si>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</si>
  <si>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</si>
  <si>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</si>
  <si>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</si>
  <si>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</si>
  <si>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</si>
  <si>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</si>
  <si>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</si>
  <si>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</si>
  <si>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</si>
  <si>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</si>
  <si>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</si>
  <si>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</si>
  <si>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</si>
  <si>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</si>
  <si>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03.206.</t>
  </si>
  <si>
    <t>06.608.</t>
  </si>
  <si>
    <t>21.400.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</si>
  <si>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</si>
  <si>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</si>
  <si>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</si>
  <si>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</si>
  <si>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</si>
  <si>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</si>
  <si>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</si>
  <si>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</si>
  <si>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</si>
  <si>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</si>
  <si>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</si>
  <si>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</si>
  <si>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</si>
  <si>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</si>
  <si>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</si>
  <si>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</si>
  <si>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</si>
  <si>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</si>
  <si>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</si>
  <si>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</si>
  <si>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</si>
  <si>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</si>
  <si>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</si>
  <si>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</si>
  <si>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</si>
  <si>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</si>
  <si>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</si>
  <si>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</si>
  <si>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12.399.</t>
  </si>
  <si>
    <t>Pārējie 21.300.grupā neklasificētie iestāžu ieņēmumi par iestāžu sniegtajiem maksas pakalpojumiem un citu pašu ieņēmumi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</si>
  <si>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</si>
  <si>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</si>
  <si>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</si>
  <si>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</si>
  <si>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</si>
  <si>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Nosaukums</t>
  </si>
  <si>
    <t>Pārējie dažādi nenodokļu ieņēmumi, kas nav iepriekš klasificēti šajā klasifikācijā</t>
  </si>
  <si>
    <t>Nodibinājums "Jelgavnieku veselības veicināšanas fonds"</t>
  </si>
  <si>
    <t>08.109.</t>
  </si>
  <si>
    <t>Dienas centrs "Harmonija"</t>
  </si>
  <si>
    <t>Piedzītie un labprātīgi atmaksātie līdzekļi</t>
  </si>
  <si>
    <t>12.395.</t>
  </si>
  <si>
    <t>04.510.527.</t>
  </si>
  <si>
    <t>ERAF projekts "Tehniskās infrastruktūras sakārtošana uzņēmējdarbības attīstībai degradētajā teritorijā, 1.kārta"</t>
  </si>
  <si>
    <t>09.219.6.</t>
  </si>
  <si>
    <t>ERAF projekts "Jelgavas Amatu vidusskolas infrastruktūras uzlabošana un mācību aprīkojuma modernizācija, 2.kārta"</t>
  </si>
  <si>
    <t>01.100.</t>
  </si>
  <si>
    <t>Ieņēmumi no iedzīvotāju ienākuma nodokļa</t>
  </si>
  <si>
    <t>05.400.</t>
  </si>
  <si>
    <t>Nodokļi atsevišķām precēm un pakalpojumu veidiem</t>
  </si>
  <si>
    <t>Pašvaldības nodeva par būvatļaujas izdošanu vai būvniecības ieceres akceptu</t>
  </si>
  <si>
    <t>Citi dažādi nenodokļu ieņēmumi</t>
  </si>
  <si>
    <t>12.393.</t>
  </si>
  <si>
    <t>Līgumsodi un procentu maksājumi par saistību neizpildi</t>
  </si>
  <si>
    <t>13.210.</t>
  </si>
  <si>
    <t>17.000.</t>
  </si>
  <si>
    <t>17.200.</t>
  </si>
  <si>
    <t>Pašvaldību saņemtie transferti no valsts budžeta</t>
  </si>
  <si>
    <t>Pašvaldību saņemtie valsts budžeta transferti</t>
  </si>
  <si>
    <t>Saņemtie aizņēmumi</t>
  </si>
  <si>
    <t>Ieņēmumi no zemes īpašuma pārdošanas</t>
  </si>
  <si>
    <t>21.194.</t>
  </si>
  <si>
    <t>Ieņēmumi no vadošā partnera partneru grupas īstenotajiem ārvalstu finanšu palīdzības projektiem</t>
  </si>
  <si>
    <t>21.351.</t>
  </si>
  <si>
    <t>Mācību maksa</t>
  </si>
  <si>
    <t>Pārējie ieņēmumi par izglītības pakalpojumiem</t>
  </si>
  <si>
    <t>21.379.</t>
  </si>
  <si>
    <t>21.359.</t>
  </si>
  <si>
    <t>Ieņēmumi par pārējo dokumentu izsniegšanu un pārējiem kancelejas pakalpojumiem</t>
  </si>
  <si>
    <t>21.831.</t>
  </si>
  <si>
    <t>Ieņēmumi par telpu nomu</t>
  </si>
  <si>
    <t>21.383.</t>
  </si>
  <si>
    <t>Ieņēmumi no kustamā īpašuma iznomāšanas</t>
  </si>
  <si>
    <t>Ieņēmumi par zemes nomu</t>
  </si>
  <si>
    <t>21.384.</t>
  </si>
  <si>
    <t>21.389.</t>
  </si>
  <si>
    <t>Pārējie ieņēmumi par nomu un īri</t>
  </si>
  <si>
    <t>21.391.</t>
  </si>
  <si>
    <t>21.393.</t>
  </si>
  <si>
    <t>21.394.</t>
  </si>
  <si>
    <t>21.395.</t>
  </si>
  <si>
    <t>21.399.</t>
  </si>
  <si>
    <t>Maksa par personu uzturēšanos sociālās aprūpes iestādēs</t>
  </si>
  <si>
    <t>Ieņēmumi par biļešu realizāciju</t>
  </si>
  <si>
    <t>Ieņēmumi par komunālajiem pakalpojumiem</t>
  </si>
  <si>
    <t>Ieņēmumi par projektu īstenošanu</t>
  </si>
  <si>
    <t>Citi ieņēmumi par maksas pakalpojumiem</t>
  </si>
  <si>
    <t>21.499.</t>
  </si>
  <si>
    <t>Pārējie iepriekš neklasificētie pašu ieņēmumi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</si>
  <si>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</si>
  <si>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</si>
  <si>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</si>
  <si>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</si>
  <si>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</si>
  <si>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</si>
  <si>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</si>
  <si>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</si>
  <si>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</si>
  <si>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</si>
  <si>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</si>
  <si>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</si>
  <si>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</si>
  <si>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</si>
  <si>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</si>
  <si>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</si>
  <si>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</si>
  <si>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</si>
  <si>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</si>
  <si>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</si>
  <si>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</si>
  <si>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</si>
  <si>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</si>
  <si>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</si>
  <si>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</si>
  <si>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</si>
  <si>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</si>
  <si>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</si>
  <si>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</si>
  <si>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</si>
  <si>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</si>
  <si>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</si>
  <si>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</si>
  <si>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</si>
  <si>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</si>
  <si>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</si>
  <si>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</si>
  <si>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</si>
  <si>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</si>
  <si>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</si>
  <si>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</si>
  <si>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</si>
  <si>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</si>
  <si>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</si>
  <si>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</si>
  <si>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</si>
  <si>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</si>
  <si>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</si>
  <si>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</si>
  <si>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</si>
  <si>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</si>
  <si>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</si>
  <si>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</si>
  <si>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</si>
  <si>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</si>
  <si>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</si>
  <si>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</si>
  <si>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</si>
  <si>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</si>
  <si>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</si>
  <si>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</si>
  <si>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</si>
  <si>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</si>
  <si>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</si>
  <si>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</si>
  <si>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</si>
  <si>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</si>
  <si>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</si>
  <si>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08.292. Pilsētas nozīmes pasākumi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</si>
  <si>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</si>
  <si>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</si>
  <si>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</si>
  <si>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</si>
  <si>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</si>
  <si>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</si>
  <si>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</si>
  <si>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</si>
  <si>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</si>
  <si>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</si>
  <si>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</si>
  <si>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</si>
  <si>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</si>
  <si>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</si>
  <si>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</si>
  <si>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</si>
  <si>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</si>
  <si>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</si>
  <si>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</si>
  <si>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</si>
  <si>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</si>
  <si>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</si>
  <si>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</si>
  <si>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</si>
  <si>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</si>
  <si>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</si>
  <si>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</si>
  <si>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</si>
  <si>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</si>
  <si>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</si>
  <si>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</si>
  <si>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</si>
  <si>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</si>
  <si>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</si>
  <si>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</si>
  <si>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</si>
  <si>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</si>
  <si>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</si>
  <si>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</si>
  <si>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</si>
  <si>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</si>
  <si>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</si>
  <si>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</si>
  <si>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</si>
  <si>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</si>
  <si>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</si>
  <si>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</si>
  <si>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</si>
  <si>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</si>
  <si>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</si>
  <si>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</si>
  <si>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</si>
  <si>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</si>
  <si>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</si>
  <si>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</si>
  <si>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</si>
  <si>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</si>
  <si>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</si>
  <si>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</si>
  <si>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</si>
  <si>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</si>
  <si>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</si>
  <si>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</si>
  <si>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</si>
  <si>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</si>
  <si>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</si>
  <si>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</si>
  <si>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</si>
  <si>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</si>
  <si>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</si>
  <si>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</si>
  <si>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</si>
  <si>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</si>
  <si>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</si>
  <si>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</si>
  <si>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</si>
  <si>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</si>
  <si>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</si>
  <si>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</si>
  <si>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</si>
  <si>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</si>
  <si>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</si>
  <si>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</si>
  <si>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</si>
  <si>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</si>
  <si>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</si>
  <si>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</si>
  <si>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</si>
  <si>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</si>
  <si>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</si>
  <si>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</si>
  <si>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</si>
  <si>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</si>
  <si>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</si>
  <si>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</si>
  <si>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</si>
  <si>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</si>
  <si>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</si>
  <si>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</si>
  <si>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</si>
  <si>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</si>
  <si>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</si>
  <si>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</si>
  <si>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</si>
  <si>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</si>
  <si>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</si>
  <si>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</si>
  <si>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</si>
  <si>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</si>
  <si>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</si>
  <si>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</si>
  <si>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</si>
  <si>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</si>
  <si>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</si>
  <si>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</si>
  <si>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</si>
  <si>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</si>
  <si>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</si>
  <si>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</si>
  <si>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</si>
  <si>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</si>
  <si>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</si>
  <si>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</si>
  <si>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</si>
  <si>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</si>
  <si>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</si>
  <si>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</si>
  <si>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</si>
  <si>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</si>
  <si>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</si>
  <si>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</si>
  <si>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</si>
  <si>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</si>
  <si>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</si>
  <si>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</si>
  <si>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</si>
  <si>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</si>
  <si>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</si>
  <si>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</si>
  <si>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</si>
  <si>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</si>
  <si>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</si>
  <si>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</si>
  <si>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</si>
  <si>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</si>
  <si>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</si>
  <si>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</si>
  <si>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</si>
  <si>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</si>
  <si>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</si>
  <si>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</si>
  <si>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</si>
  <si>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</si>
  <si>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</si>
  <si>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</si>
  <si>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</si>
  <si>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</si>
  <si>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</si>
  <si>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</si>
  <si>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</si>
  <si>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</si>
  <si>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</si>
  <si>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</si>
  <si>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</si>
  <si>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</si>
  <si>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</si>
  <si>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</si>
  <si>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</si>
  <si>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</si>
  <si>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</si>
  <si>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</si>
  <si>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</si>
  <si>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</si>
  <si>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</si>
  <si>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</si>
  <si>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</si>
  <si>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</si>
  <si>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</si>
  <si>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</si>
  <si>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</si>
  <si>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</si>
  <si>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</si>
  <si>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</si>
  <si>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</si>
  <si>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</si>
  <si>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</si>
  <si>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</si>
  <si>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</si>
  <si>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</si>
  <si>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</si>
  <si>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</si>
  <si>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</si>
  <si>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</si>
  <si>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</si>
  <si>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</si>
  <si>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</si>
  <si>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</si>
  <si>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</si>
  <si>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</si>
  <si>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</si>
  <si>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</si>
  <si>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</si>
  <si>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</si>
  <si>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</si>
  <si>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</si>
  <si>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</si>
  <si>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17.05.2019.- 20.03.2049.</t>
  </si>
  <si>
    <t>A2/1/19/156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</si>
  <si>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</si>
  <si>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</si>
  <si>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</si>
  <si>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</si>
  <si>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</si>
  <si>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</si>
  <si>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</si>
  <si>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</si>
  <si>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</si>
  <si>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</si>
  <si>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</si>
  <si>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</si>
  <si>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</si>
  <si>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</si>
  <si>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</si>
  <si>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</si>
  <si>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</si>
  <si>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</si>
  <si>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</si>
  <si>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</si>
  <si>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</si>
  <si>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</si>
  <si>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</si>
  <si>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</si>
  <si>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</si>
  <si>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</si>
  <si>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</si>
  <si>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</si>
  <si>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</si>
  <si>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</si>
  <si>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</si>
  <si>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>Pamatsummu atmaksa pēc grafika</t>
  </si>
  <si>
    <t xml:space="preserve"> Saistību īpatsvars bez priekšfinansējuma atmaksām</t>
  </si>
  <si>
    <t>Jelgavas speciālo skolu un speciālās pirmsskolas izglītības programma</t>
  </si>
  <si>
    <t>21.429.</t>
  </si>
  <si>
    <t>Pārējie iepriekš neklasificētie īpašiem mērķiem noteiktie ieņēmumi</t>
  </si>
  <si>
    <t>05.303.</t>
  </si>
  <si>
    <t>09.534.</t>
  </si>
  <si>
    <t>ESF projekts "Nodarbināto personu profesionālās kompetences pilnveide"</t>
  </si>
  <si>
    <t>09.820.</t>
  </si>
  <si>
    <t>09.821.</t>
  </si>
  <si>
    <t>Projekts "Jelgava jauniešiem II"</t>
  </si>
  <si>
    <t>Pārējie citur neklasificētie izglītības pakalpojumi</t>
  </si>
  <si>
    <t>10.129.</t>
  </si>
  <si>
    <t>ESF projekts "Par individuālā budžeta modeļa aprobāciju pilngadīgām personām ar garīga rakstura traucējumiem sabiedrībā balstītu sociālo pakalpojumu nodrošināšanai"</t>
  </si>
  <si>
    <t>09.821. Projekts 'Jelgava jauniešiem'</t>
  </si>
  <si>
    <t>4000. Procentu izdevumi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</si>
  <si>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</si>
  <si>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</si>
  <si>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JELGAVAS PILSĒTAS PAŠVALDĪBAS 2020.GADA BUDŽETS</t>
  </si>
  <si>
    <t>Plāns 2020.gadam</t>
  </si>
  <si>
    <t>05.530.</t>
  </si>
  <si>
    <t>Dabas resursu nodoklis</t>
  </si>
  <si>
    <t>Pašvaldības nodeva par domes izstrādāto oficiālo dokumentu un apliecinātu to kopiju saņemšanu</t>
  </si>
  <si>
    <t>21.191.</t>
  </si>
  <si>
    <t>Ieņēmumi no citu Eiropas Savienības politiku instrumentu līdzfinansēto projektu un pasākumu īstenošanas, kas nav Eiropas Savienības struktūrfondi</t>
  </si>
  <si>
    <t>Naudas līdzekļu atlikums uz 31.12.2019.</t>
  </si>
  <si>
    <t>04.510.529.</t>
  </si>
  <si>
    <t>ERAF projekts "Tehniskās infrastruktūras sakārtošana uzņēmējdarbības attīstībai degradētajā teritorijā, 2.kārta"</t>
  </si>
  <si>
    <t>Dotācija pašvaldības kapitālsabiedrībām no dabas resursu nodokļa fonda</t>
  </si>
  <si>
    <t>09.111.</t>
  </si>
  <si>
    <t>Projekts "Ēkas pārbūve par pirmskolas izglītības iestādi Brīvības bulvārī 31 A, Jelgavā"</t>
  </si>
  <si>
    <t>09.219.8.</t>
  </si>
  <si>
    <t>ERAF projekts "Jelgavas pilsētas pašvaldības izglītības iestādes "Jelgavas Tehnoloģiju vidusskola" energoefektivitātes paaugstināšana"</t>
  </si>
  <si>
    <t>2035-2050</t>
  </si>
  <si>
    <t>SIA Jelgavas ūdens - Ūdenssaimniecības pakalpojumu attīstība Jelgavā, V kārta</t>
  </si>
  <si>
    <t>Pirmstermiņa atmaksas uz xx.xx.2020.</t>
  </si>
  <si>
    <t>2020.gada plāns</t>
  </si>
  <si>
    <t>JELGAVAS PILSĒTAS PAŠVALDĪBAS 2020.GADA PAMATBUDŽETS ATŠIFRĒJUMĀ PA PROGRAMMĀM UN EKONOMISKĀS KLASIFIKĀCIJAS KODIEM</t>
  </si>
  <si>
    <t>04.510.529. ERAF projekts 'Tehniskās infrastruktūras sakārtošana uzņēmējdarbības attīstībai degradētajā teritorijā, 2.kārta'</t>
  </si>
  <si>
    <t>09.111. Projekts - 'Ēkas pārbūve par pirmskolas izglītības iestādi Brīvības bulvārī 31 A, Jelgavā'</t>
  </si>
  <si>
    <t>09.219.8. ERAF projekts - 'Jelgavas pilsētas pašvaldības izglītības iestādes 'Jelgavas Tehnoloģiju vidusskola' energoefektivitātes paaugstināšana'</t>
  </si>
  <si>
    <t>16.03.2020.-20.02.2050.</t>
  </si>
  <si>
    <t>G/20/86</t>
  </si>
  <si>
    <t>10.923.</t>
  </si>
  <si>
    <t>Ārkārtas pabalstu izmaksa (JIP)</t>
  </si>
  <si>
    <t>Citi interešu izglītības pasākumi, t.sk. Jaunrades nams "Junda"</t>
  </si>
  <si>
    <t>01.601. Vēlēšanu organizēšana</t>
  </si>
  <si>
    <t>01.721. Parāda procentu nomaksa</t>
  </si>
  <si>
    <t>05.303. Dotācija pašvaldības komersantiem</t>
  </si>
  <si>
    <t>06.602. Pašvaldības teritorijas, mežu un kapsētu apsaimniekošana, klaiņojošo dzīvnieku likvidācija</t>
  </si>
  <si>
    <t>13. JELGAVAS PILSĒTAS PAŠVALDĪBAS IESTĀDE 'ZEMGALES REĢIONA KOMPETENČU ATTĪSTĪBAS CENTRS'</t>
  </si>
  <si>
    <t>14. JELGAVAS PILSĒTAS PAŠVALDĪBAS IESTĀDE 'JELGAVAS IZGLĪTĪBAS PĀRVALDE'</t>
  </si>
  <si>
    <t>10.923. Ārkārtas pabalstu izmaksa (JIP)</t>
  </si>
  <si>
    <t>15. JELGAVAS PILSĒTAS PAŠVALDIBAS IESTĀDE 'JELGAVAS PILSĒTAS BĀRIŅTIESA'</t>
  </si>
  <si>
    <t>16. JELGAVAS PILSĒTAS PAŠVALDĪBAS IESTĀDE 'JELGAVAS SOCIĀLO LIETU PĀRVALDE'</t>
  </si>
  <si>
    <t>17. FINANSĒŠANA</t>
  </si>
  <si>
    <t>03.111.</t>
  </si>
  <si>
    <t>03.112.</t>
  </si>
  <si>
    <t xml:space="preserve">ERAF projekts "Jelgavas pilsētas pašvaldības policijas ēkas energoefektivitātes paaugstināšana" </t>
  </si>
  <si>
    <t>04.510.530.</t>
  </si>
  <si>
    <t>ERAF projekts "Tehniskās infrastruktūras sakārtošana uzņēmējdarbības attīstībai degradētajā teritorijā, 3.kārta"</t>
  </si>
  <si>
    <t>04.917.</t>
  </si>
  <si>
    <t>Jelgavas pilsētas pašvaldības grantu programma "Atbalsts komersantiem un saimnieciskās darbības veicējiem"</t>
  </si>
  <si>
    <t>05.604.</t>
  </si>
  <si>
    <t>Projekts "Jelgavas decentralizētās kanalizācijas sistēmas izveide"</t>
  </si>
  <si>
    <t>08.214.</t>
  </si>
  <si>
    <t>Erasmus+ programmas projekts "Lauku un reģionālās bibliotēkas kā vietējie ģimenes uzņēmējdarbības centri"</t>
  </si>
  <si>
    <t>31.07.2020.-20.07.2050.</t>
  </si>
  <si>
    <t>A2/1/20/470</t>
  </si>
  <si>
    <t>Projekts “Romas ielas asfaltbetona seguma izbūve no Turaidas ielas līdz pilsētas administratīvajai robežai”</t>
  </si>
  <si>
    <t>04.08.2020.-20.07.2040.</t>
  </si>
  <si>
    <t>A2/1/20/501</t>
  </si>
  <si>
    <t>Projekts “Satiksmes ielas posma no Meiju ceļa līdz Ganību ielai braucamās daļas seguma atjaunošana”</t>
  </si>
  <si>
    <t>A2/1/20/502</t>
  </si>
  <si>
    <t>EKII projekts "Siltumnīcefekta gāzu emisiju samazināšana ar viedajām pilsētvides tehnoloģijām Jelgavā"</t>
  </si>
  <si>
    <t>20.08.2020.- 20.06.2050.</t>
  </si>
  <si>
    <t>A2/1/20/569</t>
  </si>
  <si>
    <t>Projekts "Pirmsskolas izglītības iestādes Brīvības bulvārī 31A, Jelgavā, būvniecība"</t>
  </si>
  <si>
    <t>02.10.2020.- 20.06.2050.</t>
  </si>
  <si>
    <t>A2/1/20/681</t>
  </si>
  <si>
    <t>Projekts "Asfaltbetona seguma atjaunošana Ruļļu ielas posmā no Salnas ielas līdz Viskaļu ielai"</t>
  </si>
  <si>
    <t>02.10.2020.-20.09.2040.</t>
  </si>
  <si>
    <t>A2/1/20/682</t>
  </si>
  <si>
    <t>Projekts "Gājēju ietves izbūve Kalnciema ceļa posmam no Rīgas ielas līdz Loka maģistrālei"</t>
  </si>
  <si>
    <t>02.10.2020.- 20.06.2040.</t>
  </si>
  <si>
    <t>A2/1/20/683</t>
  </si>
  <si>
    <t>03.112. ERAF projekts 'Jelgavas pilsētas pašvaldības ēkas energoefektivitātes paaugstināšana'</t>
  </si>
  <si>
    <t>04.510.530. ERAF projekts 'Tehniskās infrastruktūras sakārtošana uzņēmējdarbības attīstībai degradētajā teritorijā, 3.kārta'</t>
  </si>
  <si>
    <t>04.917. Jelgavas pilsētas pašvaldības grantu programma 'Atbalsts komersantiem un saimnieciskās darbības veicējiem'</t>
  </si>
  <si>
    <t>05.604. Projekts 'Jelgavas decenralizētās kanalizācijas sistēmas izveide'</t>
  </si>
  <si>
    <t>08.214. Erasmus+ programmas projekts 'Lauku un reģionālās bibliotēkas kā vietējie ģimenes uzņēmējdarbības centri'</t>
  </si>
  <si>
    <t>09.511. Pārējie interešu izglītības pasākumi, t.sk. BJIC 'Junda' darbības nodrošināšana</t>
  </si>
  <si>
    <t>Grozījumi 
+ vai -</t>
  </si>
  <si>
    <t>09.534. ESF projekts - 'Nodarbināto personu profesionālās kompetences pilnveide'</t>
  </si>
  <si>
    <t>Nodibinājums "Atbalsts kultūrai Jelgavā"</t>
  </si>
  <si>
    <t>Precizētais plāns uz 17.12.2020.</t>
  </si>
  <si>
    <t>8000. Dažādi izdevumi, kas veidojas pēc uzkrāšanas principa un nav klasificēti iepriekš</t>
  </si>
  <si>
    <t>Precizētais plāns 
uz 17.12.2020.</t>
  </si>
  <si>
    <t>03.12.2020.-20.11.2040.</t>
  </si>
  <si>
    <t>03.12.2020.-21.11.2050.</t>
  </si>
  <si>
    <t>A2/1/20/845</t>
  </si>
  <si>
    <t>A2/1/20/846</t>
  </si>
  <si>
    <t>Priekšfinansējuma atmaksa</t>
  </si>
  <si>
    <t>SAISTOŠAJIEM NOTEIKUMIEM Nr.20-39</t>
  </si>
  <si>
    <t>17.12.2020.prot. Nr.19/1</t>
  </si>
  <si>
    <t>SAISTOŠAJIEM NOTEIKUMIEM Nr. 20-39</t>
  </si>
  <si>
    <t>17.12.2020.prot.Nr.19/1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</si>
</sst>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#,##0.00_ ;\-#,##0.00\ "/>
    <numFmt numFmtId="168" formatCode="0.000%"/>
  </numFmts>
  <fonts count="6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13" fillId="11" borderId="10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164" fontId="14" fillId="0" borderId="0" applyFont="0" applyFill="0" applyBorder="0" applyAlignment="0" applyProtection="0"/>
    <xf numFmtId="0" fontId="14" fillId="0" borderId="0"/>
    <xf numFmtId="0" fontId="60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62" fillId="0" borderId="0"/>
  </cellStyleXfs>
  <cellXfs count="47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2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4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2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4" fontId="53" fillId="36" borderId="29" xfId="9" applyNumberFormat="1" applyFont="1" applyFill="1" applyBorder="1"/>
    <xf numFmtId="0" fontId="53" fillId="0" borderId="31" xfId="56" applyFont="1" applyFill="1" applyBorder="1" applyAlignment="1">
      <alignment horizontal="center" vertical="center"/>
    </xf>
    <xf numFmtId="10" fontId="53" fillId="0" borderId="31" xfId="9" applyNumberFormat="1" applyFont="1" applyFill="1" applyBorder="1" applyAlignment="1">
      <alignment horizontal="center" vertical="center"/>
    </xf>
    <xf numFmtId="4" fontId="53" fillId="36" borderId="34" xfId="9" applyNumberFormat="1" applyFont="1" applyFill="1" applyBorder="1"/>
    <xf numFmtId="0" fontId="53" fillId="0" borderId="36" xfId="9" applyFont="1" applyFill="1" applyBorder="1" applyAlignment="1">
      <alignment horizontal="center" wrapText="1"/>
    </xf>
    <xf numFmtId="3" fontId="53" fillId="0" borderId="36" xfId="9" applyNumberFormat="1" applyFont="1" applyFill="1" applyBorder="1"/>
    <xf numFmtId="0" fontId="53" fillId="0" borderId="39" xfId="9" applyFont="1" applyFill="1" applyBorder="1" applyAlignment="1">
      <alignment horizontal="center" wrapText="1"/>
    </xf>
    <xf numFmtId="3" fontId="53" fillId="0" borderId="39" xfId="9" applyNumberFormat="1" applyFont="1" applyFill="1" applyBorder="1"/>
    <xf numFmtId="4" fontId="53" fillId="0" borderId="26" xfId="9" applyNumberFormat="1" applyFont="1" applyFill="1" applyBorder="1"/>
    <xf numFmtId="3" fontId="53" fillId="0" borderId="31" xfId="9" applyNumberFormat="1" applyFont="1" applyFill="1" applyBorder="1"/>
    <xf numFmtId="4" fontId="53" fillId="0" borderId="36" xfId="59" applyNumberFormat="1" applyFont="1" applyFill="1" applyBorder="1" applyAlignment="1">
      <alignment horizontal="right" vertical="center"/>
    </xf>
    <xf numFmtId="3" fontId="53" fillId="0" borderId="37" xfId="59" applyNumberFormat="1" applyFont="1" applyFill="1" applyBorder="1" applyAlignment="1">
      <alignment horizontal="right" vertical="center"/>
    </xf>
    <xf numFmtId="3" fontId="53" fillId="0" borderId="39" xfId="59" applyNumberFormat="1" applyFont="1" applyFill="1" applyBorder="1" applyAlignment="1">
      <alignment horizontal="right" vertical="center"/>
    </xf>
    <xf numFmtId="3" fontId="53" fillId="0" borderId="40" xfId="59" applyNumberFormat="1" applyFont="1" applyFill="1" applyBorder="1" applyAlignment="1">
      <alignment horizontal="right" vertical="center"/>
    </xf>
    <xf numFmtId="4" fontId="53" fillId="0" borderId="26" xfId="59" applyNumberFormat="1" applyFont="1" applyFill="1" applyBorder="1" applyAlignment="1">
      <alignment horizontal="right" vertical="center"/>
    </xf>
    <xf numFmtId="4" fontId="53" fillId="0" borderId="28" xfId="59" applyNumberFormat="1" applyFont="1" applyFill="1" applyBorder="1" applyAlignment="1">
      <alignment horizontal="right" vertical="center"/>
    </xf>
    <xf numFmtId="3" fontId="53" fillId="0" borderId="31" xfId="59" applyNumberFormat="1" applyFont="1" applyFill="1" applyBorder="1" applyAlignment="1">
      <alignment horizontal="right" vertical="center"/>
    </xf>
    <xf numFmtId="3" fontId="53" fillId="0" borderId="33" xfId="59" applyNumberFormat="1" applyFont="1" applyFill="1" applyBorder="1" applyAlignment="1">
      <alignment horizontal="right" vertical="center"/>
    </xf>
    <xf numFmtId="3" fontId="53" fillId="0" borderId="26" xfId="56" applyNumberFormat="1" applyFont="1" applyFill="1" applyBorder="1"/>
    <xf numFmtId="3" fontId="53" fillId="0" borderId="31" xfId="56" applyNumberFormat="1" applyFont="1" applyFill="1" applyBorder="1"/>
    <xf numFmtId="3" fontId="53" fillId="0" borderId="28" xfId="56" applyNumberFormat="1" applyFont="1" applyFill="1" applyBorder="1"/>
    <xf numFmtId="3" fontId="53" fillId="0" borderId="33" xfId="56" applyNumberFormat="1" applyFont="1" applyFill="1" applyBorder="1"/>
    <xf numFmtId="3" fontId="53" fillId="0" borderId="26" xfId="9" applyNumberFormat="1" applyFont="1" applyFill="1" applyBorder="1"/>
    <xf numFmtId="4" fontId="53" fillId="0" borderId="26" xfId="56" applyNumberFormat="1" applyFont="1" applyFill="1" applyBorder="1"/>
    <xf numFmtId="4" fontId="53" fillId="0" borderId="28" xfId="56" applyNumberFormat="1" applyFont="1" applyFill="1" applyBorder="1"/>
    <xf numFmtId="0" fontId="53" fillId="0" borderId="0" xfId="9" applyFont="1" applyFill="1" applyBorder="1" applyAlignment="1"/>
    <xf numFmtId="0" fontId="53" fillId="0" borderId="31" xfId="56" applyFont="1" applyFill="1" applyBorder="1" applyAlignment="1">
      <alignment horizontal="center"/>
    </xf>
    <xf numFmtId="10" fontId="56" fillId="38" borderId="55" xfId="11" applyNumberFormat="1" applyFont="1" applyFill="1" applyBorder="1" applyAlignment="1">
      <alignment horizontal="center"/>
    </xf>
    <xf numFmtId="10" fontId="56" fillId="38" borderId="53" xfId="11" applyNumberFormat="1" applyFont="1" applyFill="1" applyBorder="1" applyAlignment="1">
      <alignment horizontal="center"/>
    </xf>
    <xf numFmtId="10" fontId="56" fillId="39" borderId="56" xfId="11" applyNumberFormat="1" applyFont="1" applyFill="1" applyBorder="1" applyAlignment="1">
      <alignment horizontal="center"/>
    </xf>
    <xf numFmtId="4" fontId="55" fillId="0" borderId="26" xfId="9" applyNumberFormat="1" applyFont="1" applyFill="1" applyBorder="1"/>
    <xf numFmtId="4" fontId="55" fillId="0" borderId="28" xfId="9" applyNumberFormat="1" applyFont="1" applyFill="1" applyBorder="1"/>
    <xf numFmtId="4" fontId="55" fillId="0" borderId="31" xfId="9" applyNumberFormat="1" applyFont="1" applyFill="1" applyBorder="1"/>
    <xf numFmtId="4" fontId="55" fillId="0" borderId="33" xfId="9" applyNumberFormat="1" applyFont="1" applyFill="1" applyBorder="1"/>
    <xf numFmtId="4" fontId="53" fillId="0" borderId="31" xfId="9" applyNumberFormat="1" applyFont="1" applyFill="1" applyBorder="1"/>
    <xf numFmtId="0" fontId="59" fillId="0" borderId="0" xfId="60" applyFont="1" applyProtection="1">
      <protection locked="0"/>
    </xf>
    <xf numFmtId="0" fontId="38" fillId="0" borderId="0" xfId="60" applyFont="1" applyProtection="1">
      <protection locked="0"/>
    </xf>
    <xf numFmtId="0" fontId="38" fillId="0" borderId="0" xfId="60" applyFont="1" applyBorder="1" applyProtection="1">
      <protection locked="0"/>
    </xf>
    <xf numFmtId="14" fontId="37" fillId="0" borderId="0" xfId="60" applyNumberFormat="1" applyFont="1" applyProtection="1"/>
    <xf numFmtId="3" fontId="8" fillId="0" borderId="0" xfId="0" applyNumberFormat="1" applyFont="1"/>
    <xf numFmtId="3" fontId="17" fillId="39" borderId="54" xfId="9" applyNumberFormat="1" applyFont="1" applyFill="1" applyBorder="1" applyAlignment="1">
      <alignment horizontal="center"/>
    </xf>
    <xf numFmtId="0" fontId="53" fillId="0" borderId="31" xfId="56" applyFont="1" applyFill="1" applyBorder="1"/>
    <xf numFmtId="3" fontId="61" fillId="39" borderId="12" xfId="9" applyNumberFormat="1" applyFont="1" applyFill="1" applyBorder="1" applyAlignment="1"/>
    <xf numFmtId="4" fontId="53" fillId="0" borderId="28" xfId="9" applyNumberFormat="1" applyFont="1" applyFill="1" applyBorder="1"/>
    <xf numFmtId="4" fontId="53" fillId="0" borderId="33" xfId="9" applyNumberFormat="1" applyFont="1" applyFill="1" applyBorder="1"/>
    <xf numFmtId="0" fontId="9" fillId="0" borderId="1" xfId="0" applyFont="1" applyBorder="1" applyAlignment="1">
      <alignment horizontal="left" vertical="center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0" fontId="53" fillId="0" borderId="26" xfId="9" applyFont="1" applyFill="1" applyBorder="1" applyAlignment="1">
      <alignment horizontal="center" vertical="center" wrapText="1"/>
    </xf>
    <xf numFmtId="0" fontId="53" fillId="0" borderId="31" xfId="9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 indent="2"/>
    </xf>
    <xf numFmtId="0" fontId="12" fillId="0" borderId="1" xfId="0" applyFont="1" applyFill="1" applyBorder="1" applyAlignment="1">
      <alignment horizontal="left" wrapText="1" indent="2"/>
    </xf>
    <xf numFmtId="0" fontId="12" fillId="0" borderId="1" xfId="0" applyFont="1" applyFill="1" applyBorder="1" applyAlignment="1">
      <alignment horizontal="right" vertical="center" wrapText="1"/>
    </xf>
    <xf numFmtId="0" fontId="46" fillId="0" borderId="1" xfId="0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left" vertical="center" wrapText="1" indent="2"/>
    </xf>
    <xf numFmtId="0" fontId="14" fillId="0" borderId="0" xfId="9"/>
    <xf numFmtId="0" fontId="37" fillId="0" borderId="0" xfId="9" applyFont="1" applyFill="1"/>
    <xf numFmtId="0" fontId="37" fillId="0" borderId="0" xfId="9" applyFont="1" applyAlignment="1">
      <alignment vertical="center"/>
    </xf>
    <xf numFmtId="0" fontId="37" fillId="0" borderId="0" xfId="9" applyFont="1"/>
    <xf numFmtId="0" fontId="37" fillId="0" borderId="0" xfId="9" applyFont="1" applyAlignment="1">
      <alignment horizontal="right"/>
    </xf>
    <xf numFmtId="0" fontId="14" fillId="0" borderId="0" xfId="9" applyFill="1"/>
    <xf numFmtId="0" fontId="14" fillId="0" borderId="0" xfId="9" applyAlignment="1">
      <alignment vertical="center"/>
    </xf>
    <xf numFmtId="0" fontId="53" fillId="0" borderId="0" xfId="9" applyFont="1"/>
    <xf numFmtId="0" fontId="54" fillId="2" borderId="17" xfId="9" applyFont="1" applyFill="1" applyBorder="1" applyAlignment="1">
      <alignment horizontal="center" vertical="center"/>
    </xf>
    <xf numFmtId="0" fontId="54" fillId="2" borderId="17" xfId="9" applyFont="1" applyFill="1" applyBorder="1" applyAlignment="1">
      <alignment vertical="center"/>
    </xf>
    <xf numFmtId="0" fontId="54" fillId="2" borderId="18" xfId="9" applyFont="1" applyFill="1" applyBorder="1" applyAlignment="1">
      <alignment vertical="center"/>
    </xf>
    <xf numFmtId="0" fontId="54" fillId="2" borderId="19" xfId="9" applyFont="1" applyFill="1" applyBorder="1" applyAlignment="1">
      <alignment horizontal="center" vertical="center"/>
    </xf>
    <xf numFmtId="0" fontId="54" fillId="2" borderId="22" xfId="9" applyFont="1" applyFill="1" applyBorder="1" applyAlignment="1">
      <alignment horizontal="center" vertical="center"/>
    </xf>
    <xf numFmtId="0" fontId="54" fillId="2" borderId="23" xfId="9" applyFont="1" applyFill="1" applyBorder="1" applyAlignment="1">
      <alignment horizontal="center" vertical="center"/>
    </xf>
    <xf numFmtId="0" fontId="54" fillId="2" borderId="24" xfId="9" applyFont="1" applyFill="1" applyBorder="1" applyAlignment="1">
      <alignment horizontal="center" vertical="center"/>
    </xf>
    <xf numFmtId="0" fontId="14" fillId="4" borderId="0" xfId="9" applyFill="1"/>
    <xf numFmtId="0" fontId="14" fillId="0" borderId="0" xfId="9" applyFont="1" applyFill="1"/>
    <xf numFmtId="4" fontId="53" fillId="36" borderId="66" xfId="9" applyNumberFormat="1" applyFont="1" applyFill="1" applyBorder="1"/>
    <xf numFmtId="4" fontId="53" fillId="36" borderId="67" xfId="9" applyNumberFormat="1" applyFont="1" applyFill="1" applyBorder="1"/>
    <xf numFmtId="4" fontId="53" fillId="36" borderId="68" xfId="9" applyNumberFormat="1" applyFont="1" applyFill="1" applyBorder="1"/>
    <xf numFmtId="4" fontId="53" fillId="36" borderId="69" xfId="9" applyNumberFormat="1" applyFont="1" applyFill="1" applyBorder="1"/>
    <xf numFmtId="0" fontId="53" fillId="38" borderId="41" xfId="9" applyFont="1" applyFill="1" applyBorder="1" applyAlignment="1"/>
    <xf numFmtId="0" fontId="17" fillId="38" borderId="26" xfId="9" applyFont="1" applyFill="1" applyBorder="1" applyAlignment="1"/>
    <xf numFmtId="0" fontId="17" fillId="38" borderId="45" xfId="9" applyFont="1" applyFill="1" applyBorder="1" applyAlignment="1"/>
    <xf numFmtId="4" fontId="17" fillId="38" borderId="45" xfId="9" applyNumberFormat="1" applyFont="1" applyFill="1" applyBorder="1" applyAlignment="1"/>
    <xf numFmtId="0" fontId="17" fillId="38" borderId="46" xfId="9" applyFont="1" applyFill="1" applyBorder="1" applyAlignment="1"/>
    <xf numFmtId="166" fontId="40" fillId="38" borderId="26" xfId="9" applyNumberFormat="1" applyFont="1" applyFill="1" applyBorder="1" applyAlignment="1">
      <alignment horizontal="center"/>
    </xf>
    <xf numFmtId="4" fontId="40" fillId="38" borderId="27" xfId="9" applyNumberFormat="1" applyFont="1" applyFill="1" applyBorder="1" applyAlignment="1">
      <alignment horizontal="center"/>
    </xf>
    <xf numFmtId="4" fontId="40" fillId="38" borderId="64" xfId="9" applyNumberFormat="1" applyFont="1" applyFill="1" applyBorder="1" applyAlignment="1">
      <alignment horizontal="center"/>
    </xf>
    <xf numFmtId="0" fontId="53" fillId="38" borderId="42" xfId="9" applyFont="1" applyFill="1" applyBorder="1" applyAlignment="1">
      <alignment horizontal="left"/>
    </xf>
    <xf numFmtId="0" fontId="17" fillId="38" borderId="31" xfId="9" applyFont="1" applyFill="1" applyBorder="1" applyAlignment="1">
      <alignment horizontal="right"/>
    </xf>
    <xf numFmtId="4" fontId="40" fillId="38" borderId="31" xfId="9" applyNumberFormat="1" applyFont="1" applyFill="1" applyBorder="1" applyAlignment="1">
      <alignment horizontal="center"/>
    </xf>
    <xf numFmtId="4" fontId="40" fillId="38" borderId="34" xfId="9" applyNumberFormat="1" applyFont="1" applyFill="1" applyBorder="1" applyAlignment="1">
      <alignment horizontal="center"/>
    </xf>
    <xf numFmtId="0" fontId="40" fillId="38" borderId="49" xfId="9" applyFont="1" applyFill="1" applyBorder="1" applyAlignment="1">
      <alignment horizontal="left"/>
    </xf>
    <xf numFmtId="0" fontId="40" fillId="38" borderId="50" xfId="9" applyFont="1" applyFill="1" applyBorder="1" applyAlignment="1">
      <alignment horizontal="center"/>
    </xf>
    <xf numFmtId="4" fontId="40" fillId="38" borderId="50" xfId="9" applyNumberFormat="1" applyFont="1" applyFill="1" applyBorder="1" applyAlignment="1">
      <alignment horizontal="center" vertical="center"/>
    </xf>
    <xf numFmtId="4" fontId="40" fillId="38" borderId="51" xfId="9" applyNumberFormat="1" applyFont="1" applyFill="1" applyBorder="1" applyAlignment="1">
      <alignment horizontal="center" vertical="center"/>
    </xf>
    <xf numFmtId="0" fontId="37" fillId="39" borderId="52" xfId="9" applyFont="1" applyFill="1" applyBorder="1" applyAlignment="1"/>
    <xf numFmtId="0" fontId="17" fillId="39" borderId="12" xfId="9" applyFont="1" applyFill="1" applyBorder="1" applyAlignment="1">
      <alignment horizontal="left"/>
    </xf>
    <xf numFmtId="0" fontId="17" fillId="39" borderId="12" xfId="9" applyFont="1" applyFill="1" applyBorder="1" applyAlignment="1"/>
    <xf numFmtId="0" fontId="17" fillId="38" borderId="55" xfId="9" applyFont="1" applyFill="1" applyBorder="1" applyAlignment="1">
      <alignment horizontal="center"/>
    </xf>
    <xf numFmtId="0" fontId="37" fillId="39" borderId="13" xfId="9" applyFont="1" applyFill="1" applyBorder="1" applyAlignment="1"/>
    <xf numFmtId="0" fontId="17" fillId="38" borderId="14" xfId="9" applyFont="1" applyFill="1" applyBorder="1" applyAlignment="1">
      <alignment horizontal="center"/>
    </xf>
    <xf numFmtId="10" fontId="40" fillId="38" borderId="70" xfId="11" applyNumberFormat="1" applyFont="1" applyFill="1" applyBorder="1" applyAlignment="1">
      <alignment horizontal="center"/>
    </xf>
    <xf numFmtId="10" fontId="40" fillId="38" borderId="71" xfId="11" applyNumberFormat="1" applyFont="1" applyFill="1" applyBorder="1" applyAlignment="1">
      <alignment horizontal="center"/>
    </xf>
    <xf numFmtId="10" fontId="56" fillId="39" borderId="72" xfId="11" applyNumberFormat="1" applyFont="1" applyFill="1" applyBorder="1" applyAlignment="1">
      <alignment horizontal="center"/>
    </xf>
    <xf numFmtId="0" fontId="55" fillId="0" borderId="0" xfId="9" applyFont="1" applyAlignment="1">
      <alignment horizontal="center"/>
    </xf>
    <xf numFmtId="4" fontId="53" fillId="0" borderId="0" xfId="9" applyNumberFormat="1" applyFont="1" applyBorder="1"/>
    <xf numFmtId="4" fontId="58" fillId="0" borderId="0" xfId="9" applyNumberFormat="1" applyFont="1"/>
    <xf numFmtId="0" fontId="55" fillId="0" borderId="0" xfId="9" applyFont="1" applyAlignment="1">
      <alignment vertical="center"/>
    </xf>
    <xf numFmtId="0" fontId="55" fillId="0" borderId="0" xfId="9" applyFont="1" applyAlignment="1">
      <alignment vertical="top"/>
    </xf>
    <xf numFmtId="4" fontId="57" fillId="0" borderId="0" xfId="9" applyNumberFormat="1" applyFont="1"/>
    <xf numFmtId="164" fontId="53" fillId="0" borderId="0" xfId="9" applyNumberFormat="1" applyFont="1"/>
    <xf numFmtId="4" fontId="54" fillId="0" borderId="1" xfId="9" applyNumberFormat="1" applyFont="1" applyBorder="1"/>
    <xf numFmtId="4" fontId="54" fillId="0" borderId="73" xfId="9" applyNumberFormat="1" applyFont="1" applyBorder="1"/>
    <xf numFmtId="0" fontId="14" fillId="0" borderId="0" xfId="9" applyFill="1" applyBorder="1"/>
    <xf numFmtId="0" fontId="14" fillId="0" borderId="0" xfId="9" applyAlignment="1"/>
    <xf numFmtId="0" fontId="51" fillId="0" borderId="0" xfId="9" applyFont="1" applyAlignment="1"/>
    <xf numFmtId="0" fontId="58" fillId="0" borderId="0" xfId="9" applyFont="1"/>
    <xf numFmtId="166" fontId="58" fillId="0" borderId="0" xfId="9" applyNumberFormat="1" applyFont="1"/>
    <xf numFmtId="0" fontId="17" fillId="0" borderId="0" xfId="9" applyFont="1" applyAlignment="1"/>
    <xf numFmtId="10" fontId="53" fillId="0" borderId="26" xfId="9" applyNumberFormat="1" applyFont="1" applyFill="1" applyBorder="1" applyAlignment="1">
      <alignment horizontal="center"/>
    </xf>
    <xf numFmtId="168" fontId="53" fillId="0" borderId="31" xfId="9" applyNumberFormat="1" applyFont="1" applyFill="1" applyBorder="1" applyAlignment="1">
      <alignment horizontal="center"/>
    </xf>
    <xf numFmtId="0" fontId="53" fillId="38" borderId="35" xfId="9" applyFont="1" applyFill="1" applyBorder="1" applyAlignment="1"/>
    <xf numFmtId="166" fontId="40" fillId="38" borderId="36" xfId="9" applyNumberFormat="1" applyFont="1" applyFill="1" applyBorder="1" applyAlignment="1">
      <alignment horizontal="center"/>
    </xf>
    <xf numFmtId="4" fontId="40" fillId="38" borderId="36" xfId="9" applyNumberFormat="1" applyFont="1" applyFill="1" applyBorder="1" applyAlignment="1">
      <alignment horizontal="center" vertical="center"/>
    </xf>
    <xf numFmtId="4" fontId="40" fillId="38" borderId="29" xfId="9" applyNumberFormat="1" applyFont="1" applyFill="1" applyBorder="1" applyAlignment="1">
      <alignment horizontal="center" vertical="center"/>
    </xf>
    <xf numFmtId="0" fontId="53" fillId="38" borderId="59" xfId="9" applyFont="1" applyFill="1" applyBorder="1" applyAlignment="1">
      <alignment horizontal="center"/>
    </xf>
    <xf numFmtId="0" fontId="17" fillId="38" borderId="60" xfId="9" applyFont="1" applyFill="1" applyBorder="1" applyAlignment="1">
      <alignment horizontal="center"/>
    </xf>
    <xf numFmtId="4" fontId="40" fillId="38" borderId="60" xfId="9" applyNumberFormat="1" applyFont="1" applyFill="1" applyBorder="1" applyAlignment="1">
      <alignment horizontal="center" vertical="center"/>
    </xf>
    <xf numFmtId="4" fontId="40" fillId="38" borderId="65" xfId="9" applyNumberFormat="1" applyFont="1" applyFill="1" applyBorder="1" applyAlignment="1">
      <alignment horizontal="center" vertical="center"/>
    </xf>
    <xf numFmtId="0" fontId="40" fillId="38" borderId="61" xfId="9" applyFont="1" applyFill="1" applyBorder="1" applyAlignment="1">
      <alignment horizontal="center"/>
    </xf>
    <xf numFmtId="0" fontId="40" fillId="38" borderId="62" xfId="9" applyFont="1" applyFill="1" applyBorder="1" applyAlignment="1">
      <alignment horizontal="center"/>
    </xf>
    <xf numFmtId="4" fontId="40" fillId="38" borderId="62" xfId="9" applyNumberFormat="1" applyFont="1" applyFill="1" applyBorder="1" applyAlignment="1">
      <alignment horizontal="center" vertical="center"/>
    </xf>
    <xf numFmtId="4" fontId="40" fillId="38" borderId="63" xfId="9" applyNumberFormat="1" applyFont="1" applyFill="1" applyBorder="1" applyAlignment="1">
      <alignment horizontal="center" vertical="center"/>
    </xf>
    <xf numFmtId="0" fontId="40" fillId="0" borderId="0" xfId="9" applyFont="1" applyFill="1" applyBorder="1" applyAlignment="1">
      <alignment horizontal="center"/>
    </xf>
    <xf numFmtId="166" fontId="40" fillId="0" borderId="0" xfId="9" applyNumberFormat="1" applyFont="1" applyFill="1" applyBorder="1" applyAlignment="1">
      <alignment horizontal="left"/>
    </xf>
    <xf numFmtId="0" fontId="40" fillId="0" borderId="0" xfId="9" applyFont="1" applyFill="1" applyBorder="1" applyAlignment="1">
      <alignment horizontal="left"/>
    </xf>
    <xf numFmtId="4" fontId="40" fillId="0" borderId="0" xfId="9" applyNumberFormat="1" applyFont="1" applyFill="1" applyBorder="1" applyAlignment="1">
      <alignment horizontal="center" vertical="center"/>
    </xf>
    <xf numFmtId="0" fontId="56" fillId="0" borderId="0" xfId="9" applyFont="1" applyAlignment="1">
      <alignment horizontal="right"/>
    </xf>
    <xf numFmtId="4" fontId="14" fillId="0" borderId="0" xfId="9" applyNumberFormat="1"/>
    <xf numFmtId="0" fontId="51" fillId="0" borderId="0" xfId="9" applyFont="1" applyAlignment="1">
      <alignment vertical="center"/>
    </xf>
    <xf numFmtId="4" fontId="40" fillId="38" borderId="26" xfId="9" applyNumberFormat="1" applyFont="1" applyFill="1" applyBorder="1" applyAlignment="1">
      <alignment horizontal="center" vertical="center"/>
    </xf>
    <xf numFmtId="4" fontId="40" fillId="38" borderId="64" xfId="9" applyNumberFormat="1" applyFont="1" applyFill="1" applyBorder="1" applyAlignment="1">
      <alignment horizontal="center" vertical="center"/>
    </xf>
    <xf numFmtId="0" fontId="17" fillId="39" borderId="60" xfId="9" applyFont="1" applyFill="1" applyBorder="1" applyAlignment="1">
      <alignment horizontal="center"/>
    </xf>
    <xf numFmtId="0" fontId="40" fillId="38" borderId="49" xfId="9" applyFont="1" applyFill="1" applyBorder="1" applyAlignment="1">
      <alignment horizontal="center"/>
    </xf>
    <xf numFmtId="10" fontId="56" fillId="38" borderId="74" xfId="11" applyNumberFormat="1" applyFont="1" applyFill="1" applyBorder="1" applyAlignment="1">
      <alignment horizontal="center"/>
    </xf>
    <xf numFmtId="10" fontId="40" fillId="39" borderId="70" xfId="63" applyNumberFormat="1" applyFont="1" applyFill="1" applyBorder="1" applyAlignment="1">
      <alignment horizontal="center" vertical="center"/>
    </xf>
    <xf numFmtId="10" fontId="40" fillId="39" borderId="71" xfId="63" applyNumberFormat="1" applyFont="1" applyFill="1" applyBorder="1" applyAlignment="1">
      <alignment horizontal="center" vertical="center"/>
    </xf>
    <xf numFmtId="0" fontId="40" fillId="39" borderId="72" xfId="9" applyFont="1" applyFill="1" applyBorder="1" applyAlignment="1">
      <alignment horizontal="center" vertical="center"/>
    </xf>
    <xf numFmtId="0" fontId="38" fillId="0" borderId="0" xfId="9" applyFont="1" applyBorder="1" applyAlignment="1">
      <alignment wrapText="1"/>
    </xf>
    <xf numFmtId="0" fontId="39" fillId="0" borderId="0" xfId="9" applyFont="1" applyBorder="1"/>
    <xf numFmtId="0" fontId="39" fillId="0" borderId="0" xfId="9" applyFont="1" applyAlignment="1">
      <alignment horizontal="right"/>
    </xf>
    <xf numFmtId="0" fontId="11" fillId="0" borderId="0" xfId="9" applyFont="1"/>
    <xf numFmtId="0" fontId="12" fillId="0" borderId="0" xfId="9" applyFont="1"/>
    <xf numFmtId="3" fontId="11" fillId="0" borderId="0" xfId="9" applyNumberFormat="1" applyFont="1"/>
    <xf numFmtId="4" fontId="53" fillId="40" borderId="0" xfId="9" applyNumberFormat="1" applyFont="1" applyFill="1" applyBorder="1"/>
    <xf numFmtId="3" fontId="9" fillId="0" borderId="1" xfId="0" applyNumberFormat="1" applyFont="1" applyBorder="1" applyAlignment="1">
      <alignment horizontal="center" vertical="center"/>
    </xf>
    <xf numFmtId="4" fontId="53" fillId="41" borderId="26" xfId="57" applyNumberFormat="1" applyFont="1" applyFill="1" applyBorder="1"/>
    <xf numFmtId="4" fontId="53" fillId="0" borderId="31" xfId="57" applyNumberFormat="1" applyFont="1" applyFill="1" applyBorder="1"/>
    <xf numFmtId="4" fontId="53" fillId="40" borderId="26" xfId="57" applyNumberFormat="1" applyFont="1" applyFill="1" applyBorder="1"/>
    <xf numFmtId="3" fontId="53" fillId="0" borderId="26" xfId="57" applyNumberFormat="1" applyFont="1" applyFill="1" applyBorder="1"/>
    <xf numFmtId="3" fontId="53" fillId="0" borderId="28" xfId="57" applyNumberFormat="1" applyFont="1" applyFill="1" applyBorder="1"/>
    <xf numFmtId="4" fontId="53" fillId="0" borderId="28" xfId="57" applyNumberFormat="1" applyFont="1" applyFill="1" applyBorder="1"/>
    <xf numFmtId="3" fontId="53" fillId="0" borderId="31" xfId="57" applyNumberFormat="1" applyFont="1" applyFill="1" applyBorder="1"/>
    <xf numFmtId="3" fontId="53" fillId="0" borderId="33" xfId="57" applyNumberFormat="1" applyFont="1" applyFill="1" applyBorder="1"/>
    <xf numFmtId="4" fontId="53" fillId="0" borderId="26" xfId="57" applyNumberFormat="1" applyFont="1" applyFill="1" applyBorder="1"/>
    <xf numFmtId="3" fontId="53" fillId="0" borderId="39" xfId="1" applyNumberFormat="1" applyFont="1" applyFill="1" applyBorder="1"/>
    <xf numFmtId="3" fontId="53" fillId="0" borderId="31" xfId="1" applyNumberFormat="1" applyFont="1" applyFill="1" applyBorder="1"/>
    <xf numFmtId="0" fontId="53" fillId="0" borderId="26" xfId="1" applyFont="1" applyFill="1" applyBorder="1" applyAlignment="1">
      <alignment horizontal="center" wrapText="1"/>
    </xf>
    <xf numFmtId="0" fontId="53" fillId="0" borderId="26" xfId="1" applyFont="1" applyFill="1" applyBorder="1" applyAlignment="1">
      <alignment horizontal="center" vertical="center" wrapText="1"/>
    </xf>
    <xf numFmtId="10" fontId="53" fillId="0" borderId="26" xfId="1" applyNumberFormat="1" applyFont="1" applyFill="1" applyBorder="1" applyAlignment="1">
      <alignment horizontal="center"/>
    </xf>
    <xf numFmtId="0" fontId="53" fillId="0" borderId="31" xfId="1" applyFont="1" applyFill="1" applyBorder="1" applyAlignment="1">
      <alignment horizontal="center" wrapText="1"/>
    </xf>
    <xf numFmtId="0" fontId="53" fillId="0" borderId="31" xfId="1" applyFont="1" applyFill="1" applyBorder="1" applyAlignment="1">
      <alignment horizontal="center" vertical="center" wrapText="1"/>
    </xf>
    <xf numFmtId="168" fontId="53" fillId="0" borderId="31" xfId="1" applyNumberFormat="1" applyFont="1" applyFill="1" applyBorder="1" applyAlignment="1">
      <alignment horizontal="center"/>
    </xf>
    <xf numFmtId="168" fontId="53" fillId="0" borderId="31" xfId="9" applyNumberFormat="1" applyFont="1" applyFill="1" applyBorder="1" applyAlignment="1">
      <alignment horizontal="center" vertical="center"/>
    </xf>
    <xf numFmtId="3" fontId="17" fillId="39" borderId="54" xfId="9" applyNumberFormat="1" applyFont="1" applyFill="1" applyBorder="1" applyAlignment="1"/>
    <xf numFmtId="0" fontId="14" fillId="0" borderId="0" xfId="1" applyFont="1"/>
    <xf numFmtId="0" fontId="37" fillId="0" borderId="0" xfId="1" applyFont="1"/>
    <xf numFmtId="0" fontId="52" fillId="42" borderId="0" xfId="1" applyFont="1" applyFill="1"/>
    <xf numFmtId="0" fontId="14" fillId="42" borderId="0" xfId="1" applyFont="1" applyFill="1"/>
    <xf numFmtId="0" fontId="51" fillId="0" borderId="0" xfId="1" applyFont="1"/>
    <xf numFmtId="0" fontId="53" fillId="0" borderId="26" xfId="9" applyFont="1" applyFill="1" applyBorder="1" applyAlignment="1">
      <alignment horizontal="center" vertical="center" wrapText="1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10" fontId="53" fillId="0" borderId="26" xfId="57" applyNumberFormat="1" applyFont="1" applyFill="1" applyBorder="1" applyAlignment="1">
      <alignment horizontal="center" vertical="center"/>
    </xf>
    <xf numFmtId="10" fontId="53" fillId="0" borderId="36" xfId="1" applyNumberFormat="1" applyFont="1" applyFill="1" applyBorder="1" applyAlignment="1">
      <alignment horizontal="center" vertical="center"/>
    </xf>
    <xf numFmtId="3" fontId="53" fillId="0" borderId="36" xfId="1" applyNumberFormat="1" applyFont="1" applyFill="1" applyBorder="1"/>
    <xf numFmtId="3" fontId="53" fillId="0" borderId="37" xfId="1" applyNumberFormat="1" applyFont="1" applyFill="1" applyBorder="1"/>
    <xf numFmtId="4" fontId="53" fillId="0" borderId="39" xfId="1" applyNumberFormat="1" applyFont="1" applyFill="1" applyBorder="1"/>
    <xf numFmtId="3" fontId="53" fillId="0" borderId="40" xfId="1" applyNumberFormat="1" applyFont="1" applyFill="1" applyBorder="1"/>
    <xf numFmtId="10" fontId="53" fillId="0" borderId="26" xfId="1" applyNumberFormat="1" applyFont="1" applyFill="1" applyBorder="1" applyAlignment="1">
      <alignment horizontal="center" vertical="center"/>
    </xf>
    <xf numFmtId="4" fontId="53" fillId="0" borderId="26" xfId="1" applyNumberFormat="1" applyFont="1" applyFill="1" applyBorder="1"/>
    <xf numFmtId="4" fontId="53" fillId="0" borderId="28" xfId="1" applyNumberFormat="1" applyFont="1" applyFill="1" applyBorder="1"/>
    <xf numFmtId="4" fontId="53" fillId="0" borderId="31" xfId="1" applyNumberFormat="1" applyFont="1" applyFill="1" applyBorder="1"/>
    <xf numFmtId="3" fontId="53" fillId="0" borderId="33" xfId="1" applyNumberFormat="1" applyFont="1" applyFill="1" applyBorder="1"/>
    <xf numFmtId="4" fontId="53" fillId="0" borderId="36" xfId="1" applyNumberFormat="1" applyFont="1" applyFill="1" applyBorder="1"/>
    <xf numFmtId="4" fontId="53" fillId="0" borderId="37" xfId="1" applyNumberFormat="1" applyFont="1" applyFill="1" applyBorder="1"/>
    <xf numFmtId="4" fontId="53" fillId="41" borderId="26" xfId="56" applyNumberFormat="1" applyFont="1" applyFill="1" applyBorder="1"/>
    <xf numFmtId="4" fontId="53" fillId="0" borderId="31" xfId="56" applyNumberFormat="1" applyFont="1" applyFill="1" applyBorder="1"/>
    <xf numFmtId="3" fontId="53" fillId="0" borderId="26" xfId="1" applyNumberFormat="1" applyFont="1" applyFill="1" applyBorder="1"/>
    <xf numFmtId="3" fontId="53" fillId="0" borderId="28" xfId="1" applyNumberFormat="1" applyFont="1" applyFill="1" applyBorder="1"/>
    <xf numFmtId="3" fontId="64" fillId="0" borderId="26" xfId="57" applyNumberFormat="1" applyFont="1" applyFill="1" applyBorder="1"/>
    <xf numFmtId="4" fontId="64" fillId="0" borderId="26" xfId="57" applyNumberFormat="1" applyFont="1" applyFill="1" applyBorder="1"/>
    <xf numFmtId="3" fontId="64" fillId="0" borderId="31" xfId="57" applyNumberFormat="1" applyFont="1" applyFill="1" applyBorder="1"/>
    <xf numFmtId="3" fontId="64" fillId="0" borderId="28" xfId="57" applyNumberFormat="1" applyFont="1" applyFill="1" applyBorder="1"/>
    <xf numFmtId="4" fontId="64" fillId="0" borderId="28" xfId="57" applyNumberFormat="1" applyFont="1" applyFill="1" applyBorder="1"/>
    <xf numFmtId="3" fontId="64" fillId="0" borderId="33" xfId="57" applyNumberFormat="1" applyFont="1" applyFill="1" applyBorder="1"/>
    <xf numFmtId="168" fontId="53" fillId="0" borderId="26" xfId="57" applyNumberFormat="1" applyFont="1" applyFill="1" applyBorder="1" applyAlignment="1">
      <alignment horizontal="center" vertical="center"/>
    </xf>
    <xf numFmtId="10" fontId="65" fillId="0" borderId="26" xfId="57" applyNumberFormat="1" applyFont="1" applyFill="1" applyBorder="1" applyAlignment="1">
      <alignment horizontal="center" vertical="center"/>
    </xf>
    <xf numFmtId="3" fontId="65" fillId="0" borderId="26" xfId="57" applyNumberFormat="1" applyFont="1" applyFill="1" applyBorder="1"/>
    <xf numFmtId="3" fontId="65" fillId="0" borderId="28" xfId="57" applyNumberFormat="1" applyFont="1" applyFill="1" applyBorder="1"/>
    <xf numFmtId="0" fontId="55" fillId="0" borderId="31" xfId="56" applyFont="1" applyFill="1" applyBorder="1"/>
    <xf numFmtId="10" fontId="65" fillId="0" borderId="31" xfId="9" applyNumberFormat="1" applyFont="1" applyFill="1" applyBorder="1" applyAlignment="1">
      <alignment horizontal="center" vertical="center"/>
    </xf>
    <xf numFmtId="3" fontId="65" fillId="0" borderId="31" xfId="57" applyNumberFormat="1" applyFont="1" applyFill="1" applyBorder="1"/>
    <xf numFmtId="3" fontId="65" fillId="0" borderId="33" xfId="57" applyNumberFormat="1" applyFont="1" applyFill="1" applyBorder="1"/>
    <xf numFmtId="0" fontId="9" fillId="37" borderId="1" xfId="1" applyFont="1" applyFill="1" applyBorder="1" applyAlignment="1">
      <alignment horizontal="center" vertical="center" wrapText="1"/>
    </xf>
    <xf numFmtId="0" fontId="51" fillId="42" borderId="0" xfId="1" applyFont="1" applyFill="1"/>
    <xf numFmtId="0" fontId="37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3" fontId="1" fillId="0" borderId="0" xfId="0" applyNumberFormat="1" applyFont="1"/>
    <xf numFmtId="0" fontId="53" fillId="0" borderId="26" xfId="9" applyFont="1" applyFill="1" applyBorder="1" applyAlignment="1">
      <alignment horizontal="center" wrapText="1"/>
    </xf>
    <xf numFmtId="0" fontId="63" fillId="0" borderId="0" xfId="0" applyFont="1" applyAlignment="1">
      <alignment horizontal="right" vertical="center" wrapText="1"/>
    </xf>
    <xf numFmtId="0" fontId="9" fillId="37" borderId="0" xfId="1" applyFont="1" applyFill="1" applyAlignment="1">
      <alignment horizontal="left" vertical="top" wrapText="1"/>
    </xf>
    <xf numFmtId="3" fontId="9" fillId="37" borderId="0" xfId="1" applyNumberFormat="1" applyFont="1" applyFill="1" applyAlignment="1">
      <alignment horizontal="right" vertical="top" wrapText="1"/>
    </xf>
    <xf numFmtId="0" fontId="37" fillId="37" borderId="0" xfId="1" applyFont="1" applyFill="1" applyAlignment="1">
      <alignment horizontal="right" vertical="top" wrapText="1"/>
    </xf>
    <xf numFmtId="0" fontId="11" fillId="37" borderId="0" xfId="1" applyFont="1" applyFill="1" applyAlignment="1">
      <alignment horizontal="left" vertical="top" wrapText="1"/>
    </xf>
    <xf numFmtId="3" fontId="11" fillId="37" borderId="0" xfId="1" applyNumberFormat="1" applyFont="1" applyFill="1" applyAlignment="1">
      <alignment horizontal="right" vertical="top" wrapText="1"/>
    </xf>
    <xf numFmtId="0" fontId="45" fillId="42" borderId="0" xfId="1" applyFont="1" applyFill="1" applyAlignment="1">
      <alignment horizontal="left" vertical="top" wrapText="1"/>
    </xf>
    <xf numFmtId="3" fontId="45" fillId="42" borderId="0" xfId="1" applyNumberFormat="1" applyFont="1" applyFill="1" applyAlignment="1">
      <alignment horizontal="right" vertical="top" wrapText="1"/>
    </xf>
    <xf numFmtId="0" fontId="51" fillId="42" borderId="0" xfId="1" applyFont="1" applyFill="1" applyBorder="1"/>
    <xf numFmtId="0" fontId="45" fillId="42" borderId="0" xfId="1" applyFont="1" applyFill="1" applyBorder="1" applyAlignment="1">
      <alignment horizontal="left" vertical="top" wrapText="1"/>
    </xf>
    <xf numFmtId="3" fontId="45" fillId="42" borderId="0" xfId="1" applyNumberFormat="1" applyFont="1" applyFill="1" applyBorder="1" applyAlignment="1">
      <alignment horizontal="right" vertical="top" wrapText="1"/>
    </xf>
    <xf numFmtId="0" fontId="53" fillId="0" borderId="26" xfId="9" applyFont="1" applyFill="1" applyBorder="1" applyAlignment="1">
      <alignment horizontal="center" wrapText="1"/>
    </xf>
    <xf numFmtId="4" fontId="53" fillId="41" borderId="26" xfId="1" applyNumberFormat="1" applyFont="1" applyFill="1" applyBorder="1"/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4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38" fillId="0" borderId="0" xfId="1" applyFont="1" applyAlignment="1">
      <alignment horizontal="left"/>
    </xf>
    <xf numFmtId="0" fontId="41" fillId="37" borderId="0" xfId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1" fillId="42" borderId="0" xfId="1" applyFont="1" applyFill="1" applyAlignment="1">
      <alignment horizontal="left" vertical="center" wrapText="1"/>
    </xf>
    <xf numFmtId="0" fontId="18" fillId="42" borderId="0" xfId="0" applyFont="1" applyFill="1" applyAlignment="1">
      <alignment horizontal="left" vertical="center" wrapText="1"/>
    </xf>
    <xf numFmtId="0" fontId="41" fillId="42" borderId="0" xfId="1" applyFont="1" applyFill="1" applyBorder="1" applyAlignment="1">
      <alignment horizontal="left" vertical="top" wrapText="1"/>
    </xf>
    <xf numFmtId="0" fontId="18" fillId="42" borderId="0" xfId="0" applyFont="1" applyFill="1" applyBorder="1" applyAlignment="1">
      <alignment horizontal="left" vertical="top" wrapText="1"/>
    </xf>
    <xf numFmtId="0" fontId="0" fillId="42" borderId="0" xfId="0" applyFill="1" applyAlignment="1">
      <alignment horizontal="left" vertical="center" wrapText="1"/>
    </xf>
    <xf numFmtId="0" fontId="41" fillId="42" borderId="0" xfId="1" applyFont="1" applyFill="1" applyAlignment="1">
      <alignment horizontal="left" vertical="top" wrapText="1"/>
    </xf>
    <xf numFmtId="0" fontId="18" fillId="42" borderId="0" xfId="0" applyFont="1" applyFill="1" applyAlignment="1">
      <alignment horizontal="left" vertical="top" wrapText="1"/>
    </xf>
    <xf numFmtId="0" fontId="6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4" fillId="37" borderId="75" xfId="1" applyFont="1" applyFill="1" applyBorder="1" applyAlignment="1">
      <alignment horizontal="center" vertical="top" wrapText="1"/>
    </xf>
    <xf numFmtId="0" fontId="66" fillId="0" borderId="75" xfId="0" applyFont="1" applyBorder="1" applyAlignment="1">
      <alignment horizontal="center" vertical="top" wrapText="1"/>
    </xf>
    <xf numFmtId="0" fontId="9" fillId="37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1" fillId="42" borderId="76" xfId="1" applyFont="1" applyFill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53" fillId="0" borderId="41" xfId="9" applyFont="1" applyFill="1" applyBorder="1" applyAlignment="1">
      <alignment horizontal="center"/>
    </xf>
    <xf numFmtId="0" fontId="53" fillId="0" borderId="42" xfId="9" applyFont="1" applyFill="1" applyBorder="1" applyAlignment="1">
      <alignment horizontal="center"/>
    </xf>
    <xf numFmtId="0" fontId="53" fillId="0" borderId="26" xfId="56" applyFont="1" applyFill="1" applyBorder="1" applyAlignment="1">
      <alignment horizontal="center" vertical="center" wrapText="1"/>
    </xf>
    <xf numFmtId="0" fontId="53" fillId="0" borderId="31" xfId="56" applyFont="1" applyFill="1" applyBorder="1" applyAlignment="1">
      <alignment horizontal="center" vertical="center" wrapText="1"/>
    </xf>
    <xf numFmtId="4" fontId="53" fillId="0" borderId="26" xfId="59" applyNumberFormat="1" applyFont="1" applyFill="1" applyBorder="1" applyAlignment="1">
      <alignment horizontal="center" vertical="center"/>
    </xf>
    <xf numFmtId="4" fontId="53" fillId="0" borderId="31" xfId="59" applyNumberFormat="1" applyFont="1" applyFill="1" applyBorder="1" applyAlignment="1">
      <alignment horizontal="center" vertical="center"/>
    </xf>
    <xf numFmtId="0" fontId="53" fillId="0" borderId="26" xfId="9" applyFont="1" applyFill="1" applyBorder="1" applyAlignment="1">
      <alignment horizontal="center" vertical="center" wrapText="1"/>
    </xf>
    <xf numFmtId="0" fontId="53" fillId="0" borderId="31" xfId="9" applyFont="1" applyFill="1" applyBorder="1" applyAlignment="1">
      <alignment horizontal="center" vertical="center" wrapText="1"/>
    </xf>
    <xf numFmtId="0" fontId="65" fillId="0" borderId="26" xfId="56" applyFont="1" applyFill="1" applyBorder="1" applyAlignment="1">
      <alignment horizontal="center" vertical="center" wrapText="1"/>
    </xf>
    <xf numFmtId="0" fontId="65" fillId="0" borderId="31" xfId="56" applyFont="1" applyFill="1" applyBorder="1" applyAlignment="1">
      <alignment horizontal="center" vertical="center" wrapText="1"/>
    </xf>
    <xf numFmtId="4" fontId="65" fillId="0" borderId="26" xfId="59" applyNumberFormat="1" applyFont="1" applyFill="1" applyBorder="1" applyAlignment="1">
      <alignment horizontal="center" vertical="center"/>
    </xf>
    <xf numFmtId="4" fontId="65" fillId="0" borderId="31" xfId="59" applyNumberFormat="1" applyFont="1" applyFill="1" applyBorder="1" applyAlignment="1">
      <alignment horizontal="center" vertical="center"/>
    </xf>
    <xf numFmtId="0" fontId="65" fillId="0" borderId="26" xfId="9" applyFont="1" applyFill="1" applyBorder="1" applyAlignment="1">
      <alignment horizontal="center" vertical="center" wrapText="1"/>
    </xf>
    <xf numFmtId="0" fontId="65" fillId="0" borderId="31" xfId="9" applyFont="1" applyFill="1" applyBorder="1" applyAlignment="1">
      <alignment horizontal="center" vertical="center" wrapText="1"/>
    </xf>
    <xf numFmtId="0" fontId="41" fillId="0" borderId="0" xfId="56" applyFont="1" applyBorder="1" applyAlignment="1">
      <alignment horizontal="center"/>
    </xf>
    <xf numFmtId="0" fontId="54" fillId="2" borderId="15" xfId="9" applyFont="1" applyFill="1" applyBorder="1" applyAlignment="1">
      <alignment horizontal="center" vertical="center" wrapText="1"/>
    </xf>
    <xf numFmtId="0" fontId="54" fillId="2" borderId="20" xfId="9" applyFont="1" applyFill="1" applyBorder="1" applyAlignment="1">
      <alignment horizontal="center" vertical="center" wrapText="1"/>
    </xf>
    <xf numFmtId="0" fontId="54" fillId="2" borderId="16" xfId="9" applyFont="1" applyFill="1" applyBorder="1" applyAlignment="1">
      <alignment horizontal="center" vertical="center" wrapText="1"/>
    </xf>
    <xf numFmtId="0" fontId="54" fillId="2" borderId="21" xfId="9" applyFont="1" applyFill="1" applyBorder="1" applyAlignment="1">
      <alignment horizontal="center" vertical="center" wrapText="1"/>
    </xf>
    <xf numFmtId="0" fontId="54" fillId="2" borderId="17" xfId="9" applyFont="1" applyFill="1" applyBorder="1" applyAlignment="1">
      <alignment horizontal="center" vertical="center"/>
    </xf>
    <xf numFmtId="0" fontId="54" fillId="2" borderId="22" xfId="9" applyFont="1" applyFill="1" applyBorder="1" applyAlignment="1">
      <alignment horizontal="center" vertical="center"/>
    </xf>
    <xf numFmtId="0" fontId="53" fillId="0" borderId="25" xfId="9" applyFont="1" applyFill="1" applyBorder="1" applyAlignment="1">
      <alignment horizontal="center"/>
    </xf>
    <xf numFmtId="0" fontId="53" fillId="0" borderId="30" xfId="9" applyFont="1" applyFill="1" applyBorder="1" applyAlignment="1">
      <alignment horizontal="center"/>
    </xf>
    <xf numFmtId="0" fontId="53" fillId="0" borderId="27" xfId="56" applyFont="1" applyFill="1" applyBorder="1" applyAlignment="1">
      <alignment horizontal="center" vertical="center" wrapText="1"/>
    </xf>
    <xf numFmtId="0" fontId="53" fillId="0" borderId="32" xfId="56" applyFont="1" applyFill="1" applyBorder="1" applyAlignment="1">
      <alignment horizontal="center" vertical="center" wrapText="1"/>
    </xf>
    <xf numFmtId="4" fontId="53" fillId="0" borderId="27" xfId="59" applyNumberFormat="1" applyFont="1" applyFill="1" applyBorder="1" applyAlignment="1">
      <alignment horizontal="center" vertical="center"/>
    </xf>
    <xf numFmtId="4" fontId="53" fillId="0" borderId="32" xfId="59" applyNumberFormat="1" applyFont="1" applyFill="1" applyBorder="1" applyAlignment="1">
      <alignment horizontal="center" vertical="center"/>
    </xf>
    <xf numFmtId="0" fontId="53" fillId="0" borderId="27" xfId="9" applyFont="1" applyFill="1" applyBorder="1" applyAlignment="1">
      <alignment horizontal="center" vertical="center" wrapText="1"/>
    </xf>
    <xf numFmtId="0" fontId="53" fillId="0" borderId="32" xfId="9" applyFont="1" applyFill="1" applyBorder="1" applyAlignment="1">
      <alignment horizontal="center" vertical="center" wrapText="1"/>
    </xf>
    <xf numFmtId="0" fontId="53" fillId="0" borderId="35" xfId="9" applyFont="1" applyFill="1" applyBorder="1" applyAlignment="1">
      <alignment horizontal="center"/>
    </xf>
    <xf numFmtId="0" fontId="53" fillId="0" borderId="38" xfId="9" applyFont="1" applyFill="1" applyBorder="1" applyAlignment="1">
      <alignment horizontal="center"/>
    </xf>
    <xf numFmtId="0" fontId="53" fillId="0" borderId="36" xfId="1" applyFont="1" applyFill="1" applyBorder="1" applyAlignment="1">
      <alignment horizontal="center" vertical="center" wrapText="1"/>
    </xf>
    <xf numFmtId="0" fontId="53" fillId="0" borderId="39" xfId="1" applyFont="1" applyFill="1" applyBorder="1" applyAlignment="1">
      <alignment horizontal="center" vertical="center" wrapText="1"/>
    </xf>
    <xf numFmtId="0" fontId="53" fillId="0" borderId="36" xfId="9" applyFont="1" applyFill="1" applyBorder="1" applyAlignment="1">
      <alignment horizontal="center" vertical="center" wrapText="1"/>
    </xf>
    <xf numFmtId="0" fontId="53" fillId="0" borderId="39" xfId="9" applyFont="1" applyFill="1" applyBorder="1" applyAlignment="1">
      <alignment horizontal="center" vertical="center" wrapText="1"/>
    </xf>
    <xf numFmtId="4" fontId="53" fillId="0" borderId="36" xfId="59" applyNumberFormat="1" applyFont="1" applyFill="1" applyBorder="1" applyAlignment="1">
      <alignment horizontal="center" vertical="center"/>
    </xf>
    <xf numFmtId="4" fontId="53" fillId="0" borderId="39" xfId="59" applyNumberFormat="1" applyFont="1" applyFill="1" applyBorder="1" applyAlignment="1">
      <alignment horizontal="center" vertical="center"/>
    </xf>
    <xf numFmtId="14" fontId="53" fillId="0" borderId="36" xfId="9" applyNumberFormat="1" applyFont="1" applyFill="1" applyBorder="1" applyAlignment="1">
      <alignment horizontal="center" vertical="center" wrapText="1"/>
    </xf>
    <xf numFmtId="0" fontId="53" fillId="0" borderId="26" xfId="1" applyFont="1" applyFill="1" applyBorder="1" applyAlignment="1">
      <alignment horizontal="center" vertical="center" wrapText="1"/>
    </xf>
    <xf numFmtId="0" fontId="53" fillId="0" borderId="31" xfId="1" applyFont="1" applyFill="1" applyBorder="1" applyAlignment="1">
      <alignment horizontal="center" vertical="center" wrapText="1"/>
    </xf>
    <xf numFmtId="3" fontId="53" fillId="0" borderId="26" xfId="56" applyNumberFormat="1" applyFont="1" applyFill="1" applyBorder="1" applyAlignment="1">
      <alignment horizontal="center" vertical="center" wrapText="1"/>
    </xf>
    <xf numFmtId="4" fontId="53" fillId="0" borderId="26" xfId="59" applyNumberFormat="1" applyFont="1" applyFill="1" applyBorder="1" applyAlignment="1">
      <alignment horizontal="center" vertical="center" wrapText="1"/>
    </xf>
    <xf numFmtId="4" fontId="53" fillId="0" borderId="31" xfId="59" applyNumberFormat="1" applyFont="1" applyFill="1" applyBorder="1" applyAlignment="1">
      <alignment horizontal="center" vertical="center" wrapText="1"/>
    </xf>
    <xf numFmtId="4" fontId="53" fillId="0" borderId="43" xfId="59" applyNumberFormat="1" applyFont="1" applyFill="1" applyBorder="1" applyAlignment="1">
      <alignment horizontal="center" vertical="center"/>
    </xf>
    <xf numFmtId="4" fontId="53" fillId="0" borderId="44" xfId="59" applyNumberFormat="1" applyFont="1" applyFill="1" applyBorder="1" applyAlignment="1">
      <alignment horizontal="center" vertical="center"/>
    </xf>
    <xf numFmtId="0" fontId="53" fillId="0" borderId="27" xfId="1" applyFont="1" applyFill="1" applyBorder="1" applyAlignment="1">
      <alignment horizontal="center" vertical="center" wrapText="1"/>
    </xf>
    <xf numFmtId="0" fontId="53" fillId="0" borderId="32" xfId="1" applyFont="1" applyFill="1" applyBorder="1" applyAlignment="1">
      <alignment horizontal="center" vertical="center" wrapText="1"/>
    </xf>
    <xf numFmtId="4" fontId="53" fillId="0" borderId="27" xfId="59" applyNumberFormat="1" applyFont="1" applyFill="1" applyBorder="1" applyAlignment="1">
      <alignment horizontal="center" vertical="center" wrapText="1"/>
    </xf>
    <xf numFmtId="4" fontId="53" fillId="0" borderId="32" xfId="59" applyNumberFormat="1" applyFont="1" applyFill="1" applyBorder="1" applyAlignment="1">
      <alignment horizontal="center" vertical="center" wrapText="1"/>
    </xf>
    <xf numFmtId="0" fontId="53" fillId="0" borderId="41" xfId="1" applyFont="1" applyFill="1" applyBorder="1" applyAlignment="1">
      <alignment horizontal="center"/>
    </xf>
    <xf numFmtId="0" fontId="53" fillId="0" borderId="42" xfId="1" applyFont="1" applyFill="1" applyBorder="1" applyAlignment="1">
      <alignment horizontal="center"/>
    </xf>
    <xf numFmtId="0" fontId="53" fillId="0" borderId="35" xfId="1" applyFont="1" applyFill="1" applyBorder="1" applyAlignment="1">
      <alignment horizontal="center"/>
    </xf>
    <xf numFmtId="0" fontId="53" fillId="0" borderId="38" xfId="1" applyFont="1" applyFill="1" applyBorder="1" applyAlignment="1">
      <alignment horizontal="center"/>
    </xf>
    <xf numFmtId="166" fontId="17" fillId="38" borderId="33" xfId="9" applyNumberFormat="1" applyFont="1" applyFill="1" applyBorder="1" applyAlignment="1">
      <alignment horizontal="left"/>
    </xf>
    <xf numFmtId="166" fontId="17" fillId="38" borderId="47" xfId="9" applyNumberFormat="1" applyFont="1" applyFill="1" applyBorder="1" applyAlignment="1">
      <alignment horizontal="left"/>
    </xf>
    <xf numFmtId="166" fontId="17" fillId="38" borderId="48" xfId="9" applyNumberFormat="1" applyFont="1" applyFill="1" applyBorder="1" applyAlignment="1">
      <alignment horizontal="left"/>
    </xf>
    <xf numFmtId="166" fontId="40" fillId="39" borderId="50" xfId="9" applyNumberFormat="1" applyFont="1" applyFill="1" applyBorder="1" applyAlignment="1">
      <alignment horizontal="left"/>
    </xf>
    <xf numFmtId="0" fontId="40" fillId="39" borderId="50" xfId="9" applyFont="1" applyFill="1" applyBorder="1" applyAlignment="1">
      <alignment horizontal="left"/>
    </xf>
    <xf numFmtId="0" fontId="17" fillId="39" borderId="53" xfId="9" applyFont="1" applyFill="1" applyBorder="1" applyAlignment="1">
      <alignment horizontal="left"/>
    </xf>
    <xf numFmtId="0" fontId="17" fillId="39" borderId="12" xfId="9" applyFont="1" applyFill="1" applyBorder="1" applyAlignment="1">
      <alignment horizontal="left"/>
    </xf>
    <xf numFmtId="0" fontId="56" fillId="0" borderId="0" xfId="9" applyFont="1" applyAlignment="1">
      <alignment horizontal="right"/>
    </xf>
    <xf numFmtId="0" fontId="53" fillId="0" borderId="41" xfId="9" applyFont="1" applyFill="1" applyBorder="1" applyAlignment="1">
      <alignment horizontal="center" vertical="center"/>
    </xf>
    <xf numFmtId="0" fontId="53" fillId="0" borderId="42" xfId="9" applyFont="1" applyFill="1" applyBorder="1" applyAlignment="1">
      <alignment horizontal="center" vertical="center"/>
    </xf>
    <xf numFmtId="167" fontId="53" fillId="0" borderId="26" xfId="59" applyNumberFormat="1" applyFont="1" applyFill="1" applyBorder="1" applyAlignment="1">
      <alignment horizontal="center" vertical="center"/>
    </xf>
    <xf numFmtId="167" fontId="53" fillId="0" borderId="31" xfId="59" applyNumberFormat="1" applyFont="1" applyFill="1" applyBorder="1" applyAlignment="1">
      <alignment horizontal="center" vertical="center"/>
    </xf>
    <xf numFmtId="0" fontId="53" fillId="0" borderId="26" xfId="9" applyFont="1" applyFill="1" applyBorder="1" applyAlignment="1">
      <alignment horizontal="center" wrapText="1"/>
    </xf>
    <xf numFmtId="0" fontId="53" fillId="0" borderId="31" xfId="9" applyFont="1" applyFill="1" applyBorder="1" applyAlignment="1">
      <alignment horizontal="center" wrapText="1"/>
    </xf>
    <xf numFmtId="0" fontId="55" fillId="0" borderId="25" xfId="9" applyFont="1" applyFill="1" applyBorder="1" applyAlignment="1">
      <alignment horizontal="center" vertical="center"/>
    </xf>
    <xf numFmtId="0" fontId="55" fillId="0" borderId="30" xfId="9" applyFont="1" applyFill="1" applyBorder="1" applyAlignment="1">
      <alignment horizontal="center" vertical="center"/>
    </xf>
    <xf numFmtId="0" fontId="50" fillId="0" borderId="0" xfId="9" applyFont="1" applyAlignment="1">
      <alignment horizontal="center"/>
    </xf>
    <xf numFmtId="0" fontId="54" fillId="0" borderId="0" xfId="9" applyFont="1" applyAlignment="1">
      <alignment horizontal="center"/>
    </xf>
    <xf numFmtId="166" fontId="40" fillId="38" borderId="62" xfId="9" applyNumberFormat="1" applyFont="1" applyFill="1" applyBorder="1" applyAlignment="1">
      <alignment horizontal="left"/>
    </xf>
    <xf numFmtId="0" fontId="40" fillId="38" borderId="62" xfId="9" applyFont="1" applyFill="1" applyBorder="1" applyAlignment="1">
      <alignment horizontal="left"/>
    </xf>
    <xf numFmtId="0" fontId="17" fillId="38" borderId="26" xfId="9" applyFont="1" applyFill="1" applyBorder="1" applyAlignment="1">
      <alignment horizontal="left"/>
    </xf>
    <xf numFmtId="0" fontId="17" fillId="38" borderId="45" xfId="9" applyFont="1" applyFill="1" applyBorder="1" applyAlignment="1">
      <alignment horizontal="left"/>
    </xf>
    <xf numFmtId="0" fontId="17" fillId="38" borderId="46" xfId="9" applyFont="1" applyFill="1" applyBorder="1" applyAlignment="1">
      <alignment horizontal="left"/>
    </xf>
    <xf numFmtId="166" fontId="17" fillId="38" borderId="60" xfId="9" applyNumberFormat="1" applyFont="1" applyFill="1" applyBorder="1" applyAlignment="1">
      <alignment horizontal="left"/>
    </xf>
    <xf numFmtId="166" fontId="40" fillId="38" borderId="50" xfId="9" applyNumberFormat="1" applyFont="1" applyFill="1" applyBorder="1" applyAlignment="1">
      <alignment horizontal="left"/>
    </xf>
    <xf numFmtId="0" fontId="40" fillId="38" borderId="50" xfId="9" applyFont="1" applyFill="1" applyBorder="1" applyAlignment="1">
      <alignment horizontal="left"/>
    </xf>
    <xf numFmtId="3" fontId="53" fillId="0" borderId="26" xfId="9" applyNumberFormat="1" applyFont="1" applyFill="1" applyBorder="1" applyAlignment="1">
      <alignment horizontal="center" vertical="center" wrapText="1"/>
    </xf>
    <xf numFmtId="0" fontId="17" fillId="38" borderId="36" xfId="9" applyFont="1" applyFill="1" applyBorder="1" applyAlignment="1">
      <alignment horizontal="center"/>
    </xf>
    <xf numFmtId="0" fontId="17" fillId="38" borderId="57" xfId="9" applyFont="1" applyFill="1" applyBorder="1" applyAlignment="1">
      <alignment horizontal="center"/>
    </xf>
    <xf numFmtId="0" fontId="17" fillId="38" borderId="58" xfId="9" applyFont="1" applyFill="1" applyBorder="1" applyAlignment="1">
      <alignment horizontal="center"/>
    </xf>
  </cellXfs>
  <cellStyles count="6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11" xfId="65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6 2 2" xfId="62"/>
    <cellStyle name="Normal 7" xfId="7"/>
    <cellStyle name="Normal 8" xfId="55"/>
    <cellStyle name="Normal 9" xfId="58"/>
    <cellStyle name="Normal 9 2" xfId="64"/>
    <cellStyle name="Normal_Pamatformas 2" xfId="60"/>
    <cellStyle name="Note" xfId="27" builtinId="10" customBuiltin="1"/>
    <cellStyle name="Output" xfId="22" builtinId="21" customBuiltin="1"/>
    <cellStyle name="Percent 2 3" xfId="63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workbookViewId="0">
      <selection activeCell="G3" sqref="G3"/>
    </sheetView>
  </sheetViews>
  <sheetFormatPr defaultColWidth="9.140625" defaultRowHeight="15" x14ac:dyDescent="0.25"/>
  <cols>
    <col min="1" max="1" width="9.85546875" style="13" customWidth="1"/>
    <col min="2" max="2" width="37.42578125" style="14" customWidth="1"/>
    <col min="3" max="3" width="12.5703125" style="1" customWidth="1"/>
    <col min="4" max="4" width="11.7109375" style="1" customWidth="1"/>
    <col min="5" max="5" width="12.5703125" style="1" customWidth="1"/>
    <col min="6" max="6" width="9.140625" style="1"/>
    <col min="7" max="7" width="10.140625" style="1" bestFit="1" customWidth="1"/>
    <col min="8" max="16384" width="9.140625" style="1"/>
  </cols>
  <sheetData>
    <row r="1" spans="1:7" x14ac:dyDescent="0.25">
      <c r="A1" s="42"/>
      <c r="B1" s="117"/>
      <c r="C1" s="19"/>
      <c r="D1" s="357" t="s">
        <v>0</v>
      </c>
      <c r="E1" s="357"/>
      <c r="G1" s="2"/>
    </row>
    <row r="2" spans="1:7" x14ac:dyDescent="0.25">
      <c r="A2" s="40"/>
      <c r="B2" s="357" t="s">
        <v>883</v>
      </c>
      <c r="C2" s="357"/>
      <c r="D2" s="357"/>
      <c r="E2" s="357"/>
    </row>
    <row r="3" spans="1:7" x14ac:dyDescent="0.25">
      <c r="A3" s="40"/>
      <c r="B3" s="117"/>
      <c r="C3" s="358" t="s">
        <v>886</v>
      </c>
      <c r="D3" s="358"/>
      <c r="E3" s="358"/>
    </row>
    <row r="4" spans="1:7" x14ac:dyDescent="0.25">
      <c r="A4" s="40"/>
      <c r="B4" s="41"/>
      <c r="C4" s="20"/>
      <c r="D4" s="20"/>
      <c r="E4" s="20"/>
    </row>
    <row r="5" spans="1:7" ht="18.75" x14ac:dyDescent="0.25">
      <c r="A5" s="359" t="s">
        <v>798</v>
      </c>
      <c r="B5" s="359"/>
      <c r="C5" s="359"/>
      <c r="D5" s="359"/>
      <c r="E5" s="359"/>
    </row>
    <row r="6" spans="1:7" x14ac:dyDescent="0.25">
      <c r="A6" s="360" t="s">
        <v>1</v>
      </c>
      <c r="B6" s="360"/>
      <c r="C6" s="360"/>
      <c r="D6" s="360"/>
      <c r="E6" s="360"/>
    </row>
    <row r="7" spans="1:7" x14ac:dyDescent="0.25">
      <c r="A7" s="40"/>
      <c r="B7" s="41"/>
      <c r="C7" s="20"/>
      <c r="D7" s="20"/>
      <c r="E7" s="34" t="s">
        <v>10</v>
      </c>
    </row>
    <row r="8" spans="1:7" ht="38.25" x14ac:dyDescent="0.25">
      <c r="A8" s="39" t="s">
        <v>4</v>
      </c>
      <c r="B8" s="39" t="s">
        <v>2</v>
      </c>
      <c r="C8" s="39" t="s">
        <v>799</v>
      </c>
      <c r="D8" s="39" t="s">
        <v>97</v>
      </c>
      <c r="E8" s="340" t="s">
        <v>875</v>
      </c>
    </row>
    <row r="9" spans="1:7" ht="21.75" customHeight="1" x14ac:dyDescent="0.25">
      <c r="A9" s="76"/>
      <c r="B9" s="77" t="s">
        <v>21</v>
      </c>
      <c r="C9" s="78">
        <f>C10+C21+C50+C60</f>
        <v>81779217</v>
      </c>
      <c r="D9" s="78">
        <f>D10+D21+D50+D60</f>
        <v>26305</v>
      </c>
      <c r="E9" s="78">
        <f>E10+E21+E50+E60</f>
        <v>81805522</v>
      </c>
    </row>
    <row r="10" spans="1:7" x14ac:dyDescent="0.25">
      <c r="A10" s="30"/>
      <c r="B10" s="44" t="s">
        <v>22</v>
      </c>
      <c r="C10" s="29">
        <f>C11+C14+C19+C20</f>
        <v>43890479</v>
      </c>
      <c r="D10" s="29">
        <f>D11+D14+D19+D20</f>
        <v>0</v>
      </c>
      <c r="E10" s="29">
        <f>E11+E14+E19+E20</f>
        <v>43890479</v>
      </c>
    </row>
    <row r="11" spans="1:7" ht="17.25" customHeight="1" x14ac:dyDescent="0.25">
      <c r="A11" s="62" t="s">
        <v>429</v>
      </c>
      <c r="B11" s="63" t="s">
        <v>430</v>
      </c>
      <c r="C11" s="23">
        <f>C12+C13</f>
        <v>40040183</v>
      </c>
      <c r="D11" s="23">
        <f t="shared" ref="D11:E11" si="0">D12+D13</f>
        <v>0</v>
      </c>
      <c r="E11" s="23">
        <f t="shared" si="0"/>
        <v>40040183</v>
      </c>
    </row>
    <row r="12" spans="1:7" ht="38.25" x14ac:dyDescent="0.25">
      <c r="A12" s="64" t="s">
        <v>6</v>
      </c>
      <c r="B12" s="65" t="s">
        <v>7</v>
      </c>
      <c r="C12" s="66">
        <v>656993</v>
      </c>
      <c r="D12" s="66">
        <v>0</v>
      </c>
      <c r="E12" s="66">
        <f>C12+D12</f>
        <v>656993</v>
      </c>
    </row>
    <row r="13" spans="1:7" ht="38.25" x14ac:dyDescent="0.25">
      <c r="A13" s="67" t="s">
        <v>8</v>
      </c>
      <c r="B13" s="26" t="s">
        <v>9</v>
      </c>
      <c r="C13" s="68">
        <v>39383190</v>
      </c>
      <c r="D13" s="66">
        <v>0</v>
      </c>
      <c r="E13" s="68">
        <f>C13+D13</f>
        <v>39383190</v>
      </c>
    </row>
    <row r="14" spans="1:7" x14ac:dyDescent="0.25">
      <c r="A14" s="62" t="s">
        <v>11</v>
      </c>
      <c r="B14" s="63" t="s">
        <v>12</v>
      </c>
      <c r="C14" s="23">
        <f>C15+C16+C17</f>
        <v>3720000</v>
      </c>
      <c r="D14" s="23">
        <f t="shared" ref="D14" si="1">D15+D16+D17</f>
        <v>0</v>
      </c>
      <c r="E14" s="23">
        <f>E15+E16+E17</f>
        <v>3720000</v>
      </c>
    </row>
    <row r="15" spans="1:7" x14ac:dyDescent="0.25">
      <c r="A15" s="67" t="s">
        <v>13</v>
      </c>
      <c r="B15" s="26" t="s">
        <v>14</v>
      </c>
      <c r="C15" s="68">
        <v>1433561</v>
      </c>
      <c r="D15" s="68">
        <v>0</v>
      </c>
      <c r="E15" s="68">
        <f>C15+D15</f>
        <v>1433561</v>
      </c>
    </row>
    <row r="16" spans="1:7" x14ac:dyDescent="0.25">
      <c r="A16" s="67" t="s">
        <v>15</v>
      </c>
      <c r="B16" s="26" t="s">
        <v>16</v>
      </c>
      <c r="C16" s="68">
        <v>1435393</v>
      </c>
      <c r="D16" s="68">
        <v>0</v>
      </c>
      <c r="E16" s="68">
        <f>C16+D16</f>
        <v>1435393</v>
      </c>
    </row>
    <row r="17" spans="1:7" ht="25.5" x14ac:dyDescent="0.25">
      <c r="A17" s="67" t="s">
        <v>17</v>
      </c>
      <c r="B17" s="26" t="s">
        <v>18</v>
      </c>
      <c r="C17" s="68">
        <v>851046</v>
      </c>
      <c r="D17" s="68">
        <v>0</v>
      </c>
      <c r="E17" s="68">
        <f>C17+D17</f>
        <v>851046</v>
      </c>
    </row>
    <row r="18" spans="1:7" ht="25.5" x14ac:dyDescent="0.25">
      <c r="A18" s="62" t="s">
        <v>431</v>
      </c>
      <c r="B18" s="63" t="s">
        <v>432</v>
      </c>
      <c r="C18" s="23">
        <f>C19</f>
        <v>109388</v>
      </c>
      <c r="D18" s="23">
        <f>D19</f>
        <v>0</v>
      </c>
      <c r="E18" s="23">
        <f>E19</f>
        <v>109388</v>
      </c>
    </row>
    <row r="19" spans="1:7" x14ac:dyDescent="0.25">
      <c r="A19" s="67" t="s">
        <v>19</v>
      </c>
      <c r="B19" s="26" t="s">
        <v>20</v>
      </c>
      <c r="C19" s="68">
        <v>109388</v>
      </c>
      <c r="D19" s="68">
        <v>0</v>
      </c>
      <c r="E19" s="68">
        <f>C19+D19</f>
        <v>109388</v>
      </c>
    </row>
    <row r="20" spans="1:7" x14ac:dyDescent="0.25">
      <c r="A20" s="168" t="s">
        <v>800</v>
      </c>
      <c r="B20" s="173" t="s">
        <v>801</v>
      </c>
      <c r="C20" s="23">
        <f>40000-19092</f>
        <v>20908</v>
      </c>
      <c r="D20" s="23">
        <v>0</v>
      </c>
      <c r="E20" s="23">
        <f>C20+D20</f>
        <v>20908</v>
      </c>
    </row>
    <row r="21" spans="1:7" x14ac:dyDescent="0.25">
      <c r="A21" s="30"/>
      <c r="B21" s="44" t="s">
        <v>23</v>
      </c>
      <c r="C21" s="29">
        <f>C22+C35+C39+C46</f>
        <v>326741</v>
      </c>
      <c r="D21" s="29">
        <f>D22+D35+D39+D46</f>
        <v>0</v>
      </c>
      <c r="E21" s="29">
        <f>E22+E35+E39+E46</f>
        <v>326741</v>
      </c>
      <c r="G21" s="342"/>
    </row>
    <row r="22" spans="1:7" ht="25.5" x14ac:dyDescent="0.25">
      <c r="A22" s="62" t="s">
        <v>25</v>
      </c>
      <c r="B22" s="63" t="s">
        <v>26</v>
      </c>
      <c r="C22" s="23">
        <f>C23+C27</f>
        <v>65336</v>
      </c>
      <c r="D22" s="23">
        <f>D23+D27</f>
        <v>0</v>
      </c>
      <c r="E22" s="23">
        <f>E23+E27</f>
        <v>65336</v>
      </c>
      <c r="G22" s="342"/>
    </row>
    <row r="23" spans="1:7" ht="25.5" x14ac:dyDescent="0.25">
      <c r="A23" s="69" t="s">
        <v>27</v>
      </c>
      <c r="B23" s="63" t="s">
        <v>28</v>
      </c>
      <c r="C23" s="23">
        <f>SUM(C24:C26)</f>
        <v>17500</v>
      </c>
      <c r="D23" s="23">
        <f>SUM(D24:D26)</f>
        <v>0</v>
      </c>
      <c r="E23" s="23">
        <f>SUM(E24:E26)</f>
        <v>17500</v>
      </c>
    </row>
    <row r="24" spans="1:7" ht="38.25" x14ac:dyDescent="0.25">
      <c r="A24" s="67" t="s">
        <v>29</v>
      </c>
      <c r="B24" s="26" t="s">
        <v>30</v>
      </c>
      <c r="C24" s="68">
        <v>3000</v>
      </c>
      <c r="D24" s="68">
        <v>0</v>
      </c>
      <c r="E24" s="68">
        <f>C24+D24</f>
        <v>3000</v>
      </c>
    </row>
    <row r="25" spans="1:7" ht="63.75" x14ac:dyDescent="0.25">
      <c r="A25" s="67" t="s">
        <v>31</v>
      </c>
      <c r="B25" s="26" t="s">
        <v>32</v>
      </c>
      <c r="C25" s="68">
        <v>9500</v>
      </c>
      <c r="D25" s="68">
        <v>0</v>
      </c>
      <c r="E25" s="68">
        <f t="shared" ref="E25:E34" si="2">C25+D25</f>
        <v>9500</v>
      </c>
    </row>
    <row r="26" spans="1:7" ht="25.5" x14ac:dyDescent="0.25">
      <c r="A26" s="67" t="s">
        <v>33</v>
      </c>
      <c r="B26" s="26" t="s">
        <v>34</v>
      </c>
      <c r="C26" s="68">
        <v>5000</v>
      </c>
      <c r="D26" s="68">
        <v>0</v>
      </c>
      <c r="E26" s="68">
        <f t="shared" si="2"/>
        <v>5000</v>
      </c>
    </row>
    <row r="27" spans="1:7" x14ac:dyDescent="0.25">
      <c r="A27" s="69" t="s">
        <v>35</v>
      </c>
      <c r="B27" s="63" t="s">
        <v>36</v>
      </c>
      <c r="C27" s="23">
        <f>SUM(C28:C34)</f>
        <v>47836</v>
      </c>
      <c r="D27" s="23">
        <f t="shared" ref="D27:E27" si="3">SUM(D28:D34)</f>
        <v>0</v>
      </c>
      <c r="E27" s="23">
        <f t="shared" si="3"/>
        <v>47836</v>
      </c>
    </row>
    <row r="28" spans="1:7" ht="39" x14ac:dyDescent="0.25">
      <c r="A28" s="67" t="s">
        <v>37</v>
      </c>
      <c r="B28" s="174" t="s">
        <v>802</v>
      </c>
      <c r="C28" s="68">
        <f>8500-1112</f>
        <v>7388</v>
      </c>
      <c r="D28" s="66">
        <v>0</v>
      </c>
      <c r="E28" s="68">
        <f t="shared" si="2"/>
        <v>7388</v>
      </c>
    </row>
    <row r="29" spans="1:7" ht="39" x14ac:dyDescent="0.25">
      <c r="A29" s="67" t="s">
        <v>38</v>
      </c>
      <c r="B29" s="174" t="s">
        <v>44</v>
      </c>
      <c r="C29" s="68">
        <v>500</v>
      </c>
      <c r="D29" s="66">
        <v>0</v>
      </c>
      <c r="E29" s="68">
        <f t="shared" si="2"/>
        <v>500</v>
      </c>
    </row>
    <row r="30" spans="1:7" ht="26.25" x14ac:dyDescent="0.25">
      <c r="A30" s="67" t="s">
        <v>39</v>
      </c>
      <c r="B30" s="174" t="s">
        <v>45</v>
      </c>
      <c r="C30" s="68">
        <f>2000-224</f>
        <v>1776</v>
      </c>
      <c r="D30" s="66">
        <v>0</v>
      </c>
      <c r="E30" s="68">
        <f t="shared" si="2"/>
        <v>1776</v>
      </c>
    </row>
    <row r="31" spans="1:7" ht="26.25" x14ac:dyDescent="0.25">
      <c r="A31" s="67" t="s">
        <v>40</v>
      </c>
      <c r="B31" s="174" t="s">
        <v>46</v>
      </c>
      <c r="C31" s="68">
        <f>5000-828</f>
        <v>4172</v>
      </c>
      <c r="D31" s="66">
        <v>0</v>
      </c>
      <c r="E31" s="68">
        <f t="shared" si="2"/>
        <v>4172</v>
      </c>
    </row>
    <row r="32" spans="1:7" ht="28.5" customHeight="1" x14ac:dyDescent="0.25">
      <c r="A32" s="67" t="s">
        <v>41</v>
      </c>
      <c r="B32" s="174" t="s">
        <v>47</v>
      </c>
      <c r="C32" s="68">
        <v>9000</v>
      </c>
      <c r="D32" s="68">
        <v>0</v>
      </c>
      <c r="E32" s="68">
        <f t="shared" si="2"/>
        <v>9000</v>
      </c>
    </row>
    <row r="33" spans="1:5" ht="26.25" x14ac:dyDescent="0.25">
      <c r="A33" s="67" t="s">
        <v>42</v>
      </c>
      <c r="B33" s="174" t="s">
        <v>433</v>
      </c>
      <c r="C33" s="68">
        <v>19000</v>
      </c>
      <c r="D33" s="68">
        <v>0</v>
      </c>
      <c r="E33" s="68">
        <f t="shared" si="2"/>
        <v>19000</v>
      </c>
    </row>
    <row r="34" spans="1:5" x14ac:dyDescent="0.25">
      <c r="A34" s="67" t="s">
        <v>43</v>
      </c>
      <c r="B34" s="174" t="s">
        <v>48</v>
      </c>
      <c r="C34" s="68">
        <v>6000</v>
      </c>
      <c r="D34" s="68">
        <v>0</v>
      </c>
      <c r="E34" s="68">
        <f t="shared" si="2"/>
        <v>6000</v>
      </c>
    </row>
    <row r="35" spans="1:5" x14ac:dyDescent="0.25">
      <c r="A35" s="62" t="s">
        <v>49</v>
      </c>
      <c r="B35" s="63" t="s">
        <v>50</v>
      </c>
      <c r="C35" s="23">
        <f>C36</f>
        <v>150000</v>
      </c>
      <c r="D35" s="23">
        <f t="shared" ref="D35:E35" si="4">D36</f>
        <v>0</v>
      </c>
      <c r="E35" s="23">
        <f t="shared" si="4"/>
        <v>150000</v>
      </c>
    </row>
    <row r="36" spans="1:5" x14ac:dyDescent="0.25">
      <c r="A36" s="69" t="s">
        <v>53</v>
      </c>
      <c r="B36" s="63" t="s">
        <v>54</v>
      </c>
      <c r="C36" s="23">
        <f>SUM(C37:C38)</f>
        <v>150000</v>
      </c>
      <c r="D36" s="23">
        <f t="shared" ref="D36:E36" si="5">SUM(D37:D38)</f>
        <v>0</v>
      </c>
      <c r="E36" s="23">
        <f t="shared" si="5"/>
        <v>150000</v>
      </c>
    </row>
    <row r="37" spans="1:5" x14ac:dyDescent="0.25">
      <c r="A37" s="67" t="s">
        <v>51</v>
      </c>
      <c r="B37" s="26" t="s">
        <v>52</v>
      </c>
      <c r="C37" s="68">
        <v>77000</v>
      </c>
      <c r="D37" s="68">
        <v>0</v>
      </c>
      <c r="E37" s="68">
        <f>C37+D37</f>
        <v>77000</v>
      </c>
    </row>
    <row r="38" spans="1:5" ht="24.75" customHeight="1" x14ac:dyDescent="0.25">
      <c r="A38" s="67" t="s">
        <v>55</v>
      </c>
      <c r="B38" s="26" t="s">
        <v>56</v>
      </c>
      <c r="C38" s="68">
        <v>73000</v>
      </c>
      <c r="D38" s="68">
        <v>0</v>
      </c>
      <c r="E38" s="68">
        <f>C38+D38</f>
        <v>73000</v>
      </c>
    </row>
    <row r="39" spans="1:5" x14ac:dyDescent="0.25">
      <c r="A39" s="70" t="s">
        <v>57</v>
      </c>
      <c r="B39" s="71" t="s">
        <v>58</v>
      </c>
      <c r="C39" s="27">
        <f>C40+C42</f>
        <v>3970</v>
      </c>
      <c r="D39" s="27">
        <f t="shared" ref="D39:E39" si="6">D40+D42</f>
        <v>0</v>
      </c>
      <c r="E39" s="27">
        <f t="shared" si="6"/>
        <v>3970</v>
      </c>
    </row>
    <row r="40" spans="1:5" ht="38.25" hidden="1" x14ac:dyDescent="0.25">
      <c r="A40" s="72" t="s">
        <v>376</v>
      </c>
      <c r="B40" s="71" t="s">
        <v>379</v>
      </c>
      <c r="C40" s="27">
        <f>C41</f>
        <v>0</v>
      </c>
      <c r="D40" s="27">
        <f>D41</f>
        <v>0</v>
      </c>
      <c r="E40" s="27">
        <f>E41</f>
        <v>0</v>
      </c>
    </row>
    <row r="41" spans="1:5" ht="25.5" hidden="1" x14ac:dyDescent="0.25">
      <c r="A41" s="64" t="s">
        <v>377</v>
      </c>
      <c r="B41" s="65" t="s">
        <v>378</v>
      </c>
      <c r="C41" s="66">
        <v>0</v>
      </c>
      <c r="D41" s="66">
        <v>0</v>
      </c>
      <c r="E41" s="66">
        <f>C41+D41</f>
        <v>0</v>
      </c>
    </row>
    <row r="42" spans="1:5" x14ac:dyDescent="0.25">
      <c r="A42" s="72" t="s">
        <v>59</v>
      </c>
      <c r="B42" s="71" t="s">
        <v>434</v>
      </c>
      <c r="C42" s="27">
        <f>C45+C43+C44</f>
        <v>3970</v>
      </c>
      <c r="D42" s="27">
        <f t="shared" ref="D42:E42" si="7">D45+D43+D44</f>
        <v>0</v>
      </c>
      <c r="E42" s="27">
        <f t="shared" si="7"/>
        <v>3970</v>
      </c>
    </row>
    <row r="43" spans="1:5" ht="15.75" hidden="1" customHeight="1" x14ac:dyDescent="0.25">
      <c r="A43" s="64" t="s">
        <v>435</v>
      </c>
      <c r="B43" s="65" t="s">
        <v>423</v>
      </c>
      <c r="C43" s="66">
        <v>0</v>
      </c>
      <c r="D43" s="66"/>
      <c r="E43" s="66">
        <f t="shared" ref="E43:E44" si="8">C43+D43</f>
        <v>0</v>
      </c>
    </row>
    <row r="44" spans="1:5" ht="25.5" hidden="1" x14ac:dyDescent="0.25">
      <c r="A44" s="80" t="s">
        <v>424</v>
      </c>
      <c r="B44" s="81" t="s">
        <v>436</v>
      </c>
      <c r="C44" s="82">
        <v>0</v>
      </c>
      <c r="D44" s="82">
        <v>0</v>
      </c>
      <c r="E44" s="82">
        <f t="shared" si="8"/>
        <v>0</v>
      </c>
    </row>
    <row r="45" spans="1:5" ht="31.5" customHeight="1" x14ac:dyDescent="0.25">
      <c r="A45" s="64" t="s">
        <v>411</v>
      </c>
      <c r="B45" s="65" t="s">
        <v>419</v>
      </c>
      <c r="C45" s="66">
        <f>3970</f>
        <v>3970</v>
      </c>
      <c r="D45" s="66">
        <v>0</v>
      </c>
      <c r="E45" s="66">
        <f>C45+D45</f>
        <v>3970</v>
      </c>
    </row>
    <row r="46" spans="1:5" ht="42.75" customHeight="1" x14ac:dyDescent="0.25">
      <c r="A46" s="62" t="s">
        <v>60</v>
      </c>
      <c r="B46" s="63" t="s">
        <v>63</v>
      </c>
      <c r="C46" s="23">
        <f>SUM(C47:C49)</f>
        <v>107435</v>
      </c>
      <c r="D46" s="23">
        <f>SUM(D47:D49)</f>
        <v>0</v>
      </c>
      <c r="E46" s="23">
        <f>SUM(E47:E49)</f>
        <v>107435</v>
      </c>
    </row>
    <row r="47" spans="1:5" ht="25.5" x14ac:dyDescent="0.25">
      <c r="A47" s="67" t="s">
        <v>61</v>
      </c>
      <c r="B47" s="26" t="s">
        <v>62</v>
      </c>
      <c r="C47" s="68">
        <v>82253</v>
      </c>
      <c r="D47" s="68">
        <v>0</v>
      </c>
      <c r="E47" s="68">
        <f>C47+D47</f>
        <v>82253</v>
      </c>
    </row>
    <row r="48" spans="1:5" ht="18" customHeight="1" x14ac:dyDescent="0.25">
      <c r="A48" s="67" t="s">
        <v>437</v>
      </c>
      <c r="B48" s="26" t="s">
        <v>443</v>
      </c>
      <c r="C48" s="68">
        <v>25182</v>
      </c>
      <c r="D48" s="68">
        <v>0</v>
      </c>
      <c r="E48" s="68">
        <f>C48+D48</f>
        <v>25182</v>
      </c>
    </row>
    <row r="49" spans="1:5" ht="30" hidden="1" customHeight="1" x14ac:dyDescent="0.25">
      <c r="A49" s="80" t="s">
        <v>332</v>
      </c>
      <c r="B49" s="81" t="s">
        <v>333</v>
      </c>
      <c r="C49" s="82">
        <v>0</v>
      </c>
      <c r="D49" s="82">
        <v>0</v>
      </c>
      <c r="E49" s="82">
        <f>C49+D49</f>
        <v>0</v>
      </c>
    </row>
    <row r="50" spans="1:5" x14ac:dyDescent="0.25">
      <c r="A50" s="45"/>
      <c r="B50" s="44" t="s">
        <v>64</v>
      </c>
      <c r="C50" s="46">
        <f>C53+C58+C51</f>
        <v>35871989</v>
      </c>
      <c r="D50" s="46">
        <f>D53+D58+D51</f>
        <v>28947</v>
      </c>
      <c r="E50" s="46">
        <f>E53+E58+E51</f>
        <v>35900936</v>
      </c>
    </row>
    <row r="51" spans="1:5" s="18" customFormat="1" ht="38.25" x14ac:dyDescent="0.25">
      <c r="A51" s="112" t="s">
        <v>438</v>
      </c>
      <c r="B51" s="113" t="s">
        <v>328</v>
      </c>
      <c r="C51" s="114">
        <f>C52</f>
        <v>132295</v>
      </c>
      <c r="D51" s="27">
        <f>D52</f>
        <v>0</v>
      </c>
      <c r="E51" s="27">
        <f>E52</f>
        <v>132295</v>
      </c>
    </row>
    <row r="52" spans="1:5" s="18" customFormat="1" ht="51" x14ac:dyDescent="0.25">
      <c r="A52" s="115" t="s">
        <v>439</v>
      </c>
      <c r="B52" s="116" t="s">
        <v>329</v>
      </c>
      <c r="C52" s="73">
        <f>118711+11084+2500</f>
        <v>132295</v>
      </c>
      <c r="D52" s="66">
        <v>0</v>
      </c>
      <c r="E52" s="66">
        <f>C52+D52</f>
        <v>132295</v>
      </c>
    </row>
    <row r="53" spans="1:5" x14ac:dyDescent="0.25">
      <c r="A53" s="62" t="s">
        <v>65</v>
      </c>
      <c r="B53" s="63" t="s">
        <v>66</v>
      </c>
      <c r="C53" s="23">
        <f>C54</f>
        <v>35131547</v>
      </c>
      <c r="D53" s="23">
        <f t="shared" ref="D53:E53" si="9">D54</f>
        <v>28947</v>
      </c>
      <c r="E53" s="23">
        <f t="shared" si="9"/>
        <v>35160494</v>
      </c>
    </row>
    <row r="54" spans="1:5" ht="25.5" x14ac:dyDescent="0.25">
      <c r="A54" s="69" t="s">
        <v>67</v>
      </c>
      <c r="B54" s="63" t="s">
        <v>440</v>
      </c>
      <c r="C54" s="23">
        <f>SUM(C55:C57)</f>
        <v>35131547</v>
      </c>
      <c r="D54" s="27">
        <f>SUM(D55:D57)</f>
        <v>28947</v>
      </c>
      <c r="E54" s="23">
        <f>SUM(E55:E57)</f>
        <v>35160494</v>
      </c>
    </row>
    <row r="55" spans="1:5" ht="25.5" x14ac:dyDescent="0.25">
      <c r="A55" s="67" t="s">
        <v>68</v>
      </c>
      <c r="B55" s="26" t="s">
        <v>441</v>
      </c>
      <c r="C55" s="68">
        <f>11975226+80138+4482907</f>
        <v>16538271</v>
      </c>
      <c r="D55" s="66">
        <v>28947</v>
      </c>
      <c r="E55" s="68">
        <f>C55+D55</f>
        <v>16567218</v>
      </c>
    </row>
    <row r="56" spans="1:5" ht="65.25" customHeight="1" x14ac:dyDescent="0.25">
      <c r="A56" s="67" t="s">
        <v>69</v>
      </c>
      <c r="B56" s="26" t="s">
        <v>71</v>
      </c>
      <c r="C56" s="68">
        <f>8468564+390973+1496087</f>
        <v>10355624</v>
      </c>
      <c r="D56" s="66">
        <v>0</v>
      </c>
      <c r="E56" s="68">
        <f t="shared" ref="E56:E57" si="10">C56+D56</f>
        <v>10355624</v>
      </c>
    </row>
    <row r="57" spans="1:5" ht="27.75" customHeight="1" x14ac:dyDescent="0.25">
      <c r="A57" s="67" t="s">
        <v>70</v>
      </c>
      <c r="B57" s="26" t="s">
        <v>72</v>
      </c>
      <c r="C57" s="68">
        <v>8237652</v>
      </c>
      <c r="D57" s="66">
        <v>0</v>
      </c>
      <c r="E57" s="68">
        <f t="shared" si="10"/>
        <v>8237652</v>
      </c>
    </row>
    <row r="58" spans="1:5" x14ac:dyDescent="0.25">
      <c r="A58" s="62" t="s">
        <v>73</v>
      </c>
      <c r="B58" s="63" t="s">
        <v>318</v>
      </c>
      <c r="C58" s="23">
        <f>C59</f>
        <v>608147</v>
      </c>
      <c r="D58" s="27">
        <f t="shared" ref="D58:E58" si="11">D59</f>
        <v>0</v>
      </c>
      <c r="E58" s="23">
        <f t="shared" si="11"/>
        <v>608147</v>
      </c>
    </row>
    <row r="59" spans="1:5" ht="25.5" x14ac:dyDescent="0.25">
      <c r="A59" s="67" t="s">
        <v>74</v>
      </c>
      <c r="B59" s="26" t="s">
        <v>75</v>
      </c>
      <c r="C59" s="68">
        <f>690899-82752</f>
        <v>608147</v>
      </c>
      <c r="D59" s="66">
        <v>0</v>
      </c>
      <c r="E59" s="68">
        <f>C59+D59</f>
        <v>608147</v>
      </c>
    </row>
    <row r="60" spans="1:5" ht="28.5" x14ac:dyDescent="0.25">
      <c r="A60" s="30"/>
      <c r="B60" s="44" t="s">
        <v>76</v>
      </c>
      <c r="C60" s="29">
        <f>C61</f>
        <v>1690008</v>
      </c>
      <c r="D60" s="29">
        <f t="shared" ref="D60:E60" si="12">D61</f>
        <v>-2642</v>
      </c>
      <c r="E60" s="29">
        <f t="shared" si="12"/>
        <v>1687366</v>
      </c>
    </row>
    <row r="61" spans="1:5" x14ac:dyDescent="0.25">
      <c r="A61" s="62" t="s">
        <v>77</v>
      </c>
      <c r="B61" s="63" t="s">
        <v>78</v>
      </c>
      <c r="C61" s="23">
        <f>C62+C66+C84</f>
        <v>1690008</v>
      </c>
      <c r="D61" s="23">
        <f>D62+D66+D84</f>
        <v>-2642</v>
      </c>
      <c r="E61" s="23">
        <f>E62+E66+E84</f>
        <v>1687366</v>
      </c>
    </row>
    <row r="62" spans="1:5" ht="25.5" x14ac:dyDescent="0.25">
      <c r="A62" s="72" t="s">
        <v>79</v>
      </c>
      <c r="B62" s="71" t="s">
        <v>80</v>
      </c>
      <c r="C62" s="27">
        <f>C63+C65+C64</f>
        <v>81729</v>
      </c>
      <c r="D62" s="27">
        <f t="shared" ref="D62" si="13">D63+D65+D64</f>
        <v>0</v>
      </c>
      <c r="E62" s="27">
        <f>E63+E65+E64</f>
        <v>81729</v>
      </c>
    </row>
    <row r="63" spans="1:5" ht="38.25" hidden="1" x14ac:dyDescent="0.25">
      <c r="A63" s="80" t="s">
        <v>341</v>
      </c>
      <c r="B63" s="81" t="s">
        <v>342</v>
      </c>
      <c r="C63" s="82">
        <v>0</v>
      </c>
      <c r="D63" s="82">
        <v>0</v>
      </c>
      <c r="E63" s="82">
        <f>C63+D63</f>
        <v>0</v>
      </c>
    </row>
    <row r="64" spans="1:5" ht="51.75" x14ac:dyDescent="0.25">
      <c r="A64" s="176" t="s">
        <v>803</v>
      </c>
      <c r="B64" s="175" t="s">
        <v>804</v>
      </c>
      <c r="C64" s="66">
        <v>40472</v>
      </c>
      <c r="D64" s="66">
        <v>0</v>
      </c>
      <c r="E64" s="66">
        <f>C64+D64</f>
        <v>40472</v>
      </c>
    </row>
    <row r="65" spans="1:5" ht="38.25" x14ac:dyDescent="0.25">
      <c r="A65" s="64" t="s">
        <v>444</v>
      </c>
      <c r="B65" s="65" t="s">
        <v>445</v>
      </c>
      <c r="C65" s="66">
        <f>12880+28377</f>
        <v>41257</v>
      </c>
      <c r="D65" s="66">
        <v>0</v>
      </c>
      <c r="E65" s="66">
        <f>C65+D65</f>
        <v>41257</v>
      </c>
    </row>
    <row r="66" spans="1:5" ht="25.5" x14ac:dyDescent="0.25">
      <c r="A66" s="69" t="s">
        <v>81</v>
      </c>
      <c r="B66" s="63" t="s">
        <v>82</v>
      </c>
      <c r="C66" s="27">
        <f>C67+C68+C71+C73+C78</f>
        <v>1546005</v>
      </c>
      <c r="D66" s="27">
        <f t="shared" ref="D66:E66" si="14">D67+D68+D71+D73+D78</f>
        <v>-4000</v>
      </c>
      <c r="E66" s="27">
        <f t="shared" si="14"/>
        <v>1542005</v>
      </c>
    </row>
    <row r="67" spans="1:5" ht="56.25" hidden="1" customHeight="1" x14ac:dyDescent="0.25">
      <c r="A67" s="80" t="s">
        <v>83</v>
      </c>
      <c r="B67" s="81" t="s">
        <v>88</v>
      </c>
      <c r="C67" s="82">
        <v>0</v>
      </c>
      <c r="D67" s="82">
        <v>0</v>
      </c>
      <c r="E67" s="82">
        <f>C67+D67</f>
        <v>0</v>
      </c>
    </row>
    <row r="68" spans="1:5" x14ac:dyDescent="0.25">
      <c r="A68" s="69" t="s">
        <v>84</v>
      </c>
      <c r="B68" s="83" t="s">
        <v>89</v>
      </c>
      <c r="C68" s="23">
        <f>SUM(C69:C70)</f>
        <v>387595</v>
      </c>
      <c r="D68" s="23">
        <f t="shared" ref="D68:E68" si="15">SUM(D69:D70)</f>
        <v>0</v>
      </c>
      <c r="E68" s="23">
        <f t="shared" si="15"/>
        <v>387595</v>
      </c>
    </row>
    <row r="69" spans="1:5" x14ac:dyDescent="0.25">
      <c r="A69" s="67" t="s">
        <v>446</v>
      </c>
      <c r="B69" s="26" t="s">
        <v>447</v>
      </c>
      <c r="C69" s="68">
        <f>133500-7500</f>
        <v>126000</v>
      </c>
      <c r="D69" s="66">
        <v>0</v>
      </c>
      <c r="E69" s="68">
        <f t="shared" ref="E69:E70" si="16">C69+D69</f>
        <v>126000</v>
      </c>
    </row>
    <row r="70" spans="1:5" ht="25.5" x14ac:dyDescent="0.25">
      <c r="A70" s="67" t="s">
        <v>450</v>
      </c>
      <c r="B70" s="26" t="s">
        <v>448</v>
      </c>
      <c r="C70" s="68">
        <f>204593+57002</f>
        <v>261595</v>
      </c>
      <c r="D70" s="66">
        <v>0</v>
      </c>
      <c r="E70" s="68">
        <f t="shared" si="16"/>
        <v>261595</v>
      </c>
    </row>
    <row r="71" spans="1:5" ht="25.5" x14ac:dyDescent="0.25">
      <c r="A71" s="69" t="s">
        <v>85</v>
      </c>
      <c r="B71" s="83" t="s">
        <v>91</v>
      </c>
      <c r="C71" s="23">
        <f>C72</f>
        <v>870</v>
      </c>
      <c r="D71" s="23">
        <f t="shared" ref="D71:E71" si="17">D72</f>
        <v>0</v>
      </c>
      <c r="E71" s="23">
        <f t="shared" si="17"/>
        <v>870</v>
      </c>
    </row>
    <row r="72" spans="1:5" ht="38.25" x14ac:dyDescent="0.25">
      <c r="A72" s="67" t="s">
        <v>449</v>
      </c>
      <c r="B72" s="26" t="s">
        <v>451</v>
      </c>
      <c r="C72" s="68">
        <f>550+320</f>
        <v>870</v>
      </c>
      <c r="D72" s="66">
        <v>0</v>
      </c>
      <c r="E72" s="68">
        <f t="shared" ref="E72:E83" si="18">C72+D72</f>
        <v>870</v>
      </c>
    </row>
    <row r="73" spans="1:5" x14ac:dyDescent="0.25">
      <c r="A73" s="69" t="s">
        <v>86</v>
      </c>
      <c r="B73" s="83" t="s">
        <v>90</v>
      </c>
      <c r="C73" s="23">
        <f>SUM(C74:C77)</f>
        <v>494658</v>
      </c>
      <c r="D73" s="23">
        <f t="shared" ref="D73:E73" si="19">SUM(D74:D77)</f>
        <v>0</v>
      </c>
      <c r="E73" s="23">
        <f t="shared" si="19"/>
        <v>494658</v>
      </c>
    </row>
    <row r="74" spans="1:5" x14ac:dyDescent="0.25">
      <c r="A74" s="67" t="s">
        <v>452</v>
      </c>
      <c r="B74" s="26" t="s">
        <v>453</v>
      </c>
      <c r="C74" s="68">
        <f>366584-40000</f>
        <v>326584</v>
      </c>
      <c r="D74" s="66">
        <v>0</v>
      </c>
      <c r="E74" s="68">
        <f t="shared" ref="E74:E77" si="20">C74+D74</f>
        <v>326584</v>
      </c>
    </row>
    <row r="75" spans="1:5" ht="25.5" x14ac:dyDescent="0.25">
      <c r="A75" s="67" t="s">
        <v>454</v>
      </c>
      <c r="B75" s="26" t="s">
        <v>455</v>
      </c>
      <c r="C75" s="68">
        <v>45132</v>
      </c>
      <c r="D75" s="66">
        <v>0</v>
      </c>
      <c r="E75" s="68">
        <f t="shared" si="20"/>
        <v>45132</v>
      </c>
    </row>
    <row r="76" spans="1:5" x14ac:dyDescent="0.25">
      <c r="A76" s="67" t="s">
        <v>457</v>
      </c>
      <c r="B76" s="26" t="s">
        <v>456</v>
      </c>
      <c r="C76" s="68">
        <v>60355</v>
      </c>
      <c r="D76" s="66">
        <v>0</v>
      </c>
      <c r="E76" s="68">
        <f t="shared" si="20"/>
        <v>60355</v>
      </c>
    </row>
    <row r="77" spans="1:5" x14ac:dyDescent="0.25">
      <c r="A77" s="67" t="s">
        <v>458</v>
      </c>
      <c r="B77" s="26" t="s">
        <v>459</v>
      </c>
      <c r="C77" s="68">
        <f>32587+30000</f>
        <v>62587</v>
      </c>
      <c r="D77" s="66">
        <v>0</v>
      </c>
      <c r="E77" s="68">
        <f t="shared" si="20"/>
        <v>62587</v>
      </c>
    </row>
    <row r="78" spans="1:5" ht="25.5" x14ac:dyDescent="0.25">
      <c r="A78" s="69" t="s">
        <v>87</v>
      </c>
      <c r="B78" s="83" t="s">
        <v>319</v>
      </c>
      <c r="C78" s="23">
        <f>SUM(C79:C83)</f>
        <v>662882</v>
      </c>
      <c r="D78" s="23">
        <f t="shared" ref="D78:E78" si="21">SUM(D79:D83)</f>
        <v>-4000</v>
      </c>
      <c r="E78" s="23">
        <f t="shared" si="21"/>
        <v>658882</v>
      </c>
    </row>
    <row r="79" spans="1:5" ht="25.5" x14ac:dyDescent="0.25">
      <c r="A79" s="67" t="s">
        <v>460</v>
      </c>
      <c r="B79" s="26" t="s">
        <v>465</v>
      </c>
      <c r="C79" s="68">
        <v>16015</v>
      </c>
      <c r="D79" s="66">
        <v>0</v>
      </c>
      <c r="E79" s="68">
        <f t="shared" si="18"/>
        <v>16015</v>
      </c>
    </row>
    <row r="80" spans="1:5" x14ac:dyDescent="0.25">
      <c r="A80" s="67" t="s">
        <v>461</v>
      </c>
      <c r="B80" s="26" t="s">
        <v>466</v>
      </c>
      <c r="C80" s="68">
        <f>401922-40000</f>
        <v>361922</v>
      </c>
      <c r="D80" s="66">
        <v>0</v>
      </c>
      <c r="E80" s="68">
        <f t="shared" si="18"/>
        <v>361922</v>
      </c>
    </row>
    <row r="81" spans="1:5" ht="25.5" hidden="1" x14ac:dyDescent="0.25">
      <c r="A81" s="67" t="s">
        <v>462</v>
      </c>
      <c r="B81" s="26" t="s">
        <v>467</v>
      </c>
      <c r="C81" s="68">
        <v>0</v>
      </c>
      <c r="D81" s="66"/>
      <c r="E81" s="68">
        <f t="shared" si="18"/>
        <v>0</v>
      </c>
    </row>
    <row r="82" spans="1:5" x14ac:dyDescent="0.25">
      <c r="A82" s="67" t="s">
        <v>463</v>
      </c>
      <c r="B82" s="26" t="s">
        <v>468</v>
      </c>
      <c r="C82" s="68">
        <f>53180+14121+7500</f>
        <v>74801</v>
      </c>
      <c r="D82" s="66">
        <v>-4000</v>
      </c>
      <c r="E82" s="68">
        <f t="shared" si="18"/>
        <v>70801</v>
      </c>
    </row>
    <row r="83" spans="1:5" x14ac:dyDescent="0.25">
      <c r="A83" s="67" t="s">
        <v>464</v>
      </c>
      <c r="B83" s="26" t="s">
        <v>469</v>
      </c>
      <c r="C83" s="68">
        <f>214773-4629</f>
        <v>210144</v>
      </c>
      <c r="D83" s="66">
        <v>0</v>
      </c>
      <c r="E83" s="68">
        <f t="shared" si="18"/>
        <v>210144</v>
      </c>
    </row>
    <row r="84" spans="1:5" ht="42" customHeight="1" x14ac:dyDescent="0.25">
      <c r="A84" s="69" t="s">
        <v>382</v>
      </c>
      <c r="B84" s="63" t="s">
        <v>412</v>
      </c>
      <c r="C84" s="23">
        <f>C85+C86</f>
        <v>62274</v>
      </c>
      <c r="D84" s="23">
        <f>D85+D86</f>
        <v>1358</v>
      </c>
      <c r="E84" s="23">
        <f>E85+E86</f>
        <v>63632</v>
      </c>
    </row>
    <row r="85" spans="1:5" ht="25.5" x14ac:dyDescent="0.25">
      <c r="A85" s="64" t="s">
        <v>783</v>
      </c>
      <c r="B85" s="65" t="s">
        <v>784</v>
      </c>
      <c r="C85" s="66">
        <f>1890</f>
        <v>1890</v>
      </c>
      <c r="D85" s="66">
        <v>0</v>
      </c>
      <c r="E85" s="66">
        <f t="shared" ref="E85:E86" si="22">C85+D85</f>
        <v>1890</v>
      </c>
    </row>
    <row r="86" spans="1:5" ht="25.5" x14ac:dyDescent="0.25">
      <c r="A86" s="67" t="s">
        <v>470</v>
      </c>
      <c r="B86" s="26" t="s">
        <v>471</v>
      </c>
      <c r="C86" s="68">
        <f>56130+4254</f>
        <v>60384</v>
      </c>
      <c r="D86" s="66">
        <v>1358</v>
      </c>
      <c r="E86" s="68">
        <f t="shared" si="22"/>
        <v>61742</v>
      </c>
    </row>
    <row r="87" spans="1:5" ht="15.75" x14ac:dyDescent="0.25">
      <c r="A87" s="76"/>
      <c r="B87" s="77" t="s">
        <v>92</v>
      </c>
      <c r="C87" s="78">
        <f>C88+C89</f>
        <v>28483100</v>
      </c>
      <c r="D87" s="78">
        <f t="shared" ref="D87" si="23">D88+D89</f>
        <v>-15001</v>
      </c>
      <c r="E87" s="78">
        <f>E88+E89</f>
        <v>28468099</v>
      </c>
    </row>
    <row r="88" spans="1:5" x14ac:dyDescent="0.25">
      <c r="A88" s="74" t="s">
        <v>93</v>
      </c>
      <c r="B88" s="75" t="s">
        <v>95</v>
      </c>
      <c r="C88" s="68">
        <f>13295055</f>
        <v>13295055</v>
      </c>
      <c r="D88" s="68">
        <v>0</v>
      </c>
      <c r="E88" s="68">
        <f>C88+D88</f>
        <v>13295055</v>
      </c>
    </row>
    <row r="89" spans="1:5" x14ac:dyDescent="0.25">
      <c r="A89" s="74" t="s">
        <v>94</v>
      </c>
      <c r="B89" s="75" t="s">
        <v>442</v>
      </c>
      <c r="C89" s="68">
        <f>16217406-1029361</f>
        <v>15188045</v>
      </c>
      <c r="D89" s="66">
        <v>-15001</v>
      </c>
      <c r="E89" s="68">
        <f>C89+D89</f>
        <v>15173044</v>
      </c>
    </row>
    <row r="90" spans="1:5" ht="15.75" x14ac:dyDescent="0.25">
      <c r="A90" s="84"/>
      <c r="B90" s="77" t="s">
        <v>96</v>
      </c>
      <c r="C90" s="78">
        <f>C9+C87</f>
        <v>110262317</v>
      </c>
      <c r="D90" s="78">
        <f>D9+D87</f>
        <v>11304</v>
      </c>
      <c r="E90" s="78">
        <f>E9+E87</f>
        <v>110273621</v>
      </c>
    </row>
    <row r="93" spans="1:5" ht="18.75" x14ac:dyDescent="0.3">
      <c r="A93" s="15" t="s">
        <v>102</v>
      </c>
      <c r="B93" s="16"/>
      <c r="C93" s="7"/>
      <c r="D93" s="7"/>
      <c r="E93" s="7" t="s">
        <v>103</v>
      </c>
    </row>
  </sheetData>
  <mergeCells count="5">
    <mergeCell ref="D1:E1"/>
    <mergeCell ref="C3:E3"/>
    <mergeCell ref="A5:E5"/>
    <mergeCell ref="A6:E6"/>
    <mergeCell ref="B2:E2"/>
  </mergeCells>
  <printOptions horizontalCentered="1"/>
  <pageMargins left="0.78740157480314965" right="0.78740157480314965" top="0.59055118110236227" bottom="0.59055118110236227" header="0.19685039370078741" footer="0.19685039370078741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90" zoomScaleNormal="90" workbookViewId="0">
      <selection activeCell="J6" sqref="J6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4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9"/>
      <c r="B1" s="20"/>
      <c r="C1" s="20"/>
      <c r="D1" s="20"/>
      <c r="E1" s="20"/>
      <c r="F1" s="19"/>
      <c r="G1" s="361" t="s">
        <v>128</v>
      </c>
      <c r="H1" s="361"/>
      <c r="J1" s="2"/>
    </row>
    <row r="2" spans="1:10" x14ac:dyDescent="0.25">
      <c r="A2" s="20"/>
      <c r="B2" s="20"/>
      <c r="C2" s="20"/>
      <c r="D2" s="20"/>
      <c r="E2" s="20"/>
      <c r="F2" s="361" t="s">
        <v>883</v>
      </c>
      <c r="G2" s="361"/>
      <c r="H2" s="361"/>
      <c r="I2" s="5"/>
      <c r="J2" s="2"/>
    </row>
    <row r="3" spans="1:10" x14ac:dyDescent="0.25">
      <c r="A3" s="20"/>
      <c r="B3" s="20"/>
      <c r="C3" s="20"/>
      <c r="D3" s="20"/>
      <c r="E3" s="20"/>
      <c r="F3" s="19"/>
      <c r="G3" s="19"/>
      <c r="H3" s="341" t="s">
        <v>886</v>
      </c>
      <c r="I3" s="6"/>
      <c r="J3" s="6"/>
    </row>
    <row r="4" spans="1:10" x14ac:dyDescent="0.25">
      <c r="A4" s="20"/>
      <c r="B4" s="20"/>
      <c r="C4" s="20"/>
      <c r="D4" s="20"/>
      <c r="E4" s="20"/>
      <c r="F4" s="20"/>
      <c r="G4" s="20"/>
      <c r="H4" s="20"/>
    </row>
    <row r="5" spans="1:10" ht="18.75" x14ac:dyDescent="0.3">
      <c r="A5" s="364" t="s">
        <v>798</v>
      </c>
      <c r="B5" s="364"/>
      <c r="C5" s="364"/>
      <c r="D5" s="364"/>
      <c r="E5" s="364"/>
      <c r="F5" s="364"/>
      <c r="G5" s="364"/>
      <c r="H5" s="364"/>
    </row>
    <row r="6" spans="1:10" x14ac:dyDescent="0.25">
      <c r="A6" s="365" t="s">
        <v>105</v>
      </c>
      <c r="B6" s="365"/>
      <c r="C6" s="365"/>
      <c r="D6" s="365"/>
      <c r="E6" s="365"/>
      <c r="F6" s="365"/>
      <c r="G6" s="365"/>
      <c r="H6" s="365"/>
    </row>
    <row r="7" spans="1:10" x14ac:dyDescent="0.25">
      <c r="A7" s="20"/>
      <c r="B7" s="20"/>
      <c r="C7" s="20"/>
      <c r="D7" s="20"/>
      <c r="E7" s="20"/>
      <c r="F7" s="20"/>
      <c r="G7" s="20"/>
      <c r="H7" s="34" t="s">
        <v>10</v>
      </c>
    </row>
    <row r="8" spans="1:10" s="3" customFormat="1" ht="15" customHeight="1" x14ac:dyDescent="0.2">
      <c r="A8" s="363" t="s">
        <v>4</v>
      </c>
      <c r="B8" s="363" t="s">
        <v>98</v>
      </c>
      <c r="C8" s="363" t="s">
        <v>799</v>
      </c>
      <c r="D8" s="362" t="s">
        <v>3</v>
      </c>
      <c r="E8" s="362"/>
      <c r="F8" s="362"/>
      <c r="G8" s="362"/>
      <c r="H8" s="363" t="s">
        <v>875</v>
      </c>
    </row>
    <row r="9" spans="1:10" s="3" customFormat="1" ht="42.75" x14ac:dyDescent="0.2">
      <c r="A9" s="363"/>
      <c r="B9" s="363"/>
      <c r="C9" s="363"/>
      <c r="D9" s="38" t="s">
        <v>100</v>
      </c>
      <c r="E9" s="38" t="s">
        <v>101</v>
      </c>
      <c r="F9" s="38" t="s">
        <v>66</v>
      </c>
      <c r="G9" s="38" t="s">
        <v>132</v>
      </c>
      <c r="H9" s="363"/>
    </row>
    <row r="10" spans="1:10" ht="37.5" x14ac:dyDescent="0.3">
      <c r="A10" s="49"/>
      <c r="B10" s="43" t="s">
        <v>104</v>
      </c>
      <c r="C10" s="54">
        <f>SUM(C11:C19)</f>
        <v>101355119</v>
      </c>
      <c r="D10" s="54">
        <f t="shared" ref="D10:G10" si="0">SUM(D11:D19)</f>
        <v>-14830</v>
      </c>
      <c r="E10" s="54">
        <f t="shared" si="0"/>
        <v>-2642</v>
      </c>
      <c r="F10" s="54">
        <f t="shared" si="0"/>
        <v>28947</v>
      </c>
      <c r="G10" s="54">
        <f t="shared" si="0"/>
        <v>0</v>
      </c>
      <c r="H10" s="54">
        <f>C10+D10+E10+F10+G10</f>
        <v>101366594</v>
      </c>
    </row>
    <row r="11" spans="1:10" x14ac:dyDescent="0.25">
      <c r="A11" s="25" t="s">
        <v>106</v>
      </c>
      <c r="B11" s="22" t="s">
        <v>115</v>
      </c>
      <c r="C11" s="276">
        <f>8053792</f>
        <v>8053792</v>
      </c>
      <c r="D11" s="35">
        <f>'3.pielikums'!E12</f>
        <v>-42300</v>
      </c>
      <c r="E11" s="35">
        <f>'3.pielikums'!G12</f>
        <v>0</v>
      </c>
      <c r="F11" s="35">
        <f>'3.pielikums'!I12</f>
        <v>0</v>
      </c>
      <c r="G11" s="35">
        <f>'3.pielikums'!K12</f>
        <v>0</v>
      </c>
      <c r="H11" s="55">
        <f t="shared" ref="H11:H29" si="1">C11+D11+E11+F11+G11</f>
        <v>8011492</v>
      </c>
    </row>
    <row r="12" spans="1:10" x14ac:dyDescent="0.25">
      <c r="A12" s="25" t="s">
        <v>107</v>
      </c>
      <c r="B12" s="22" t="s">
        <v>116</v>
      </c>
      <c r="C12" s="276">
        <f>3941597</f>
        <v>3941597</v>
      </c>
      <c r="D12" s="35">
        <f>'3.pielikums'!E35</f>
        <v>-15001</v>
      </c>
      <c r="E12" s="35">
        <f>'3.pielikums'!G35</f>
        <v>0</v>
      </c>
      <c r="F12" s="35">
        <f>'3.pielikums'!I35</f>
        <v>0</v>
      </c>
      <c r="G12" s="35">
        <f>'3.pielikums'!K35</f>
        <v>0</v>
      </c>
      <c r="H12" s="55">
        <f t="shared" si="1"/>
        <v>3926596</v>
      </c>
    </row>
    <row r="13" spans="1:10" x14ac:dyDescent="0.25">
      <c r="A13" s="25" t="s">
        <v>108</v>
      </c>
      <c r="B13" s="22" t="s">
        <v>117</v>
      </c>
      <c r="C13" s="276">
        <f>26452829</f>
        <v>26452829</v>
      </c>
      <c r="D13" s="35">
        <f>'3.pielikums'!E43</f>
        <v>10000</v>
      </c>
      <c r="E13" s="35">
        <f>'3.pielikums'!G43</f>
        <v>0</v>
      </c>
      <c r="F13" s="35">
        <f>'3.pielikums'!I43</f>
        <v>0</v>
      </c>
      <c r="G13" s="35">
        <f>'3.pielikums'!K43</f>
        <v>0</v>
      </c>
      <c r="H13" s="55">
        <f t="shared" si="1"/>
        <v>26462829</v>
      </c>
    </row>
    <row r="14" spans="1:10" x14ac:dyDescent="0.25">
      <c r="A14" s="25" t="s">
        <v>109</v>
      </c>
      <c r="B14" s="22" t="s">
        <v>118</v>
      </c>
      <c r="C14" s="276">
        <f>5116963</f>
        <v>5116963</v>
      </c>
      <c r="D14" s="35">
        <f>'3.pielikums'!E64</f>
        <v>0</v>
      </c>
      <c r="E14" s="35">
        <f>'3.pielikums'!G64</f>
        <v>0</v>
      </c>
      <c r="F14" s="35">
        <f>'3.pielikums'!I64</f>
        <v>0</v>
      </c>
      <c r="G14" s="35">
        <f>'3.pielikums'!K64</f>
        <v>0</v>
      </c>
      <c r="H14" s="55">
        <f t="shared" si="1"/>
        <v>5116963</v>
      </c>
    </row>
    <row r="15" spans="1:10" x14ac:dyDescent="0.25">
      <c r="A15" s="25" t="s">
        <v>110</v>
      </c>
      <c r="B15" s="22" t="s">
        <v>119</v>
      </c>
      <c r="C15" s="276">
        <f>5587586</f>
        <v>5587586</v>
      </c>
      <c r="D15" s="35">
        <f>'3.pielikums'!E76</f>
        <v>0</v>
      </c>
      <c r="E15" s="35">
        <f>'3.pielikums'!G76</f>
        <v>0</v>
      </c>
      <c r="F15" s="35">
        <f>'3.pielikums'!I76</f>
        <v>0</v>
      </c>
      <c r="G15" s="35">
        <f>'3.pielikums'!K76</f>
        <v>0</v>
      </c>
      <c r="H15" s="55">
        <f t="shared" si="1"/>
        <v>5587586</v>
      </c>
    </row>
    <row r="16" spans="1:10" x14ac:dyDescent="0.25">
      <c r="A16" s="25" t="s">
        <v>111</v>
      </c>
      <c r="B16" s="22" t="s">
        <v>120</v>
      </c>
      <c r="C16" s="276">
        <f>267433</f>
        <v>267433</v>
      </c>
      <c r="D16" s="35">
        <f>'3.pielikums'!E90</f>
        <v>0</v>
      </c>
      <c r="E16" s="35">
        <f>'3.pielikums'!G90</f>
        <v>0</v>
      </c>
      <c r="F16" s="35">
        <f>'3.pielikums'!I90</f>
        <v>0</v>
      </c>
      <c r="G16" s="35">
        <f>'3.pielikums'!K90</f>
        <v>0</v>
      </c>
      <c r="H16" s="55">
        <f t="shared" si="1"/>
        <v>267433</v>
      </c>
    </row>
    <row r="17" spans="1:8" x14ac:dyDescent="0.25">
      <c r="A17" s="25" t="s">
        <v>24</v>
      </c>
      <c r="B17" s="22" t="s">
        <v>121</v>
      </c>
      <c r="C17" s="276">
        <f>6860097</f>
        <v>6860097</v>
      </c>
      <c r="D17" s="35">
        <f>'3.pielikums'!E97</f>
        <v>0</v>
      </c>
      <c r="E17" s="35">
        <f>'3.pielikums'!G97</f>
        <v>0</v>
      </c>
      <c r="F17" s="35">
        <f>'3.pielikums'!I97</f>
        <v>0</v>
      </c>
      <c r="G17" s="35">
        <f>'3.pielikums'!K97</f>
        <v>0</v>
      </c>
      <c r="H17" s="55">
        <f t="shared" si="1"/>
        <v>6860097</v>
      </c>
    </row>
    <row r="18" spans="1:8" x14ac:dyDescent="0.25">
      <c r="A18" s="25" t="s">
        <v>25</v>
      </c>
      <c r="B18" s="22" t="s">
        <v>122</v>
      </c>
      <c r="C18" s="276">
        <f>38273377</f>
        <v>38273377</v>
      </c>
      <c r="D18" s="35">
        <f>'3.pielikums'!E130</f>
        <v>0</v>
      </c>
      <c r="E18" s="35">
        <f>'3.pielikums'!G130</f>
        <v>0</v>
      </c>
      <c r="F18" s="35">
        <f>'3.pielikums'!I130</f>
        <v>28432</v>
      </c>
      <c r="G18" s="35">
        <f>'3.pielikums'!K130</f>
        <v>0</v>
      </c>
      <c r="H18" s="55">
        <f t="shared" si="1"/>
        <v>38301809</v>
      </c>
    </row>
    <row r="19" spans="1:8" x14ac:dyDescent="0.25">
      <c r="A19" s="25" t="s">
        <v>49</v>
      </c>
      <c r="B19" s="22" t="s">
        <v>123</v>
      </c>
      <c r="C19" s="276">
        <f>6801445</f>
        <v>6801445</v>
      </c>
      <c r="D19" s="35">
        <f>'3.pielikums'!E169</f>
        <v>32471</v>
      </c>
      <c r="E19" s="35">
        <f>'3.pielikums'!G169</f>
        <v>-2642</v>
      </c>
      <c r="F19" s="35">
        <f>'3.pielikums'!I169</f>
        <v>515</v>
      </c>
      <c r="G19" s="35">
        <f>'3.pielikums'!K169</f>
        <v>0</v>
      </c>
      <c r="H19" s="55">
        <f t="shared" si="1"/>
        <v>6831789</v>
      </c>
    </row>
    <row r="20" spans="1:8" ht="18.75" x14ac:dyDescent="0.3">
      <c r="A20" s="48"/>
      <c r="B20" s="50" t="s">
        <v>112</v>
      </c>
      <c r="C20" s="54">
        <f>C21+C22+C28</f>
        <v>8907198</v>
      </c>
      <c r="D20" s="54">
        <f>D21+D22+D28</f>
        <v>-171</v>
      </c>
      <c r="E20" s="54">
        <f>E21+E22+E28</f>
        <v>0</v>
      </c>
      <c r="F20" s="54">
        <f>F21+F22+F28</f>
        <v>0</v>
      </c>
      <c r="G20" s="54">
        <f>G21+G22+G28</f>
        <v>0</v>
      </c>
      <c r="H20" s="54">
        <f t="shared" si="1"/>
        <v>8907027</v>
      </c>
    </row>
    <row r="21" spans="1:8" x14ac:dyDescent="0.25">
      <c r="A21" s="25" t="s">
        <v>113</v>
      </c>
      <c r="B21" s="25" t="s">
        <v>124</v>
      </c>
      <c r="C21" s="276">
        <f>7830519</f>
        <v>7830519</v>
      </c>
      <c r="D21" s="35">
        <f>'3.pielikums'!E203</f>
        <v>0</v>
      </c>
      <c r="E21" s="35">
        <f>'3.pielikums'!G203</f>
        <v>0</v>
      </c>
      <c r="F21" s="35">
        <f>'3.pielikums'!I203</f>
        <v>0</v>
      </c>
      <c r="G21" s="35">
        <f>'3.pielikums'!K203</f>
        <v>0</v>
      </c>
      <c r="H21" s="55">
        <f t="shared" si="1"/>
        <v>7830519</v>
      </c>
    </row>
    <row r="22" spans="1:8" x14ac:dyDescent="0.25">
      <c r="A22" s="25" t="s">
        <v>114</v>
      </c>
      <c r="B22" s="47" t="s">
        <v>125</v>
      </c>
      <c r="C22" s="276">
        <f>SUM(C23:C27)</f>
        <v>851258</v>
      </c>
      <c r="D22" s="35">
        <f>SUM(D23:D27)</f>
        <v>0</v>
      </c>
      <c r="E22" s="35">
        <f>SUM(E23:E27)</f>
        <v>0</v>
      </c>
      <c r="F22" s="35">
        <f>SUM(F23:F27)</f>
        <v>0</v>
      </c>
      <c r="G22" s="35">
        <f>SUM(G23:G27)</f>
        <v>0</v>
      </c>
      <c r="H22" s="55">
        <f t="shared" si="1"/>
        <v>851258</v>
      </c>
    </row>
    <row r="23" spans="1:8" hidden="1" x14ac:dyDescent="0.25">
      <c r="A23" s="25"/>
      <c r="B23" s="51" t="s">
        <v>362</v>
      </c>
      <c r="C23" s="28">
        <v>0</v>
      </c>
      <c r="D23" s="36">
        <f>'3.pielikums'!E205</f>
        <v>0</v>
      </c>
      <c r="E23" s="36">
        <f>'3.pielikums'!G205</f>
        <v>0</v>
      </c>
      <c r="F23" s="36">
        <f>'3.pielikums'!I205</f>
        <v>0</v>
      </c>
      <c r="G23" s="36">
        <f>'3.pielikums'!K205</f>
        <v>0</v>
      </c>
      <c r="H23" s="56">
        <f t="shared" si="1"/>
        <v>0</v>
      </c>
    </row>
    <row r="24" spans="1:8" x14ac:dyDescent="0.25">
      <c r="A24" s="25"/>
      <c r="B24" s="51" t="s">
        <v>337</v>
      </c>
      <c r="C24" s="28">
        <f>24174</f>
        <v>24174</v>
      </c>
      <c r="D24" s="36">
        <f>'3.pielikums'!E206</f>
        <v>0</v>
      </c>
      <c r="E24" s="36">
        <f>'3.pielikums'!G206</f>
        <v>0</v>
      </c>
      <c r="F24" s="36">
        <f>'3.pielikums'!I206</f>
        <v>0</v>
      </c>
      <c r="G24" s="36">
        <f>'3.pielikums'!K206</f>
        <v>0</v>
      </c>
      <c r="H24" s="56">
        <f t="shared" si="1"/>
        <v>24174</v>
      </c>
    </row>
    <row r="25" spans="1:8" x14ac:dyDescent="0.25">
      <c r="A25" s="25"/>
      <c r="B25" s="51" t="s">
        <v>336</v>
      </c>
      <c r="C25" s="28">
        <f>701392</f>
        <v>701392</v>
      </c>
      <c r="D25" s="36">
        <f>'3.pielikums'!E207</f>
        <v>0</v>
      </c>
      <c r="E25" s="36">
        <f>'3.pielikums'!G207</f>
        <v>0</v>
      </c>
      <c r="F25" s="36">
        <f>'3.pielikums'!I207</f>
        <v>0</v>
      </c>
      <c r="G25" s="36">
        <f>'3.pielikums'!K207</f>
        <v>0</v>
      </c>
      <c r="H25" s="56">
        <f t="shared" si="1"/>
        <v>701392</v>
      </c>
    </row>
    <row r="26" spans="1:8" x14ac:dyDescent="0.25">
      <c r="A26" s="25"/>
      <c r="B26" s="51" t="s">
        <v>335</v>
      </c>
      <c r="C26" s="28">
        <f>125692</f>
        <v>125692</v>
      </c>
      <c r="D26" s="36">
        <f>'3.pielikums'!E208</f>
        <v>0</v>
      </c>
      <c r="E26" s="36">
        <f>'3.pielikums'!G208</f>
        <v>0</v>
      </c>
      <c r="F26" s="36">
        <f>'3.pielikums'!I208</f>
        <v>0</v>
      </c>
      <c r="G26" s="36">
        <f>'3.pielikums'!K208</f>
        <v>0</v>
      </c>
      <c r="H26" s="56">
        <f t="shared" si="1"/>
        <v>125692</v>
      </c>
    </row>
    <row r="27" spans="1:8" hidden="1" x14ac:dyDescent="0.25">
      <c r="A27" s="25"/>
      <c r="B27" s="51" t="s">
        <v>334</v>
      </c>
      <c r="C27" s="28">
        <v>0</v>
      </c>
      <c r="D27" s="36">
        <f>'3.pielikums'!E209</f>
        <v>0</v>
      </c>
      <c r="E27" s="36">
        <f>'3.pielikums'!G209</f>
        <v>0</v>
      </c>
      <c r="F27" s="36">
        <f>'3.pielikums'!I209</f>
        <v>0</v>
      </c>
      <c r="G27" s="36">
        <f>'3.pielikums'!K209</f>
        <v>0</v>
      </c>
      <c r="H27" s="56">
        <f t="shared" si="1"/>
        <v>0</v>
      </c>
    </row>
    <row r="28" spans="1:8" x14ac:dyDescent="0.25">
      <c r="A28" s="25" t="s">
        <v>93</v>
      </c>
      <c r="B28" s="52" t="s">
        <v>127</v>
      </c>
      <c r="C28" s="276">
        <f>225421</f>
        <v>225421</v>
      </c>
      <c r="D28" s="35">
        <f>'3.pielikums'!E210</f>
        <v>-171</v>
      </c>
      <c r="E28" s="35">
        <f>'3.pielikums'!G210</f>
        <v>0</v>
      </c>
      <c r="F28" s="35">
        <f>'3.pielikums'!I210</f>
        <v>0</v>
      </c>
      <c r="G28" s="35">
        <f>'3.pielikums'!K210</f>
        <v>0</v>
      </c>
      <c r="H28" s="55">
        <f t="shared" si="1"/>
        <v>225250</v>
      </c>
    </row>
    <row r="29" spans="1:8" ht="18.75" x14ac:dyDescent="0.3">
      <c r="A29" s="53"/>
      <c r="B29" s="50" t="s">
        <v>126</v>
      </c>
      <c r="C29" s="54">
        <f>C10+C20</f>
        <v>110262317</v>
      </c>
      <c r="D29" s="54">
        <f t="shared" ref="D29:G29" si="2">D10+D20</f>
        <v>-15001</v>
      </c>
      <c r="E29" s="54">
        <f t="shared" si="2"/>
        <v>-2642</v>
      </c>
      <c r="F29" s="54">
        <f t="shared" si="2"/>
        <v>28947</v>
      </c>
      <c r="G29" s="54">
        <f t="shared" si="2"/>
        <v>0</v>
      </c>
      <c r="H29" s="54">
        <f t="shared" si="1"/>
        <v>110273621</v>
      </c>
    </row>
    <row r="31" spans="1:8" ht="18.75" x14ac:dyDescent="0.3">
      <c r="A31" s="7" t="s">
        <v>102</v>
      </c>
      <c r="H31" s="7" t="s">
        <v>103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3"/>
  <sheetViews>
    <sheetView zoomScale="90" zoomScaleNormal="90" workbookViewId="0">
      <pane ySplit="10" topLeftCell="A11" activePane="bottomLeft" state="frozen"/>
      <selection pane="bottomLeft" activeCell="O5" sqref="O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86" customWidth="1"/>
    <col min="6" max="6" width="10.140625" style="1" customWidth="1"/>
    <col min="7" max="7" width="10.85546875" style="86" customWidth="1"/>
    <col min="8" max="8" width="11.85546875" style="1" customWidth="1"/>
    <col min="9" max="9" width="11.42578125" style="86" customWidth="1"/>
    <col min="10" max="10" width="10.85546875" style="1" customWidth="1"/>
    <col min="11" max="11" width="11" style="86" customWidth="1"/>
    <col min="12" max="12" width="11.140625" style="1" customWidth="1"/>
    <col min="13" max="16384" width="9.140625" style="1"/>
  </cols>
  <sheetData>
    <row r="1" spans="1:12" x14ac:dyDescent="0.25">
      <c r="H1" s="19"/>
      <c r="I1" s="118"/>
      <c r="J1" s="19"/>
      <c r="K1" s="361" t="s">
        <v>133</v>
      </c>
      <c r="L1" s="361"/>
    </row>
    <row r="2" spans="1:12" x14ac:dyDescent="0.25">
      <c r="H2" s="361" t="s">
        <v>883</v>
      </c>
      <c r="I2" s="361"/>
      <c r="J2" s="361"/>
      <c r="K2" s="361"/>
      <c r="L2" s="361"/>
    </row>
    <row r="3" spans="1:12" x14ac:dyDescent="0.25">
      <c r="H3" s="19"/>
      <c r="I3" s="118"/>
      <c r="J3" s="19"/>
      <c r="K3" s="118"/>
      <c r="L3" s="341" t="s">
        <v>884</v>
      </c>
    </row>
    <row r="5" spans="1:12" ht="18.75" x14ac:dyDescent="0.3">
      <c r="A5" s="368" t="s">
        <v>798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</row>
    <row r="6" spans="1:12" x14ac:dyDescent="0.25">
      <c r="A6" s="369" t="s">
        <v>129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</row>
    <row r="7" spans="1:12" x14ac:dyDescent="0.25">
      <c r="L7" s="10" t="s">
        <v>10</v>
      </c>
    </row>
    <row r="8" spans="1:12" s="4" customFormat="1" x14ac:dyDescent="0.25">
      <c r="A8" s="370" t="s">
        <v>4</v>
      </c>
      <c r="B8" s="370" t="s">
        <v>98</v>
      </c>
      <c r="C8" s="370" t="s">
        <v>875</v>
      </c>
      <c r="D8" s="370" t="s">
        <v>99</v>
      </c>
      <c r="E8" s="370"/>
      <c r="F8" s="370"/>
      <c r="G8" s="370"/>
      <c r="H8" s="370"/>
      <c r="I8" s="370"/>
      <c r="J8" s="370"/>
      <c r="K8" s="370"/>
      <c r="L8" s="370"/>
    </row>
    <row r="9" spans="1:12" s="4" customFormat="1" ht="58.5" customHeight="1" x14ac:dyDescent="0.25">
      <c r="A9" s="370"/>
      <c r="B9" s="370"/>
      <c r="C9" s="370"/>
      <c r="D9" s="60" t="s">
        <v>100</v>
      </c>
      <c r="E9" s="61" t="s">
        <v>130</v>
      </c>
      <c r="F9" s="60" t="s">
        <v>101</v>
      </c>
      <c r="G9" s="61" t="s">
        <v>135</v>
      </c>
      <c r="H9" s="60" t="s">
        <v>66</v>
      </c>
      <c r="I9" s="61" t="s">
        <v>131</v>
      </c>
      <c r="J9" s="60" t="s">
        <v>132</v>
      </c>
      <c r="K9" s="61" t="s">
        <v>134</v>
      </c>
      <c r="L9" s="60" t="s">
        <v>805</v>
      </c>
    </row>
    <row r="10" spans="1:12" x14ac:dyDescent="0.25">
      <c r="A10" s="96">
        <v>1</v>
      </c>
      <c r="B10" s="97">
        <v>2</v>
      </c>
      <c r="C10" s="98"/>
      <c r="D10" s="99">
        <v>4</v>
      </c>
      <c r="E10" s="99">
        <v>5</v>
      </c>
      <c r="F10" s="99">
        <v>6</v>
      </c>
      <c r="G10" s="99">
        <v>7</v>
      </c>
      <c r="H10" s="99">
        <v>8</v>
      </c>
      <c r="I10" s="99">
        <v>9</v>
      </c>
      <c r="J10" s="99">
        <v>10</v>
      </c>
      <c r="K10" s="99">
        <v>11</v>
      </c>
      <c r="L10" s="99">
        <v>12</v>
      </c>
    </row>
    <row r="11" spans="1:12" ht="28.5" x14ac:dyDescent="0.25">
      <c r="A11" s="85"/>
      <c r="B11" s="44" t="s">
        <v>104</v>
      </c>
      <c r="C11" s="29">
        <f>SUM(D11:L11)</f>
        <v>101366594</v>
      </c>
      <c r="D11" s="29">
        <f>D12+D35+D43+D64+D76+D90+D97+D130+D169</f>
        <v>66488732</v>
      </c>
      <c r="E11" s="111">
        <f>E12+E35+E43+E64+E76+E90+E97+E130+E169</f>
        <v>-14830</v>
      </c>
      <c r="F11" s="29">
        <f t="shared" ref="F11:L11" si="0">F12+F35+F43+F64+F76+F90+F97+F130+F169</f>
        <v>1739137</v>
      </c>
      <c r="G11" s="111">
        <f t="shared" si="0"/>
        <v>-2642</v>
      </c>
      <c r="H11" s="29">
        <f t="shared" si="0"/>
        <v>26069197</v>
      </c>
      <c r="I11" s="111">
        <f t="shared" si="0"/>
        <v>28947</v>
      </c>
      <c r="J11" s="29">
        <f t="shared" si="0"/>
        <v>608147</v>
      </c>
      <c r="K11" s="111">
        <f t="shared" si="0"/>
        <v>0</v>
      </c>
      <c r="L11" s="29">
        <f t="shared" si="0"/>
        <v>6449906</v>
      </c>
    </row>
    <row r="12" spans="1:12" x14ac:dyDescent="0.25">
      <c r="A12" s="92" t="s">
        <v>106</v>
      </c>
      <c r="B12" s="93" t="s">
        <v>115</v>
      </c>
      <c r="C12" s="100">
        <f>SUM(D12:L12)</f>
        <v>8011492</v>
      </c>
      <c r="D12" s="100">
        <f>D13+D18+D22+D25+D27+D29+D33</f>
        <v>7136651</v>
      </c>
      <c r="E12" s="101">
        <f>E13+E18+E22+E25+E27+E29+E33</f>
        <v>-42300</v>
      </c>
      <c r="F12" s="100">
        <f t="shared" ref="F12:L12" si="1">F13+F18+F22+F25+F27+F29+F33</f>
        <v>136917</v>
      </c>
      <c r="G12" s="101">
        <f t="shared" si="1"/>
        <v>0</v>
      </c>
      <c r="H12" s="100">
        <f t="shared" si="1"/>
        <v>47811</v>
      </c>
      <c r="I12" s="101">
        <f t="shared" si="1"/>
        <v>0</v>
      </c>
      <c r="J12" s="100">
        <f t="shared" si="1"/>
        <v>555015</v>
      </c>
      <c r="K12" s="101">
        <f t="shared" si="1"/>
        <v>0</v>
      </c>
      <c r="L12" s="100">
        <f t="shared" si="1"/>
        <v>177398</v>
      </c>
    </row>
    <row r="13" spans="1:12" ht="25.5" x14ac:dyDescent="0.25">
      <c r="A13" s="62" t="s">
        <v>5</v>
      </c>
      <c r="B13" s="63" t="s">
        <v>136</v>
      </c>
      <c r="C13" s="23">
        <f>SUM(D13:L13)</f>
        <v>4883423</v>
      </c>
      <c r="D13" s="23">
        <f>SUM(D14:D17)</f>
        <v>4674032</v>
      </c>
      <c r="E13" s="24">
        <f t="shared" ref="E13:L13" si="2">SUM(E14:E17)</f>
        <v>0</v>
      </c>
      <c r="F13" s="23">
        <f t="shared" si="2"/>
        <v>136917</v>
      </c>
      <c r="G13" s="24">
        <f t="shared" si="2"/>
        <v>0</v>
      </c>
      <c r="H13" s="23">
        <f t="shared" si="2"/>
        <v>26424</v>
      </c>
      <c r="I13" s="24">
        <f t="shared" si="2"/>
        <v>0</v>
      </c>
      <c r="J13" s="23">
        <f t="shared" si="2"/>
        <v>0</v>
      </c>
      <c r="K13" s="24">
        <f t="shared" si="2"/>
        <v>0</v>
      </c>
      <c r="L13" s="23">
        <f t="shared" si="2"/>
        <v>46050</v>
      </c>
    </row>
    <row r="14" spans="1:12" x14ac:dyDescent="0.25">
      <c r="A14" s="64" t="s">
        <v>6</v>
      </c>
      <c r="B14" s="65" t="s">
        <v>137</v>
      </c>
      <c r="C14" s="27">
        <f>SUM(D14:L14)</f>
        <v>4789794</v>
      </c>
      <c r="D14" s="66">
        <f>4451669+200000+15543-180</f>
        <v>4667032</v>
      </c>
      <c r="E14" s="11">
        <v>0</v>
      </c>
      <c r="F14" s="66">
        <f>99500</f>
        <v>99500</v>
      </c>
      <c r="G14" s="11">
        <v>0</v>
      </c>
      <c r="H14" s="66">
        <v>0</v>
      </c>
      <c r="I14" s="11">
        <v>0</v>
      </c>
      <c r="J14" s="66">
        <v>0</v>
      </c>
      <c r="K14" s="11">
        <v>0</v>
      </c>
      <c r="L14" s="66">
        <f>23262</f>
        <v>23262</v>
      </c>
    </row>
    <row r="15" spans="1:12" ht="38.25" x14ac:dyDescent="0.25">
      <c r="A15" s="67" t="s">
        <v>138</v>
      </c>
      <c r="B15" s="26" t="s">
        <v>152</v>
      </c>
      <c r="C15" s="23">
        <f t="shared" ref="C15:C17" si="3">SUM(D15:L15)</f>
        <v>50876</v>
      </c>
      <c r="D15" s="68">
        <f>7000</f>
        <v>7000</v>
      </c>
      <c r="E15" s="11">
        <v>0</v>
      </c>
      <c r="F15" s="66">
        <f>37417</f>
        <v>37417</v>
      </c>
      <c r="G15" s="11">
        <v>0</v>
      </c>
      <c r="H15" s="66">
        <v>0</v>
      </c>
      <c r="I15" s="11">
        <v>0</v>
      </c>
      <c r="J15" s="66">
        <v>0</v>
      </c>
      <c r="K15" s="11">
        <v>0</v>
      </c>
      <c r="L15" s="68">
        <f>6459</f>
        <v>6459</v>
      </c>
    </row>
    <row r="16" spans="1:12" ht="55.5" hidden="1" customHeight="1" x14ac:dyDescent="0.25">
      <c r="A16" s="80" t="s">
        <v>139</v>
      </c>
      <c r="B16" s="81" t="s">
        <v>472</v>
      </c>
      <c r="C16" s="79">
        <f t="shared" si="3"/>
        <v>0</v>
      </c>
      <c r="D16" s="82"/>
      <c r="E16" s="91"/>
      <c r="F16" s="82"/>
      <c r="G16" s="91"/>
      <c r="H16" s="82"/>
      <c r="I16" s="91"/>
      <c r="J16" s="82"/>
      <c r="K16" s="91"/>
      <c r="L16" s="82"/>
    </row>
    <row r="17" spans="1:12" ht="63.75" x14ac:dyDescent="0.25">
      <c r="A17" s="67" t="s">
        <v>511</v>
      </c>
      <c r="B17" s="26" t="s">
        <v>473</v>
      </c>
      <c r="C17" s="23">
        <f t="shared" si="3"/>
        <v>42753</v>
      </c>
      <c r="D17" s="68">
        <v>0</v>
      </c>
      <c r="E17" s="11">
        <v>0</v>
      </c>
      <c r="F17" s="66">
        <v>0</v>
      </c>
      <c r="G17" s="11">
        <v>0</v>
      </c>
      <c r="H17" s="66">
        <v>26424</v>
      </c>
      <c r="I17" s="11">
        <v>0</v>
      </c>
      <c r="J17" s="66">
        <v>0</v>
      </c>
      <c r="K17" s="11">
        <v>0</v>
      </c>
      <c r="L17" s="68">
        <v>16329</v>
      </c>
    </row>
    <row r="18" spans="1:12" x14ac:dyDescent="0.25">
      <c r="A18" s="62" t="s">
        <v>140</v>
      </c>
      <c r="B18" s="63" t="s">
        <v>474</v>
      </c>
      <c r="C18" s="23">
        <f>SUM(D18:L18)</f>
        <v>434876</v>
      </c>
      <c r="D18" s="23">
        <f>SUM(D19:D21)</f>
        <v>434876</v>
      </c>
      <c r="E18" s="32">
        <f t="shared" ref="E18:L18" si="4">SUM(E19:E21)</f>
        <v>0</v>
      </c>
      <c r="F18" s="27">
        <f t="shared" si="4"/>
        <v>0</v>
      </c>
      <c r="G18" s="32">
        <f t="shared" si="4"/>
        <v>0</v>
      </c>
      <c r="H18" s="27">
        <f t="shared" si="4"/>
        <v>0</v>
      </c>
      <c r="I18" s="32">
        <f t="shared" si="4"/>
        <v>0</v>
      </c>
      <c r="J18" s="27">
        <f t="shared" si="4"/>
        <v>0</v>
      </c>
      <c r="K18" s="24">
        <f t="shared" si="4"/>
        <v>0</v>
      </c>
      <c r="L18" s="23">
        <f t="shared" si="4"/>
        <v>0</v>
      </c>
    </row>
    <row r="19" spans="1:12" ht="38.25" x14ac:dyDescent="0.25">
      <c r="A19" s="67" t="s">
        <v>141</v>
      </c>
      <c r="B19" s="26" t="s">
        <v>153</v>
      </c>
      <c r="C19" s="23">
        <f>SUM(D19:L19)</f>
        <v>45250</v>
      </c>
      <c r="D19" s="66">
        <v>45250</v>
      </c>
      <c r="E19" s="11">
        <v>0</v>
      </c>
      <c r="F19" s="66">
        <v>0</v>
      </c>
      <c r="G19" s="11">
        <v>0</v>
      </c>
      <c r="H19" s="66">
        <v>0</v>
      </c>
      <c r="I19" s="11">
        <v>0</v>
      </c>
      <c r="J19" s="66">
        <v>0</v>
      </c>
      <c r="K19" s="11">
        <v>0</v>
      </c>
      <c r="L19" s="66">
        <v>0</v>
      </c>
    </row>
    <row r="20" spans="1:12" ht="39" customHeight="1" x14ac:dyDescent="0.25">
      <c r="A20" s="67" t="s">
        <v>142</v>
      </c>
      <c r="B20" s="26" t="s">
        <v>343</v>
      </c>
      <c r="C20" s="23">
        <f t="shared" ref="C20:C21" si="5">SUM(D20:L20)</f>
        <v>293041</v>
      </c>
      <c r="D20" s="66">
        <v>293041</v>
      </c>
      <c r="E20" s="11">
        <v>0</v>
      </c>
      <c r="F20" s="66">
        <v>0</v>
      </c>
      <c r="G20" s="11">
        <v>0</v>
      </c>
      <c r="H20" s="66">
        <v>0</v>
      </c>
      <c r="I20" s="11">
        <v>0</v>
      </c>
      <c r="J20" s="66">
        <v>0</v>
      </c>
      <c r="K20" s="11">
        <v>0</v>
      </c>
      <c r="L20" s="66">
        <v>0</v>
      </c>
    </row>
    <row r="21" spans="1:12" ht="38.25" x14ac:dyDescent="0.25">
      <c r="A21" s="67" t="s">
        <v>143</v>
      </c>
      <c r="B21" s="26" t="s">
        <v>475</v>
      </c>
      <c r="C21" s="23">
        <f t="shared" si="5"/>
        <v>96585</v>
      </c>
      <c r="D21" s="66">
        <v>96585</v>
      </c>
      <c r="E21" s="11">
        <v>0</v>
      </c>
      <c r="F21" s="66">
        <v>0</v>
      </c>
      <c r="G21" s="11">
        <v>0</v>
      </c>
      <c r="H21" s="66">
        <v>0</v>
      </c>
      <c r="I21" s="11">
        <v>0</v>
      </c>
      <c r="J21" s="66">
        <v>0</v>
      </c>
      <c r="K21" s="11">
        <v>0</v>
      </c>
      <c r="L21" s="66">
        <v>0</v>
      </c>
    </row>
    <row r="22" spans="1:12" ht="26.25" x14ac:dyDescent="0.25">
      <c r="A22" s="62" t="s">
        <v>144</v>
      </c>
      <c r="B22" s="21" t="s">
        <v>373</v>
      </c>
      <c r="C22" s="23">
        <f>SUM(D22:L22)</f>
        <v>650979</v>
      </c>
      <c r="D22" s="27">
        <f t="shared" ref="D22:L22" si="6">SUM(D23:D24)</f>
        <v>503392</v>
      </c>
      <c r="E22" s="32">
        <f t="shared" si="6"/>
        <v>0</v>
      </c>
      <c r="F22" s="27">
        <f t="shared" si="6"/>
        <v>0</v>
      </c>
      <c r="G22" s="32">
        <f t="shared" si="6"/>
        <v>0</v>
      </c>
      <c r="H22" s="27">
        <f t="shared" si="6"/>
        <v>17862</v>
      </c>
      <c r="I22" s="32">
        <f t="shared" si="6"/>
        <v>0</v>
      </c>
      <c r="J22" s="27">
        <f t="shared" si="6"/>
        <v>0</v>
      </c>
      <c r="K22" s="32">
        <f t="shared" si="6"/>
        <v>0</v>
      </c>
      <c r="L22" s="27">
        <f t="shared" si="6"/>
        <v>129725</v>
      </c>
    </row>
    <row r="23" spans="1:12" ht="25.5" x14ac:dyDescent="0.25">
      <c r="A23" s="67" t="s">
        <v>372</v>
      </c>
      <c r="B23" s="26" t="s">
        <v>159</v>
      </c>
      <c r="C23" s="23">
        <f>SUM(D23:L23)</f>
        <v>493980</v>
      </c>
      <c r="D23" s="66">
        <v>493980</v>
      </c>
      <c r="E23" s="11">
        <v>0</v>
      </c>
      <c r="F23" s="66">
        <v>0</v>
      </c>
      <c r="G23" s="11">
        <v>0</v>
      </c>
      <c r="H23" s="66">
        <v>0</v>
      </c>
      <c r="I23" s="11">
        <v>0</v>
      </c>
      <c r="J23" s="66">
        <v>0</v>
      </c>
      <c r="K23" s="11">
        <v>0</v>
      </c>
      <c r="L23" s="66">
        <v>0</v>
      </c>
    </row>
    <row r="24" spans="1:12" ht="63.75" x14ac:dyDescent="0.25">
      <c r="A24" s="67" t="s">
        <v>374</v>
      </c>
      <c r="B24" s="26" t="s">
        <v>406</v>
      </c>
      <c r="C24" s="23">
        <f>SUM(D24:L24)</f>
        <v>156999</v>
      </c>
      <c r="D24" s="66">
        <v>9412</v>
      </c>
      <c r="E24" s="11">
        <v>0</v>
      </c>
      <c r="F24" s="66">
        <v>0</v>
      </c>
      <c r="G24" s="11">
        <v>0</v>
      </c>
      <c r="H24" s="66">
        <v>17862</v>
      </c>
      <c r="I24" s="11">
        <v>0</v>
      </c>
      <c r="J24" s="66">
        <v>0</v>
      </c>
      <c r="K24" s="11">
        <v>0</v>
      </c>
      <c r="L24" s="68">
        <v>129725</v>
      </c>
    </row>
    <row r="25" spans="1:12" s="18" customFormat="1" ht="25.5" x14ac:dyDescent="0.25">
      <c r="A25" s="119" t="s">
        <v>145</v>
      </c>
      <c r="B25" s="113" t="s">
        <v>476</v>
      </c>
      <c r="C25" s="27">
        <f>SUM(D25:L25)</f>
        <v>3525</v>
      </c>
      <c r="D25" s="27">
        <f>D26</f>
        <v>0</v>
      </c>
      <c r="E25" s="32">
        <f t="shared" ref="E25:L25" si="7">E26</f>
        <v>0</v>
      </c>
      <c r="F25" s="27">
        <f t="shared" si="7"/>
        <v>0</v>
      </c>
      <c r="G25" s="32">
        <f t="shared" si="7"/>
        <v>0</v>
      </c>
      <c r="H25" s="27">
        <f t="shared" si="7"/>
        <v>3525</v>
      </c>
      <c r="I25" s="32">
        <f t="shared" si="7"/>
        <v>0</v>
      </c>
      <c r="J25" s="27">
        <f t="shared" si="7"/>
        <v>0</v>
      </c>
      <c r="K25" s="32">
        <f t="shared" si="7"/>
        <v>0</v>
      </c>
      <c r="L25" s="27">
        <f t="shared" si="7"/>
        <v>0</v>
      </c>
    </row>
    <row r="26" spans="1:12" s="18" customFormat="1" x14ac:dyDescent="0.25">
      <c r="A26" s="64" t="s">
        <v>477</v>
      </c>
      <c r="B26" s="65" t="s">
        <v>154</v>
      </c>
      <c r="C26" s="27">
        <f t="shared" ref="C26:C29" si="8">SUM(D26:L26)</f>
        <v>3525</v>
      </c>
      <c r="D26" s="66">
        <v>0</v>
      </c>
      <c r="E26" s="11">
        <v>0</v>
      </c>
      <c r="F26" s="66">
        <v>0</v>
      </c>
      <c r="G26" s="11">
        <v>0</v>
      </c>
      <c r="H26" s="66">
        <f>3525</f>
        <v>3525</v>
      </c>
      <c r="I26" s="11">
        <v>0</v>
      </c>
      <c r="J26" s="66">
        <v>0</v>
      </c>
      <c r="K26" s="11">
        <v>0</v>
      </c>
      <c r="L26" s="66">
        <v>0</v>
      </c>
    </row>
    <row r="27" spans="1:12" ht="24" customHeight="1" x14ac:dyDescent="0.25">
      <c r="A27" s="70" t="s">
        <v>146</v>
      </c>
      <c r="B27" s="71" t="s">
        <v>479</v>
      </c>
      <c r="C27" s="23">
        <f>SUM(D27:L27)</f>
        <v>270000</v>
      </c>
      <c r="D27" s="27">
        <f>D28</f>
        <v>270000</v>
      </c>
      <c r="E27" s="32">
        <f t="shared" ref="E27" si="9">E28</f>
        <v>0</v>
      </c>
      <c r="F27" s="27">
        <f t="shared" ref="F27" si="10">F28</f>
        <v>0</v>
      </c>
      <c r="G27" s="32">
        <f t="shared" ref="G27" si="11">G28</f>
        <v>0</v>
      </c>
      <c r="H27" s="27">
        <f t="shared" ref="H27" si="12">H28</f>
        <v>0</v>
      </c>
      <c r="I27" s="32">
        <f t="shared" ref="I27" si="13">I28</f>
        <v>0</v>
      </c>
      <c r="J27" s="27">
        <f t="shared" ref="J27" si="14">J28</f>
        <v>0</v>
      </c>
      <c r="K27" s="32">
        <f t="shared" ref="K27" si="15">K28</f>
        <v>0</v>
      </c>
      <c r="L27" s="27">
        <f t="shared" ref="L27" si="16">L28</f>
        <v>0</v>
      </c>
    </row>
    <row r="28" spans="1:12" x14ac:dyDescent="0.25">
      <c r="A28" s="67" t="s">
        <v>478</v>
      </c>
      <c r="B28" s="26" t="s">
        <v>155</v>
      </c>
      <c r="C28" s="23">
        <f t="shared" si="8"/>
        <v>270000</v>
      </c>
      <c r="D28" s="27">
        <v>270000</v>
      </c>
      <c r="E28" s="11">
        <v>0</v>
      </c>
      <c r="F28" s="66">
        <v>0</v>
      </c>
      <c r="G28" s="11">
        <v>0</v>
      </c>
      <c r="H28" s="66">
        <v>0</v>
      </c>
      <c r="I28" s="11">
        <v>0</v>
      </c>
      <c r="J28" s="66">
        <v>0</v>
      </c>
      <c r="K28" s="11">
        <v>0</v>
      </c>
      <c r="L28" s="66">
        <v>0</v>
      </c>
    </row>
    <row r="29" spans="1:12" ht="38.25" x14ac:dyDescent="0.25">
      <c r="A29" s="62" t="s">
        <v>147</v>
      </c>
      <c r="B29" s="63" t="s">
        <v>156</v>
      </c>
      <c r="C29" s="23">
        <f t="shared" si="8"/>
        <v>1608297</v>
      </c>
      <c r="D29" s="27">
        <f>SUM(D30:D32)</f>
        <v>1083959</v>
      </c>
      <c r="E29" s="32">
        <f t="shared" ref="E29:L29" si="17">SUM(E30:E32)</f>
        <v>-32300</v>
      </c>
      <c r="F29" s="27">
        <f t="shared" si="17"/>
        <v>0</v>
      </c>
      <c r="G29" s="32">
        <f t="shared" si="17"/>
        <v>0</v>
      </c>
      <c r="H29" s="27">
        <f t="shared" si="17"/>
        <v>0</v>
      </c>
      <c r="I29" s="32">
        <f t="shared" si="17"/>
        <v>0</v>
      </c>
      <c r="J29" s="27">
        <f t="shared" si="17"/>
        <v>555015</v>
      </c>
      <c r="K29" s="24">
        <f t="shared" si="17"/>
        <v>0</v>
      </c>
      <c r="L29" s="23">
        <f t="shared" si="17"/>
        <v>1623</v>
      </c>
    </row>
    <row r="30" spans="1:12" ht="29.25" customHeight="1" x14ac:dyDescent="0.25">
      <c r="A30" s="67" t="s">
        <v>148</v>
      </c>
      <c r="B30" s="26" t="s">
        <v>320</v>
      </c>
      <c r="C30" s="23">
        <f>SUM(D30:L30)</f>
        <v>990440</v>
      </c>
      <c r="D30" s="66">
        <f>219519+214283</f>
        <v>433802</v>
      </c>
      <c r="E30" s="11">
        <v>0</v>
      </c>
      <c r="F30" s="66">
        <v>0</v>
      </c>
      <c r="G30" s="11">
        <v>0</v>
      </c>
      <c r="H30" s="66">
        <v>0</v>
      </c>
      <c r="I30" s="11">
        <v>0</v>
      </c>
      <c r="J30" s="66">
        <f>637767-82752</f>
        <v>555015</v>
      </c>
      <c r="K30" s="11">
        <v>0</v>
      </c>
      <c r="L30" s="68">
        <v>1623</v>
      </c>
    </row>
    <row r="31" spans="1:12" ht="38.25" x14ac:dyDescent="0.25">
      <c r="A31" s="67" t="s">
        <v>149</v>
      </c>
      <c r="B31" s="26" t="s">
        <v>321</v>
      </c>
      <c r="C31" s="23">
        <f t="shared" ref="C31:C32" si="18">SUM(D31:L31)</f>
        <v>617857</v>
      </c>
      <c r="D31" s="66">
        <v>650157</v>
      </c>
      <c r="E31" s="11">
        <f>-10000-22300</f>
        <v>-32300</v>
      </c>
      <c r="F31" s="66">
        <v>0</v>
      </c>
      <c r="G31" s="11">
        <v>0</v>
      </c>
      <c r="H31" s="66">
        <v>0</v>
      </c>
      <c r="I31" s="11">
        <v>0</v>
      </c>
      <c r="J31" s="66">
        <v>0</v>
      </c>
      <c r="K31" s="11">
        <v>0</v>
      </c>
      <c r="L31" s="66">
        <v>0</v>
      </c>
    </row>
    <row r="32" spans="1:12" ht="25.5" hidden="1" x14ac:dyDescent="0.25">
      <c r="A32" s="80" t="s">
        <v>150</v>
      </c>
      <c r="B32" s="81" t="s">
        <v>157</v>
      </c>
      <c r="C32" s="79">
        <f t="shared" si="18"/>
        <v>0</v>
      </c>
      <c r="D32" s="82">
        <v>0</v>
      </c>
      <c r="E32" s="91">
        <v>0</v>
      </c>
      <c r="F32" s="82">
        <v>0</v>
      </c>
      <c r="G32" s="91">
        <v>0</v>
      </c>
      <c r="H32" s="82">
        <v>0</v>
      </c>
      <c r="I32" s="91">
        <v>0</v>
      </c>
      <c r="J32" s="82">
        <v>0</v>
      </c>
      <c r="K32" s="91">
        <v>0</v>
      </c>
      <c r="L32" s="82">
        <v>0</v>
      </c>
    </row>
    <row r="33" spans="1:12" ht="38.25" x14ac:dyDescent="0.25">
      <c r="A33" s="62" t="s">
        <v>151</v>
      </c>
      <c r="B33" s="63" t="s">
        <v>481</v>
      </c>
      <c r="C33" s="27">
        <f>SUM(D33:L33)</f>
        <v>160392</v>
      </c>
      <c r="D33" s="27">
        <f>D34</f>
        <v>170392</v>
      </c>
      <c r="E33" s="32">
        <f t="shared" ref="E33" si="19">E34</f>
        <v>-10000</v>
      </c>
      <c r="F33" s="27">
        <f t="shared" ref="F33" si="20">F34</f>
        <v>0</v>
      </c>
      <c r="G33" s="32">
        <f t="shared" ref="G33" si="21">G34</f>
        <v>0</v>
      </c>
      <c r="H33" s="27">
        <f t="shared" ref="H33" si="22">H34</f>
        <v>0</v>
      </c>
      <c r="I33" s="32">
        <f t="shared" ref="I33" si="23">I34</f>
        <v>0</v>
      </c>
      <c r="J33" s="27">
        <f t="shared" ref="J33" si="24">J34</f>
        <v>0</v>
      </c>
      <c r="K33" s="32">
        <f t="shared" ref="K33" si="25">K34</f>
        <v>0</v>
      </c>
      <c r="L33" s="27">
        <f t="shared" ref="L33" si="26">L34</f>
        <v>0</v>
      </c>
    </row>
    <row r="34" spans="1:12" ht="25.5" x14ac:dyDescent="0.25">
      <c r="A34" s="67" t="s">
        <v>480</v>
      </c>
      <c r="B34" s="26" t="s">
        <v>158</v>
      </c>
      <c r="C34" s="23">
        <f t="shared" ref="C34" si="27">SUM(D34:L34)</f>
        <v>160392</v>
      </c>
      <c r="D34" s="66">
        <f>500000-127355-202253</f>
        <v>170392</v>
      </c>
      <c r="E34" s="11">
        <v>-10000</v>
      </c>
      <c r="F34" s="66">
        <v>0</v>
      </c>
      <c r="G34" s="11">
        <v>0</v>
      </c>
      <c r="H34" s="66">
        <v>0</v>
      </c>
      <c r="I34" s="11">
        <v>0</v>
      </c>
      <c r="J34" s="66">
        <v>0</v>
      </c>
      <c r="K34" s="11">
        <v>0</v>
      </c>
      <c r="L34" s="66">
        <v>0</v>
      </c>
    </row>
    <row r="35" spans="1:12" x14ac:dyDescent="0.25">
      <c r="A35" s="92" t="s">
        <v>107</v>
      </c>
      <c r="B35" s="93" t="s">
        <v>116</v>
      </c>
      <c r="C35" s="100">
        <f>SUM(D35:L35)</f>
        <v>3926596</v>
      </c>
      <c r="D35" s="100">
        <f>D36+D39</f>
        <v>3488212</v>
      </c>
      <c r="E35" s="101">
        <f t="shared" ref="E35:L35" si="28">E36+E39</f>
        <v>-15001</v>
      </c>
      <c r="F35" s="100">
        <f t="shared" si="28"/>
        <v>143300</v>
      </c>
      <c r="G35" s="101">
        <f t="shared" si="28"/>
        <v>0</v>
      </c>
      <c r="H35" s="100">
        <f t="shared" si="28"/>
        <v>216376</v>
      </c>
      <c r="I35" s="101">
        <f t="shared" si="28"/>
        <v>0</v>
      </c>
      <c r="J35" s="100">
        <f t="shared" si="28"/>
        <v>0</v>
      </c>
      <c r="K35" s="101">
        <f t="shared" si="28"/>
        <v>0</v>
      </c>
      <c r="L35" s="100">
        <f t="shared" si="28"/>
        <v>93709</v>
      </c>
    </row>
    <row r="36" spans="1:12" x14ac:dyDescent="0.25">
      <c r="A36" s="62" t="s">
        <v>482</v>
      </c>
      <c r="B36" s="63" t="s">
        <v>483</v>
      </c>
      <c r="C36" s="27">
        <f>SUM(D36:L36)</f>
        <v>3537256</v>
      </c>
      <c r="D36" s="27">
        <f>D37+D38</f>
        <v>3086452</v>
      </c>
      <c r="E36" s="32">
        <f>E37+E38</f>
        <v>0</v>
      </c>
      <c r="F36" s="27">
        <f t="shared" ref="F36:L36" si="29">F37+F38</f>
        <v>143300</v>
      </c>
      <c r="G36" s="32">
        <f t="shared" si="29"/>
        <v>0</v>
      </c>
      <c r="H36" s="27">
        <f t="shared" si="29"/>
        <v>216376</v>
      </c>
      <c r="I36" s="32">
        <f t="shared" si="29"/>
        <v>0</v>
      </c>
      <c r="J36" s="27">
        <f t="shared" si="29"/>
        <v>0</v>
      </c>
      <c r="K36" s="32">
        <f t="shared" si="29"/>
        <v>0</v>
      </c>
      <c r="L36" s="27">
        <f t="shared" si="29"/>
        <v>91128</v>
      </c>
    </row>
    <row r="37" spans="1:12" ht="30" customHeight="1" x14ac:dyDescent="0.25">
      <c r="A37" s="67" t="s">
        <v>836</v>
      </c>
      <c r="B37" s="26" t="s">
        <v>344</v>
      </c>
      <c r="C37" s="23">
        <f t="shared" ref="C37:C50" si="30">SUM(D37:L37)</f>
        <v>3250471</v>
      </c>
      <c r="D37" s="68">
        <f>2859035-42945+157008</f>
        <v>2973098</v>
      </c>
      <c r="E37" s="11">
        <v>0</v>
      </c>
      <c r="F37" s="66">
        <v>143300</v>
      </c>
      <c r="G37" s="11">
        <v>0</v>
      </c>
      <c r="H37" s="66">
        <v>42945</v>
      </c>
      <c r="I37" s="11">
        <v>0</v>
      </c>
      <c r="J37" s="66">
        <v>0</v>
      </c>
      <c r="K37" s="11">
        <v>0</v>
      </c>
      <c r="L37" s="68">
        <v>91128</v>
      </c>
    </row>
    <row r="38" spans="1:12" ht="51" x14ac:dyDescent="0.25">
      <c r="A38" s="67" t="s">
        <v>837</v>
      </c>
      <c r="B38" s="26" t="s">
        <v>838</v>
      </c>
      <c r="C38" s="23">
        <f t="shared" ref="C38" si="31">SUM(D38:L38)</f>
        <v>286785</v>
      </c>
      <c r="D38" s="68">
        <f>113354</f>
        <v>113354</v>
      </c>
      <c r="E38" s="11">
        <v>0</v>
      </c>
      <c r="F38" s="66">
        <v>0</v>
      </c>
      <c r="G38" s="11">
        <v>0</v>
      </c>
      <c r="H38" s="66">
        <f>173431</f>
        <v>173431</v>
      </c>
      <c r="I38" s="11">
        <v>0</v>
      </c>
      <c r="J38" s="66">
        <v>0</v>
      </c>
      <c r="K38" s="11">
        <v>0</v>
      </c>
      <c r="L38" s="68">
        <v>0</v>
      </c>
    </row>
    <row r="39" spans="1:12" ht="37.5" customHeight="1" x14ac:dyDescent="0.25">
      <c r="A39" s="62" t="s">
        <v>160</v>
      </c>
      <c r="B39" s="63" t="s">
        <v>162</v>
      </c>
      <c r="C39" s="23">
        <f t="shared" si="30"/>
        <v>389340</v>
      </c>
      <c r="D39" s="23">
        <f>SUM(D40:D42)</f>
        <v>401760</v>
      </c>
      <c r="E39" s="24">
        <f t="shared" ref="E39:L39" si="32">SUM(E40:E42)</f>
        <v>-15001</v>
      </c>
      <c r="F39" s="23">
        <f t="shared" si="32"/>
        <v>0</v>
      </c>
      <c r="G39" s="24">
        <f t="shared" si="32"/>
        <v>0</v>
      </c>
      <c r="H39" s="23">
        <f t="shared" si="32"/>
        <v>0</v>
      </c>
      <c r="I39" s="24">
        <f t="shared" si="32"/>
        <v>0</v>
      </c>
      <c r="J39" s="23">
        <f t="shared" si="32"/>
        <v>0</v>
      </c>
      <c r="K39" s="24">
        <f t="shared" si="32"/>
        <v>0</v>
      </c>
      <c r="L39" s="23">
        <f t="shared" si="32"/>
        <v>2581</v>
      </c>
    </row>
    <row r="40" spans="1:12" ht="37.5" customHeight="1" x14ac:dyDescent="0.25">
      <c r="A40" s="67" t="s">
        <v>161</v>
      </c>
      <c r="B40" s="26" t="s">
        <v>345</v>
      </c>
      <c r="C40" s="23">
        <f t="shared" si="30"/>
        <v>386759</v>
      </c>
      <c r="D40" s="68">
        <f>426760-25000</f>
        <v>401760</v>
      </c>
      <c r="E40" s="11">
        <v>-15001</v>
      </c>
      <c r="F40" s="66">
        <v>0</v>
      </c>
      <c r="G40" s="11">
        <v>0</v>
      </c>
      <c r="H40" s="66">
        <v>0</v>
      </c>
      <c r="I40" s="11">
        <v>0</v>
      </c>
      <c r="J40" s="66">
        <v>0</v>
      </c>
      <c r="K40" s="11">
        <v>0</v>
      </c>
      <c r="L40" s="66">
        <v>0</v>
      </c>
    </row>
    <row r="41" spans="1:12" ht="54.75" customHeight="1" x14ac:dyDescent="0.25">
      <c r="A41" s="94" t="s">
        <v>380</v>
      </c>
      <c r="B41" s="95" t="s">
        <v>409</v>
      </c>
      <c r="C41" s="23">
        <f t="shared" ref="C41" si="33">SUM(D41:L41)</f>
        <v>2581</v>
      </c>
      <c r="D41" s="37">
        <v>0</v>
      </c>
      <c r="E41" s="11">
        <v>0</v>
      </c>
      <c r="F41" s="66">
        <v>0</v>
      </c>
      <c r="G41" s="11">
        <v>0</v>
      </c>
      <c r="H41" s="37">
        <v>0</v>
      </c>
      <c r="I41" s="11">
        <v>0</v>
      </c>
      <c r="J41" s="66">
        <v>0</v>
      </c>
      <c r="K41" s="11">
        <v>0</v>
      </c>
      <c r="L41" s="37">
        <v>2581</v>
      </c>
    </row>
    <row r="42" spans="1:12" hidden="1" x14ac:dyDescent="0.25">
      <c r="A42" s="57"/>
      <c r="B42" s="58"/>
      <c r="C42" s="79">
        <f t="shared" si="30"/>
        <v>0</v>
      </c>
      <c r="D42" s="82"/>
      <c r="E42" s="91"/>
      <c r="F42" s="82"/>
      <c r="G42" s="91"/>
      <c r="H42" s="82"/>
      <c r="I42" s="91"/>
      <c r="J42" s="82"/>
      <c r="K42" s="91"/>
      <c r="L42" s="82"/>
    </row>
    <row r="43" spans="1:12" x14ac:dyDescent="0.25">
      <c r="A43" s="92" t="s">
        <v>108</v>
      </c>
      <c r="B43" s="93" t="s">
        <v>117</v>
      </c>
      <c r="C43" s="100">
        <f t="shared" si="30"/>
        <v>26462829</v>
      </c>
      <c r="D43" s="100">
        <f>D44+D51+D56+D60</f>
        <v>15076973</v>
      </c>
      <c r="E43" s="101">
        <f t="shared" ref="E43:L43" si="34">E44+E51+E56+E60</f>
        <v>10000</v>
      </c>
      <c r="F43" s="100">
        <f t="shared" si="34"/>
        <v>45600</v>
      </c>
      <c r="G43" s="101">
        <f t="shared" si="34"/>
        <v>0</v>
      </c>
      <c r="H43" s="100">
        <f t="shared" si="34"/>
        <v>6685886</v>
      </c>
      <c r="I43" s="101">
        <f t="shared" si="34"/>
        <v>0</v>
      </c>
      <c r="J43" s="100">
        <f t="shared" si="34"/>
        <v>24154</v>
      </c>
      <c r="K43" s="101">
        <f t="shared" si="34"/>
        <v>0</v>
      </c>
      <c r="L43" s="100">
        <f t="shared" si="34"/>
        <v>4620216</v>
      </c>
    </row>
    <row r="44" spans="1:12" x14ac:dyDescent="0.25">
      <c r="A44" s="62" t="s">
        <v>163</v>
      </c>
      <c r="B44" s="63" t="s">
        <v>171</v>
      </c>
      <c r="C44" s="23">
        <f>SUM(D44:L44)</f>
        <v>23445982</v>
      </c>
      <c r="D44" s="23">
        <f>SUM(D45:D50)</f>
        <v>14519990</v>
      </c>
      <c r="E44" s="24">
        <f t="shared" ref="E44:L44" si="35">SUM(E45:E50)</f>
        <v>0</v>
      </c>
      <c r="F44" s="23">
        <f t="shared" si="35"/>
        <v>0</v>
      </c>
      <c r="G44" s="24">
        <f t="shared" si="35"/>
        <v>0</v>
      </c>
      <c r="H44" s="23">
        <f t="shared" si="35"/>
        <v>5612463</v>
      </c>
      <c r="I44" s="24">
        <f t="shared" si="35"/>
        <v>0</v>
      </c>
      <c r="J44" s="23">
        <f t="shared" si="35"/>
        <v>0</v>
      </c>
      <c r="K44" s="24">
        <f t="shared" si="35"/>
        <v>0</v>
      </c>
      <c r="L44" s="23">
        <f t="shared" si="35"/>
        <v>3313529</v>
      </c>
    </row>
    <row r="45" spans="1:12" ht="38.25" x14ac:dyDescent="0.25">
      <c r="A45" s="67" t="s">
        <v>164</v>
      </c>
      <c r="B45" s="26" t="s">
        <v>322</v>
      </c>
      <c r="C45" s="23">
        <f t="shared" si="30"/>
        <v>4427291</v>
      </c>
      <c r="D45" s="68">
        <f>1895954+1090769</f>
        <v>2986723</v>
      </c>
      <c r="E45" s="11">
        <v>0</v>
      </c>
      <c r="F45" s="66">
        <v>0</v>
      </c>
      <c r="G45" s="11">
        <v>0</v>
      </c>
      <c r="H45" s="66">
        <v>1369537</v>
      </c>
      <c r="I45" s="11">
        <v>0</v>
      </c>
      <c r="J45" s="66">
        <v>0</v>
      </c>
      <c r="K45" s="11">
        <v>0</v>
      </c>
      <c r="L45" s="66">
        <v>71031</v>
      </c>
    </row>
    <row r="46" spans="1:12" ht="38.25" x14ac:dyDescent="0.25">
      <c r="A46" s="67" t="s">
        <v>165</v>
      </c>
      <c r="B46" s="26" t="s">
        <v>172</v>
      </c>
      <c r="C46" s="23">
        <f t="shared" si="30"/>
        <v>3017499</v>
      </c>
      <c r="D46" s="68">
        <f>1566794+502335</f>
        <v>2069129</v>
      </c>
      <c r="E46" s="11">
        <v>0</v>
      </c>
      <c r="F46" s="66">
        <v>0</v>
      </c>
      <c r="G46" s="11">
        <v>0</v>
      </c>
      <c r="H46" s="66">
        <v>854446</v>
      </c>
      <c r="I46" s="11">
        <v>0</v>
      </c>
      <c r="J46" s="66">
        <v>0</v>
      </c>
      <c r="K46" s="11">
        <v>0</v>
      </c>
      <c r="L46" s="68">
        <v>93924</v>
      </c>
    </row>
    <row r="47" spans="1:12" ht="54" customHeight="1" x14ac:dyDescent="0.25">
      <c r="A47" s="64" t="s">
        <v>400</v>
      </c>
      <c r="B47" s="65" t="s">
        <v>399</v>
      </c>
      <c r="C47" s="23">
        <f t="shared" si="30"/>
        <v>9755809</v>
      </c>
      <c r="D47" s="66">
        <v>6436233</v>
      </c>
      <c r="E47" s="11">
        <v>0</v>
      </c>
      <c r="F47" s="66">
        <v>0</v>
      </c>
      <c r="G47" s="11">
        <v>0</v>
      </c>
      <c r="H47" s="66">
        <v>895406</v>
      </c>
      <c r="I47" s="11">
        <v>0</v>
      </c>
      <c r="J47" s="66">
        <v>0</v>
      </c>
      <c r="K47" s="11">
        <v>0</v>
      </c>
      <c r="L47" s="66">
        <v>2424170</v>
      </c>
    </row>
    <row r="48" spans="1:12" ht="51" x14ac:dyDescent="0.25">
      <c r="A48" s="64" t="s">
        <v>425</v>
      </c>
      <c r="B48" s="65" t="s">
        <v>426</v>
      </c>
      <c r="C48" s="23">
        <f t="shared" si="30"/>
        <v>4752896</v>
      </c>
      <c r="D48" s="66">
        <f>2777905+250000</f>
        <v>3027905</v>
      </c>
      <c r="E48" s="11">
        <v>0</v>
      </c>
      <c r="F48" s="66">
        <v>0</v>
      </c>
      <c r="G48" s="11">
        <v>0</v>
      </c>
      <c r="H48" s="66">
        <v>1000587</v>
      </c>
      <c r="I48" s="11">
        <v>0</v>
      </c>
      <c r="J48" s="66">
        <v>0</v>
      </c>
      <c r="K48" s="11">
        <v>0</v>
      </c>
      <c r="L48" s="66">
        <v>724404</v>
      </c>
    </row>
    <row r="49" spans="1:12" ht="51" x14ac:dyDescent="0.25">
      <c r="A49" s="64" t="s">
        <v>806</v>
      </c>
      <c r="B49" s="65" t="s">
        <v>807</v>
      </c>
      <c r="C49" s="23">
        <f t="shared" ref="C49" si="36">SUM(D49:L49)</f>
        <v>1192487</v>
      </c>
      <c r="D49" s="66">
        <f>1182693-1182693</f>
        <v>0</v>
      </c>
      <c r="E49" s="11">
        <v>0</v>
      </c>
      <c r="F49" s="66">
        <v>0</v>
      </c>
      <c r="G49" s="11">
        <v>0</v>
      </c>
      <c r="H49" s="66">
        <v>1192487</v>
      </c>
      <c r="I49" s="11">
        <v>0</v>
      </c>
      <c r="J49" s="66">
        <v>0</v>
      </c>
      <c r="K49" s="11">
        <v>0</v>
      </c>
      <c r="L49" s="66">
        <v>0</v>
      </c>
    </row>
    <row r="50" spans="1:12" ht="51" x14ac:dyDescent="0.25">
      <c r="A50" s="64" t="s">
        <v>839</v>
      </c>
      <c r="B50" s="65" t="s">
        <v>840</v>
      </c>
      <c r="C50" s="23">
        <f t="shared" si="30"/>
        <v>300000</v>
      </c>
      <c r="D50" s="66">
        <v>0</v>
      </c>
      <c r="E50" s="11">
        <v>0</v>
      </c>
      <c r="F50" s="66">
        <v>0</v>
      </c>
      <c r="G50" s="11">
        <v>0</v>
      </c>
      <c r="H50" s="66">
        <f>300000</f>
        <v>300000</v>
      </c>
      <c r="I50" s="11">
        <v>0</v>
      </c>
      <c r="J50" s="66">
        <v>0</v>
      </c>
      <c r="K50" s="11">
        <v>0</v>
      </c>
      <c r="L50" s="66">
        <v>0</v>
      </c>
    </row>
    <row r="51" spans="1:12" x14ac:dyDescent="0.25">
      <c r="A51" s="62" t="s">
        <v>166</v>
      </c>
      <c r="B51" s="63" t="s">
        <v>173</v>
      </c>
      <c r="C51" s="23">
        <f t="shared" ref="C51:C61" si="37">SUM(D51:L51)</f>
        <v>1499702</v>
      </c>
      <c r="D51" s="23">
        <f t="shared" ref="D51:L51" si="38">SUM(D52:D55)</f>
        <v>379864</v>
      </c>
      <c r="E51" s="32">
        <f t="shared" si="38"/>
        <v>0</v>
      </c>
      <c r="F51" s="27">
        <f t="shared" si="38"/>
        <v>45600</v>
      </c>
      <c r="G51" s="32">
        <f t="shared" si="38"/>
        <v>0</v>
      </c>
      <c r="H51" s="27">
        <f t="shared" si="38"/>
        <v>959319</v>
      </c>
      <c r="I51" s="32">
        <f t="shared" si="38"/>
        <v>0</v>
      </c>
      <c r="J51" s="27">
        <f t="shared" si="38"/>
        <v>24154</v>
      </c>
      <c r="K51" s="32">
        <f t="shared" si="38"/>
        <v>0</v>
      </c>
      <c r="L51" s="23">
        <f t="shared" si="38"/>
        <v>90765</v>
      </c>
    </row>
    <row r="52" spans="1:12" ht="25.5" x14ac:dyDescent="0.25">
      <c r="A52" s="67" t="s">
        <v>167</v>
      </c>
      <c r="B52" s="26" t="s">
        <v>346</v>
      </c>
      <c r="C52" s="23">
        <f t="shared" si="37"/>
        <v>444409</v>
      </c>
      <c r="D52" s="68">
        <v>374064</v>
      </c>
      <c r="E52" s="11">
        <v>0</v>
      </c>
      <c r="F52" s="66">
        <f>45600</f>
        <v>45600</v>
      </c>
      <c r="G52" s="11">
        <v>0</v>
      </c>
      <c r="H52" s="66">
        <v>0</v>
      </c>
      <c r="I52" s="11">
        <v>0</v>
      </c>
      <c r="J52" s="66">
        <f>24154</f>
        <v>24154</v>
      </c>
      <c r="K52" s="11">
        <v>0</v>
      </c>
      <c r="L52" s="68">
        <v>591</v>
      </c>
    </row>
    <row r="53" spans="1:12" ht="51" x14ac:dyDescent="0.25">
      <c r="A53" s="67" t="s">
        <v>369</v>
      </c>
      <c r="B53" s="26" t="s">
        <v>408</v>
      </c>
      <c r="C53" s="23">
        <f t="shared" si="37"/>
        <v>10000</v>
      </c>
      <c r="D53" s="68">
        <v>0</v>
      </c>
      <c r="E53" s="11">
        <v>0</v>
      </c>
      <c r="F53" s="66">
        <v>0</v>
      </c>
      <c r="G53" s="11">
        <v>0</v>
      </c>
      <c r="H53" s="66">
        <v>0</v>
      </c>
      <c r="I53" s="11">
        <v>0</v>
      </c>
      <c r="J53" s="66">
        <v>0</v>
      </c>
      <c r="K53" s="11">
        <v>0</v>
      </c>
      <c r="L53" s="68">
        <v>10000</v>
      </c>
    </row>
    <row r="54" spans="1:12" ht="65.25" customHeight="1" x14ac:dyDescent="0.25">
      <c r="A54" s="64" t="s">
        <v>401</v>
      </c>
      <c r="B54" s="65" t="s">
        <v>402</v>
      </c>
      <c r="C54" s="27">
        <f t="shared" ref="C54" si="39">SUM(D54:L54)</f>
        <v>1045293</v>
      </c>
      <c r="D54" s="66">
        <f>802632-796832</f>
        <v>5800</v>
      </c>
      <c r="E54" s="11">
        <v>0</v>
      </c>
      <c r="F54" s="66">
        <v>0</v>
      </c>
      <c r="G54" s="11">
        <v>0</v>
      </c>
      <c r="H54" s="66">
        <f>946023+13296</f>
        <v>959319</v>
      </c>
      <c r="I54" s="11">
        <v>0</v>
      </c>
      <c r="J54" s="66">
        <v>0</v>
      </c>
      <c r="K54" s="11">
        <v>0</v>
      </c>
      <c r="L54" s="66">
        <v>80174</v>
      </c>
    </row>
    <row r="55" spans="1:12" hidden="1" x14ac:dyDescent="0.25">
      <c r="A55" s="57"/>
      <c r="B55" s="58"/>
      <c r="C55" s="79">
        <f t="shared" si="37"/>
        <v>0</v>
      </c>
      <c r="D55" s="82"/>
      <c r="E55" s="91"/>
      <c r="F55" s="82"/>
      <c r="G55" s="91"/>
      <c r="H55" s="82"/>
      <c r="I55" s="91"/>
      <c r="J55" s="82"/>
      <c r="K55" s="91"/>
      <c r="L55" s="82"/>
    </row>
    <row r="56" spans="1:12" x14ac:dyDescent="0.25">
      <c r="A56" s="70" t="s">
        <v>384</v>
      </c>
      <c r="B56" s="71" t="s">
        <v>385</v>
      </c>
      <c r="C56" s="27">
        <f>SUM(D56:L56)</f>
        <v>1363745</v>
      </c>
      <c r="D56" s="27">
        <f t="shared" ref="D56:L56" si="40">SUM(D57:D59)</f>
        <v>33719</v>
      </c>
      <c r="E56" s="32">
        <f t="shared" si="40"/>
        <v>0</v>
      </c>
      <c r="F56" s="27">
        <f t="shared" si="40"/>
        <v>0</v>
      </c>
      <c r="G56" s="32">
        <f t="shared" si="40"/>
        <v>0</v>
      </c>
      <c r="H56" s="27">
        <f t="shared" si="40"/>
        <v>114104</v>
      </c>
      <c r="I56" s="32">
        <f t="shared" si="40"/>
        <v>0</v>
      </c>
      <c r="J56" s="27">
        <f t="shared" si="40"/>
        <v>0</v>
      </c>
      <c r="K56" s="32">
        <f t="shared" si="40"/>
        <v>0</v>
      </c>
      <c r="L56" s="27">
        <f t="shared" si="40"/>
        <v>1215922</v>
      </c>
    </row>
    <row r="57" spans="1:12" ht="66.75" customHeight="1" x14ac:dyDescent="0.25">
      <c r="A57" s="64" t="s">
        <v>386</v>
      </c>
      <c r="B57" s="65" t="s">
        <v>387</v>
      </c>
      <c r="C57" s="27">
        <f t="shared" ref="C57:C58" si="41">SUM(D57:L57)</f>
        <v>1040402</v>
      </c>
      <c r="D57" s="66">
        <v>0</v>
      </c>
      <c r="E57" s="11">
        <v>0</v>
      </c>
      <c r="F57" s="66">
        <v>0</v>
      </c>
      <c r="G57" s="11">
        <v>0</v>
      </c>
      <c r="H57" s="66">
        <v>114104</v>
      </c>
      <c r="I57" s="11">
        <v>0</v>
      </c>
      <c r="J57" s="66">
        <v>0</v>
      </c>
      <c r="K57" s="11">
        <v>0</v>
      </c>
      <c r="L57" s="66">
        <v>926298</v>
      </c>
    </row>
    <row r="58" spans="1:12" ht="39.75" customHeight="1" x14ac:dyDescent="0.25">
      <c r="A58" s="94" t="s">
        <v>388</v>
      </c>
      <c r="B58" s="95" t="s">
        <v>389</v>
      </c>
      <c r="C58" s="90">
        <f t="shared" si="41"/>
        <v>323343</v>
      </c>
      <c r="D58" s="37">
        <v>33719</v>
      </c>
      <c r="E58" s="11">
        <v>0</v>
      </c>
      <c r="F58" s="37">
        <v>0</v>
      </c>
      <c r="G58" s="102">
        <v>0</v>
      </c>
      <c r="H58" s="37">
        <v>0</v>
      </c>
      <c r="I58" s="102">
        <v>0</v>
      </c>
      <c r="J58" s="37">
        <v>0</v>
      </c>
      <c r="K58" s="102">
        <v>0</v>
      </c>
      <c r="L58" s="37">
        <v>289624</v>
      </c>
    </row>
    <row r="59" spans="1:12" hidden="1" x14ac:dyDescent="0.25">
      <c r="A59" s="57"/>
      <c r="B59" s="58"/>
      <c r="C59" s="79">
        <f t="shared" ref="C59" si="42">SUM(D59:L59)</f>
        <v>0</v>
      </c>
      <c r="D59" s="82">
        <v>0</v>
      </c>
      <c r="E59" s="91"/>
      <c r="F59" s="82"/>
      <c r="G59" s="91"/>
      <c r="H59" s="82"/>
      <c r="I59" s="91"/>
      <c r="J59" s="82"/>
      <c r="K59" s="91"/>
      <c r="L59" s="82"/>
    </row>
    <row r="60" spans="1:12" ht="25.5" x14ac:dyDescent="0.25">
      <c r="A60" s="62" t="s">
        <v>168</v>
      </c>
      <c r="B60" s="63" t="s">
        <v>174</v>
      </c>
      <c r="C60" s="23">
        <f t="shared" si="37"/>
        <v>153400</v>
      </c>
      <c r="D60" s="23">
        <f t="shared" ref="D60:L60" si="43">SUM(D61:D63)</f>
        <v>143400</v>
      </c>
      <c r="E60" s="32">
        <f t="shared" si="43"/>
        <v>10000</v>
      </c>
      <c r="F60" s="27">
        <f t="shared" si="43"/>
        <v>0</v>
      </c>
      <c r="G60" s="32">
        <f t="shared" si="43"/>
        <v>0</v>
      </c>
      <c r="H60" s="27">
        <f t="shared" si="43"/>
        <v>0</v>
      </c>
      <c r="I60" s="32">
        <f t="shared" si="43"/>
        <v>0</v>
      </c>
      <c r="J60" s="27">
        <f t="shared" si="43"/>
        <v>0</v>
      </c>
      <c r="K60" s="32">
        <f t="shared" si="43"/>
        <v>0</v>
      </c>
      <c r="L60" s="23">
        <f t="shared" si="43"/>
        <v>0</v>
      </c>
    </row>
    <row r="61" spans="1:12" ht="38.25" x14ac:dyDescent="0.25">
      <c r="A61" s="67" t="s">
        <v>169</v>
      </c>
      <c r="B61" s="26" t="s">
        <v>175</v>
      </c>
      <c r="C61" s="23">
        <f t="shared" si="37"/>
        <v>49900</v>
      </c>
      <c r="D61" s="68">
        <f>69900-30000</f>
        <v>39900</v>
      </c>
      <c r="E61" s="11">
        <v>10000</v>
      </c>
      <c r="F61" s="66">
        <v>0</v>
      </c>
      <c r="G61" s="11">
        <v>0</v>
      </c>
      <c r="H61" s="66">
        <v>0</v>
      </c>
      <c r="I61" s="11">
        <v>0</v>
      </c>
      <c r="J61" s="66">
        <v>0</v>
      </c>
      <c r="K61" s="11">
        <v>0</v>
      </c>
      <c r="L61" s="66">
        <v>0</v>
      </c>
    </row>
    <row r="62" spans="1:12" ht="25.5" x14ac:dyDescent="0.25">
      <c r="A62" s="67" t="s">
        <v>170</v>
      </c>
      <c r="B62" s="26" t="s">
        <v>176</v>
      </c>
      <c r="C62" s="23">
        <f t="shared" ref="C62" si="44">SUM(D62:L62)</f>
        <v>3500</v>
      </c>
      <c r="D62" s="68">
        <f>3500</f>
        <v>3500</v>
      </c>
      <c r="E62" s="11">
        <v>0</v>
      </c>
      <c r="F62" s="66">
        <v>0</v>
      </c>
      <c r="G62" s="11">
        <v>0</v>
      </c>
      <c r="H62" s="66">
        <v>0</v>
      </c>
      <c r="I62" s="11">
        <v>0</v>
      </c>
      <c r="J62" s="66">
        <v>0</v>
      </c>
      <c r="K62" s="11">
        <v>0</v>
      </c>
      <c r="L62" s="66">
        <v>0</v>
      </c>
    </row>
    <row r="63" spans="1:12" ht="51" x14ac:dyDescent="0.25">
      <c r="A63" s="67" t="s">
        <v>841</v>
      </c>
      <c r="B63" s="26" t="s">
        <v>842</v>
      </c>
      <c r="C63" s="23">
        <f t="shared" ref="C63" si="45">SUM(D63:L63)</f>
        <v>100000</v>
      </c>
      <c r="D63" s="68">
        <f>100000</f>
        <v>100000</v>
      </c>
      <c r="E63" s="11">
        <v>0</v>
      </c>
      <c r="F63" s="66">
        <v>0</v>
      </c>
      <c r="G63" s="11">
        <v>0</v>
      </c>
      <c r="H63" s="66">
        <v>0</v>
      </c>
      <c r="I63" s="11">
        <v>0</v>
      </c>
      <c r="J63" s="66">
        <v>0</v>
      </c>
      <c r="K63" s="11">
        <v>0</v>
      </c>
      <c r="L63" s="66">
        <v>0</v>
      </c>
    </row>
    <row r="64" spans="1:12" x14ac:dyDescent="0.25">
      <c r="A64" s="92" t="s">
        <v>109</v>
      </c>
      <c r="B64" s="93" t="s">
        <v>118</v>
      </c>
      <c r="C64" s="100">
        <f t="shared" ref="C64:C75" si="46">SUM(D64:L64)</f>
        <v>5116963</v>
      </c>
      <c r="D64" s="100">
        <f>D65+D68+D70+D73</f>
        <v>3402907</v>
      </c>
      <c r="E64" s="101">
        <f>E65+E68+E70+E73</f>
        <v>0</v>
      </c>
      <c r="F64" s="100">
        <f t="shared" ref="F64:L64" si="47">F65+F68+F70+F73</f>
        <v>0</v>
      </c>
      <c r="G64" s="101">
        <f t="shared" si="47"/>
        <v>0</v>
      </c>
      <c r="H64" s="100">
        <f t="shared" si="47"/>
        <v>1682234</v>
      </c>
      <c r="I64" s="101">
        <f t="shared" si="47"/>
        <v>0</v>
      </c>
      <c r="J64" s="100">
        <f t="shared" si="47"/>
        <v>0</v>
      </c>
      <c r="K64" s="101">
        <f t="shared" si="47"/>
        <v>0</v>
      </c>
      <c r="L64" s="100">
        <f t="shared" si="47"/>
        <v>31822</v>
      </c>
    </row>
    <row r="65" spans="1:12" x14ac:dyDescent="0.25">
      <c r="A65" s="62" t="s">
        <v>177</v>
      </c>
      <c r="B65" s="63" t="s">
        <v>183</v>
      </c>
      <c r="C65" s="23">
        <f t="shared" si="46"/>
        <v>1709541</v>
      </c>
      <c r="D65" s="23">
        <f>SUM(D66:D67)</f>
        <v>1709541</v>
      </c>
      <c r="E65" s="24">
        <f t="shared" ref="E65:L65" si="48">SUM(E66:E67)</f>
        <v>0</v>
      </c>
      <c r="F65" s="23">
        <f t="shared" si="48"/>
        <v>0</v>
      </c>
      <c r="G65" s="24">
        <f t="shared" si="48"/>
        <v>0</v>
      </c>
      <c r="H65" s="23">
        <f t="shared" si="48"/>
        <v>0</v>
      </c>
      <c r="I65" s="24">
        <f t="shared" si="48"/>
        <v>0</v>
      </c>
      <c r="J65" s="23">
        <f t="shared" si="48"/>
        <v>0</v>
      </c>
      <c r="K65" s="24">
        <f t="shared" si="48"/>
        <v>0</v>
      </c>
      <c r="L65" s="23">
        <f t="shared" si="48"/>
        <v>0</v>
      </c>
    </row>
    <row r="66" spans="1:12" ht="38.25" x14ac:dyDescent="0.25">
      <c r="A66" s="67" t="s">
        <v>178</v>
      </c>
      <c r="B66" s="26" t="s">
        <v>187</v>
      </c>
      <c r="C66" s="23">
        <f t="shared" si="46"/>
        <v>1173757</v>
      </c>
      <c r="D66" s="68">
        <f>1158310+15447</f>
        <v>1173757</v>
      </c>
      <c r="E66" s="11">
        <v>0</v>
      </c>
      <c r="F66" s="66">
        <v>0</v>
      </c>
      <c r="G66" s="12">
        <v>0</v>
      </c>
      <c r="H66" s="66">
        <v>0</v>
      </c>
      <c r="I66" s="12">
        <v>0</v>
      </c>
      <c r="J66" s="66">
        <v>0</v>
      </c>
      <c r="K66" s="12">
        <v>0</v>
      </c>
      <c r="L66" s="66">
        <v>0</v>
      </c>
    </row>
    <row r="67" spans="1:12" ht="25.5" x14ac:dyDescent="0.25">
      <c r="A67" s="67" t="s">
        <v>179</v>
      </c>
      <c r="B67" s="26" t="s">
        <v>186</v>
      </c>
      <c r="C67" s="23">
        <f t="shared" si="46"/>
        <v>535784</v>
      </c>
      <c r="D67" s="68">
        <v>535784</v>
      </c>
      <c r="E67" s="11">
        <v>0</v>
      </c>
      <c r="F67" s="66">
        <v>0</v>
      </c>
      <c r="G67" s="11">
        <v>0</v>
      </c>
      <c r="H67" s="66">
        <v>0</v>
      </c>
      <c r="I67" s="11">
        <v>0</v>
      </c>
      <c r="J67" s="66">
        <v>0</v>
      </c>
      <c r="K67" s="11">
        <v>0</v>
      </c>
      <c r="L67" s="66">
        <v>0</v>
      </c>
    </row>
    <row r="68" spans="1:12" x14ac:dyDescent="0.25">
      <c r="A68" s="62" t="s">
        <v>484</v>
      </c>
      <c r="B68" s="63" t="s">
        <v>184</v>
      </c>
      <c r="C68" s="27">
        <f>SUM(D68:L68)</f>
        <v>669475</v>
      </c>
      <c r="D68" s="27">
        <f>D69</f>
        <v>669475</v>
      </c>
      <c r="E68" s="32">
        <f t="shared" ref="E68" si="49">E69</f>
        <v>0</v>
      </c>
      <c r="F68" s="27">
        <f t="shared" ref="F68" si="50">F69</f>
        <v>0</v>
      </c>
      <c r="G68" s="32">
        <f t="shared" ref="G68" si="51">G69</f>
        <v>0</v>
      </c>
      <c r="H68" s="27">
        <f t="shared" ref="H68" si="52">H69</f>
        <v>0</v>
      </c>
      <c r="I68" s="32">
        <f t="shared" ref="I68" si="53">I69</f>
        <v>0</v>
      </c>
      <c r="J68" s="27">
        <f t="shared" ref="J68" si="54">J69</f>
        <v>0</v>
      </c>
      <c r="K68" s="32">
        <f t="shared" ref="K68" si="55">K69</f>
        <v>0</v>
      </c>
      <c r="L68" s="27">
        <f t="shared" ref="L68" si="56">L69</f>
        <v>0</v>
      </c>
    </row>
    <row r="69" spans="1:12" x14ac:dyDescent="0.25">
      <c r="A69" s="67" t="s">
        <v>180</v>
      </c>
      <c r="B69" s="26" t="s">
        <v>184</v>
      </c>
      <c r="C69" s="23">
        <f t="shared" si="46"/>
        <v>669475</v>
      </c>
      <c r="D69" s="68">
        <f>636420+33055</f>
        <v>669475</v>
      </c>
      <c r="E69" s="11">
        <v>0</v>
      </c>
      <c r="F69" s="66">
        <v>0</v>
      </c>
      <c r="G69" s="11">
        <v>0</v>
      </c>
      <c r="H69" s="66">
        <v>0</v>
      </c>
      <c r="I69" s="11">
        <v>0</v>
      </c>
      <c r="J69" s="66">
        <v>0</v>
      </c>
      <c r="K69" s="11">
        <v>0</v>
      </c>
      <c r="L69" s="66">
        <v>0</v>
      </c>
    </row>
    <row r="70" spans="1:12" ht="25.5" x14ac:dyDescent="0.25">
      <c r="A70" s="70" t="s">
        <v>181</v>
      </c>
      <c r="B70" s="71" t="s">
        <v>485</v>
      </c>
      <c r="C70" s="27">
        <f>SUM(D70:L70)</f>
        <v>2393587</v>
      </c>
      <c r="D70" s="27">
        <f t="shared" ref="D70:L70" si="57">SUM(D71:D72)</f>
        <v>1003890</v>
      </c>
      <c r="E70" s="32">
        <f t="shared" si="57"/>
        <v>0</v>
      </c>
      <c r="F70" s="27">
        <f t="shared" si="57"/>
        <v>0</v>
      </c>
      <c r="G70" s="32">
        <f t="shared" si="57"/>
        <v>0</v>
      </c>
      <c r="H70" s="27">
        <f t="shared" si="57"/>
        <v>1357875</v>
      </c>
      <c r="I70" s="32">
        <f t="shared" si="57"/>
        <v>0</v>
      </c>
      <c r="J70" s="27">
        <f t="shared" si="57"/>
        <v>0</v>
      </c>
      <c r="K70" s="32">
        <f t="shared" si="57"/>
        <v>0</v>
      </c>
      <c r="L70" s="27">
        <f t="shared" si="57"/>
        <v>31822</v>
      </c>
    </row>
    <row r="71" spans="1:12" ht="38.25" x14ac:dyDescent="0.25">
      <c r="A71" s="64" t="s">
        <v>785</v>
      </c>
      <c r="B71" s="65" t="s">
        <v>808</v>
      </c>
      <c r="C71" s="27">
        <f t="shared" ref="C71" si="58">SUM(D71:L71)</f>
        <v>57739</v>
      </c>
      <c r="D71" s="66">
        <f>25007+910</f>
        <v>25917</v>
      </c>
      <c r="E71" s="11">
        <v>0</v>
      </c>
      <c r="F71" s="66">
        <v>0</v>
      </c>
      <c r="G71" s="11">
        <v>0</v>
      </c>
      <c r="H71" s="66">
        <v>0</v>
      </c>
      <c r="I71" s="11">
        <v>0</v>
      </c>
      <c r="J71" s="66">
        <v>0</v>
      </c>
      <c r="K71" s="11">
        <v>0</v>
      </c>
      <c r="L71" s="66">
        <v>31822</v>
      </c>
    </row>
    <row r="72" spans="1:12" ht="51" x14ac:dyDescent="0.25">
      <c r="A72" s="64" t="s">
        <v>390</v>
      </c>
      <c r="B72" s="65" t="s">
        <v>391</v>
      </c>
      <c r="C72" s="27">
        <f t="shared" si="46"/>
        <v>2335848</v>
      </c>
      <c r="D72" s="66">
        <v>977973</v>
      </c>
      <c r="E72" s="11">
        <v>0</v>
      </c>
      <c r="F72" s="66">
        <v>0</v>
      </c>
      <c r="G72" s="11">
        <v>0</v>
      </c>
      <c r="H72" s="66">
        <v>1357875</v>
      </c>
      <c r="I72" s="11">
        <v>0</v>
      </c>
      <c r="J72" s="66">
        <v>0</v>
      </c>
      <c r="K72" s="11">
        <v>0</v>
      </c>
      <c r="L72" s="66">
        <v>0</v>
      </c>
    </row>
    <row r="73" spans="1:12" ht="25.5" x14ac:dyDescent="0.25">
      <c r="A73" s="62" t="s">
        <v>182</v>
      </c>
      <c r="B73" s="63" t="s">
        <v>185</v>
      </c>
      <c r="C73" s="23">
        <f t="shared" si="46"/>
        <v>344360</v>
      </c>
      <c r="D73" s="23">
        <f>SUM(D74:D75)</f>
        <v>20001</v>
      </c>
      <c r="E73" s="32">
        <f t="shared" ref="E73:L73" si="59">SUM(E74:E75)</f>
        <v>0</v>
      </c>
      <c r="F73" s="27">
        <f t="shared" si="59"/>
        <v>0</v>
      </c>
      <c r="G73" s="32">
        <f t="shared" si="59"/>
        <v>0</v>
      </c>
      <c r="H73" s="27">
        <f t="shared" si="59"/>
        <v>324359</v>
      </c>
      <c r="I73" s="32">
        <f t="shared" si="59"/>
        <v>0</v>
      </c>
      <c r="J73" s="27">
        <f t="shared" si="59"/>
        <v>0</v>
      </c>
      <c r="K73" s="32">
        <f t="shared" si="59"/>
        <v>0</v>
      </c>
      <c r="L73" s="27">
        <f t="shared" si="59"/>
        <v>0</v>
      </c>
    </row>
    <row r="74" spans="1:12" ht="76.5" x14ac:dyDescent="0.25">
      <c r="A74" s="67" t="s">
        <v>375</v>
      </c>
      <c r="B74" s="26" t="s">
        <v>407</v>
      </c>
      <c r="C74" s="103">
        <f t="shared" ref="C74" si="60">SUM(D74:L74)</f>
        <v>324359</v>
      </c>
      <c r="D74" s="104">
        <v>0</v>
      </c>
      <c r="E74" s="105">
        <v>0</v>
      </c>
      <c r="F74" s="66">
        <v>0</v>
      </c>
      <c r="G74" s="105">
        <v>0</v>
      </c>
      <c r="H74" s="66">
        <v>324359</v>
      </c>
      <c r="I74" s="105">
        <v>0</v>
      </c>
      <c r="J74" s="66">
        <v>0</v>
      </c>
      <c r="K74" s="105">
        <v>0</v>
      </c>
      <c r="L74" s="73">
        <v>0</v>
      </c>
    </row>
    <row r="75" spans="1:12" ht="38.25" x14ac:dyDescent="0.25">
      <c r="A75" s="67" t="s">
        <v>843</v>
      </c>
      <c r="B75" s="65" t="s">
        <v>844</v>
      </c>
      <c r="C75" s="114">
        <f t="shared" si="46"/>
        <v>20001</v>
      </c>
      <c r="D75" s="73">
        <f>20001</f>
        <v>20001</v>
      </c>
      <c r="E75" s="105">
        <v>0</v>
      </c>
      <c r="F75" s="66">
        <v>0</v>
      </c>
      <c r="G75" s="105">
        <v>0</v>
      </c>
      <c r="H75" s="66">
        <v>0</v>
      </c>
      <c r="I75" s="105">
        <v>0</v>
      </c>
      <c r="J75" s="66">
        <v>0</v>
      </c>
      <c r="K75" s="105">
        <v>0</v>
      </c>
      <c r="L75" s="73">
        <v>0</v>
      </c>
    </row>
    <row r="76" spans="1:12" ht="25.5" x14ac:dyDescent="0.25">
      <c r="A76" s="92" t="s">
        <v>110</v>
      </c>
      <c r="B76" s="93" t="s">
        <v>119</v>
      </c>
      <c r="C76" s="100">
        <f>SUM(D76:L76)</f>
        <v>5587586</v>
      </c>
      <c r="D76" s="100">
        <f>D77+D79+D82</f>
        <v>5131953</v>
      </c>
      <c r="E76" s="101">
        <f t="shared" ref="E76:L76" si="61">E77+E79+E82</f>
        <v>0</v>
      </c>
      <c r="F76" s="100">
        <f t="shared" si="61"/>
        <v>107226</v>
      </c>
      <c r="G76" s="101">
        <f t="shared" si="61"/>
        <v>0</v>
      </c>
      <c r="H76" s="100">
        <f t="shared" si="61"/>
        <v>320357</v>
      </c>
      <c r="I76" s="101">
        <f t="shared" si="61"/>
        <v>0</v>
      </c>
      <c r="J76" s="100">
        <f t="shared" si="61"/>
        <v>0</v>
      </c>
      <c r="K76" s="101">
        <f t="shared" si="61"/>
        <v>0</v>
      </c>
      <c r="L76" s="100">
        <f t="shared" si="61"/>
        <v>28050</v>
      </c>
    </row>
    <row r="77" spans="1:12" x14ac:dyDescent="0.25">
      <c r="A77" s="62" t="s">
        <v>486</v>
      </c>
      <c r="B77" s="63" t="s">
        <v>487</v>
      </c>
      <c r="C77" s="27">
        <f t="shared" ref="C77" si="62">SUM(D77:L77)</f>
        <v>703281</v>
      </c>
      <c r="D77" s="27">
        <f>D78</f>
        <v>703281</v>
      </c>
      <c r="E77" s="32">
        <f t="shared" ref="E77:L77" si="63">E78</f>
        <v>0</v>
      </c>
      <c r="F77" s="27">
        <f t="shared" si="63"/>
        <v>0</v>
      </c>
      <c r="G77" s="32">
        <f t="shared" si="63"/>
        <v>0</v>
      </c>
      <c r="H77" s="27">
        <f t="shared" si="63"/>
        <v>0</v>
      </c>
      <c r="I77" s="32">
        <f t="shared" si="63"/>
        <v>0</v>
      </c>
      <c r="J77" s="27">
        <f t="shared" si="63"/>
        <v>0</v>
      </c>
      <c r="K77" s="32">
        <f t="shared" si="63"/>
        <v>0</v>
      </c>
      <c r="L77" s="27">
        <f t="shared" si="63"/>
        <v>0</v>
      </c>
    </row>
    <row r="78" spans="1:12" ht="25.5" x14ac:dyDescent="0.25">
      <c r="A78" s="67" t="s">
        <v>188</v>
      </c>
      <c r="B78" s="26" t="s">
        <v>198</v>
      </c>
      <c r="C78" s="23">
        <f>SUM(D78:L78)</f>
        <v>703281</v>
      </c>
      <c r="D78" s="68">
        <v>703281</v>
      </c>
      <c r="E78" s="11">
        <v>0</v>
      </c>
      <c r="F78" s="66">
        <v>0</v>
      </c>
      <c r="G78" s="11">
        <v>0</v>
      </c>
      <c r="H78" s="66">
        <v>0</v>
      </c>
      <c r="I78" s="11">
        <v>0</v>
      </c>
      <c r="J78" s="66">
        <v>0</v>
      </c>
      <c r="K78" s="12">
        <v>0</v>
      </c>
      <c r="L78" s="66">
        <v>0</v>
      </c>
    </row>
    <row r="79" spans="1:12" x14ac:dyDescent="0.25">
      <c r="A79" s="62" t="s">
        <v>488</v>
      </c>
      <c r="B79" s="63" t="s">
        <v>196</v>
      </c>
      <c r="C79" s="27">
        <f t="shared" ref="C79" si="64">SUM(D79:L79)</f>
        <v>1912313</v>
      </c>
      <c r="D79" s="27">
        <f>D80+D81</f>
        <v>1591956</v>
      </c>
      <c r="E79" s="32">
        <f t="shared" ref="E79:L79" si="65">E80+E81</f>
        <v>0</v>
      </c>
      <c r="F79" s="27">
        <f t="shared" si="65"/>
        <v>0</v>
      </c>
      <c r="G79" s="32">
        <f t="shared" si="65"/>
        <v>0</v>
      </c>
      <c r="H79" s="27">
        <f t="shared" si="65"/>
        <v>320357</v>
      </c>
      <c r="I79" s="32">
        <f t="shared" si="65"/>
        <v>0</v>
      </c>
      <c r="J79" s="27">
        <f t="shared" si="65"/>
        <v>0</v>
      </c>
      <c r="K79" s="32">
        <f t="shared" si="65"/>
        <v>0</v>
      </c>
      <c r="L79" s="27">
        <f t="shared" si="65"/>
        <v>0</v>
      </c>
    </row>
    <row r="80" spans="1:12" x14ac:dyDescent="0.25">
      <c r="A80" s="67" t="s">
        <v>189</v>
      </c>
      <c r="B80" s="26" t="s">
        <v>196</v>
      </c>
      <c r="C80" s="23">
        <f>SUM(D80:L80)</f>
        <v>743413</v>
      </c>
      <c r="D80" s="68">
        <f>693609+49804</f>
        <v>743413</v>
      </c>
      <c r="E80" s="11">
        <v>0</v>
      </c>
      <c r="F80" s="66">
        <v>0</v>
      </c>
      <c r="G80" s="11">
        <v>0</v>
      </c>
      <c r="H80" s="66">
        <v>0</v>
      </c>
      <c r="I80" s="11">
        <v>0</v>
      </c>
      <c r="J80" s="66">
        <v>0</v>
      </c>
      <c r="K80" s="12">
        <v>0</v>
      </c>
      <c r="L80" s="66">
        <v>0</v>
      </c>
    </row>
    <row r="81" spans="1:12" ht="64.5" customHeight="1" x14ac:dyDescent="0.25">
      <c r="A81" s="67" t="s">
        <v>489</v>
      </c>
      <c r="B81" s="26" t="s">
        <v>490</v>
      </c>
      <c r="C81" s="23">
        <f>SUM(D81:L81)</f>
        <v>1168900</v>
      </c>
      <c r="D81" s="68">
        <f>616798+231745</f>
        <v>848543</v>
      </c>
      <c r="E81" s="11">
        <v>0</v>
      </c>
      <c r="F81" s="66">
        <v>0</v>
      </c>
      <c r="G81" s="11">
        <v>0</v>
      </c>
      <c r="H81" s="66">
        <v>320357</v>
      </c>
      <c r="I81" s="11">
        <v>0</v>
      </c>
      <c r="J81" s="66">
        <v>0</v>
      </c>
      <c r="K81" s="12">
        <v>0</v>
      </c>
      <c r="L81" s="66">
        <v>0</v>
      </c>
    </row>
    <row r="82" spans="1:12" ht="38.25" x14ac:dyDescent="0.25">
      <c r="A82" s="62" t="s">
        <v>190</v>
      </c>
      <c r="B82" s="63" t="s">
        <v>491</v>
      </c>
      <c r="C82" s="23">
        <f>SUM(D82:L82)</f>
        <v>2971992</v>
      </c>
      <c r="D82" s="23">
        <f>SUM(D83:D89)</f>
        <v>2836716</v>
      </c>
      <c r="E82" s="32">
        <f t="shared" ref="E82:L82" si="66">SUM(E83:E89)</f>
        <v>0</v>
      </c>
      <c r="F82" s="27">
        <f t="shared" si="66"/>
        <v>107226</v>
      </c>
      <c r="G82" s="32">
        <f t="shared" si="66"/>
        <v>0</v>
      </c>
      <c r="H82" s="27">
        <f t="shared" si="66"/>
        <v>0</v>
      </c>
      <c r="I82" s="32">
        <f t="shared" si="66"/>
        <v>0</v>
      </c>
      <c r="J82" s="23">
        <f t="shared" si="66"/>
        <v>0</v>
      </c>
      <c r="K82" s="24">
        <f t="shared" si="66"/>
        <v>0</v>
      </c>
      <c r="L82" s="23">
        <f t="shared" si="66"/>
        <v>28050</v>
      </c>
    </row>
    <row r="83" spans="1:12" ht="25.5" x14ac:dyDescent="0.25">
      <c r="A83" s="67" t="s">
        <v>191</v>
      </c>
      <c r="B83" s="26" t="s">
        <v>347</v>
      </c>
      <c r="C83" s="23">
        <f>SUM(D83:L83)</f>
        <v>998579</v>
      </c>
      <c r="D83" s="68">
        <f>890901+42000</f>
        <v>932901</v>
      </c>
      <c r="E83" s="11">
        <v>0</v>
      </c>
      <c r="F83" s="66">
        <f>77635-13464</f>
        <v>64171</v>
      </c>
      <c r="G83" s="11">
        <v>0</v>
      </c>
      <c r="H83" s="66">
        <v>0</v>
      </c>
      <c r="I83" s="11">
        <v>0</v>
      </c>
      <c r="J83" s="66">
        <v>0</v>
      </c>
      <c r="K83" s="12">
        <v>0</v>
      </c>
      <c r="L83" s="68">
        <v>1507</v>
      </c>
    </row>
    <row r="84" spans="1:12" ht="38.25" x14ac:dyDescent="0.25">
      <c r="A84" s="67" t="s">
        <v>192</v>
      </c>
      <c r="B84" s="26" t="s">
        <v>323</v>
      </c>
      <c r="C84" s="23">
        <f t="shared" ref="C84:C87" si="67">SUM(D84:L84)</f>
        <v>1311875</v>
      </c>
      <c r="D84" s="68">
        <f>1271561+40314</f>
        <v>1311875</v>
      </c>
      <c r="E84" s="11">
        <v>0</v>
      </c>
      <c r="F84" s="66">
        <v>0</v>
      </c>
      <c r="G84" s="11">
        <v>0</v>
      </c>
      <c r="H84" s="66">
        <v>0</v>
      </c>
      <c r="I84" s="11">
        <v>0</v>
      </c>
      <c r="J84" s="66">
        <v>0</v>
      </c>
      <c r="K84" s="12">
        <v>0</v>
      </c>
      <c r="L84" s="66">
        <v>0</v>
      </c>
    </row>
    <row r="85" spans="1:12" ht="25.5" x14ac:dyDescent="0.25">
      <c r="A85" s="67" t="s">
        <v>193</v>
      </c>
      <c r="B85" s="26" t="s">
        <v>492</v>
      </c>
      <c r="C85" s="23">
        <f t="shared" si="67"/>
        <v>230491</v>
      </c>
      <c r="D85" s="68">
        <f>222958+7533</f>
        <v>230491</v>
      </c>
      <c r="E85" s="11">
        <v>0</v>
      </c>
      <c r="F85" s="66">
        <v>0</v>
      </c>
      <c r="G85" s="11">
        <v>0</v>
      </c>
      <c r="H85" s="66">
        <v>0</v>
      </c>
      <c r="I85" s="11">
        <v>0</v>
      </c>
      <c r="J85" s="66">
        <v>0</v>
      </c>
      <c r="K85" s="12">
        <v>0</v>
      </c>
      <c r="L85" s="66">
        <v>0</v>
      </c>
    </row>
    <row r="86" spans="1:12" ht="38.25" x14ac:dyDescent="0.25">
      <c r="A86" s="67" t="s">
        <v>194</v>
      </c>
      <c r="B86" s="26" t="s">
        <v>197</v>
      </c>
      <c r="C86" s="23">
        <f t="shared" si="67"/>
        <v>404457</v>
      </c>
      <c r="D86" s="68">
        <f>297853+38873</f>
        <v>336726</v>
      </c>
      <c r="E86" s="11">
        <v>7384</v>
      </c>
      <c r="F86" s="66">
        <f>40000</f>
        <v>40000</v>
      </c>
      <c r="G86" s="11">
        <v>0</v>
      </c>
      <c r="H86" s="66">
        <v>0</v>
      </c>
      <c r="I86" s="11">
        <v>0</v>
      </c>
      <c r="J86" s="66">
        <v>0</v>
      </c>
      <c r="K86" s="12">
        <v>0</v>
      </c>
      <c r="L86" s="68">
        <v>20347</v>
      </c>
    </row>
    <row r="87" spans="1:12" ht="38.25" x14ac:dyDescent="0.25">
      <c r="A87" s="67" t="s">
        <v>195</v>
      </c>
      <c r="B87" s="26" t="s">
        <v>324</v>
      </c>
      <c r="C87" s="23">
        <f t="shared" si="67"/>
        <v>9500</v>
      </c>
      <c r="D87" s="68">
        <f>9500</f>
        <v>9500</v>
      </c>
      <c r="E87" s="11">
        <v>0</v>
      </c>
      <c r="F87" s="66">
        <v>0</v>
      </c>
      <c r="G87" s="11">
        <v>0</v>
      </c>
      <c r="H87" s="66">
        <v>0</v>
      </c>
      <c r="I87" s="11">
        <v>0</v>
      </c>
      <c r="J87" s="66">
        <v>0</v>
      </c>
      <c r="K87" s="12">
        <v>0</v>
      </c>
      <c r="L87" s="66">
        <v>0</v>
      </c>
    </row>
    <row r="88" spans="1:12" ht="63.75" x14ac:dyDescent="0.25">
      <c r="A88" s="67" t="s">
        <v>338</v>
      </c>
      <c r="B88" s="26" t="s">
        <v>339</v>
      </c>
      <c r="C88" s="23">
        <f t="shared" ref="C88:C89" si="68">SUM(D88:L88)</f>
        <v>7616</v>
      </c>
      <c r="D88" s="68">
        <f>15000</f>
        <v>15000</v>
      </c>
      <c r="E88" s="11">
        <v>-7384</v>
      </c>
      <c r="F88" s="66">
        <v>0</v>
      </c>
      <c r="G88" s="11">
        <v>0</v>
      </c>
      <c r="H88" s="66">
        <v>0</v>
      </c>
      <c r="I88" s="12">
        <v>0</v>
      </c>
      <c r="J88" s="66">
        <v>0</v>
      </c>
      <c r="K88" s="12">
        <v>0</v>
      </c>
      <c r="L88" s="66">
        <v>0</v>
      </c>
    </row>
    <row r="89" spans="1:12" ht="51" x14ac:dyDescent="0.25">
      <c r="A89" s="67" t="s">
        <v>381</v>
      </c>
      <c r="B89" s="26" t="s">
        <v>410</v>
      </c>
      <c r="C89" s="23">
        <f t="shared" si="68"/>
        <v>9474</v>
      </c>
      <c r="D89" s="68">
        <f>223</f>
        <v>223</v>
      </c>
      <c r="E89" s="11">
        <v>0</v>
      </c>
      <c r="F89" s="66">
        <f>3055</f>
        <v>3055</v>
      </c>
      <c r="G89" s="11">
        <v>0</v>
      </c>
      <c r="H89" s="66">
        <v>0</v>
      </c>
      <c r="I89" s="12">
        <v>0</v>
      </c>
      <c r="J89" s="66">
        <v>0</v>
      </c>
      <c r="K89" s="12">
        <v>0</v>
      </c>
      <c r="L89" s="68">
        <v>6196</v>
      </c>
    </row>
    <row r="90" spans="1:12" x14ac:dyDescent="0.25">
      <c r="A90" s="92" t="s">
        <v>111</v>
      </c>
      <c r="B90" s="93" t="s">
        <v>120</v>
      </c>
      <c r="C90" s="100">
        <f>SUM(D90:L90)</f>
        <v>267433</v>
      </c>
      <c r="D90" s="100">
        <f t="shared" ref="D90:K90" si="69">SUM(D91:D96)</f>
        <v>152250</v>
      </c>
      <c r="E90" s="101">
        <f t="shared" si="69"/>
        <v>0</v>
      </c>
      <c r="F90" s="100">
        <f t="shared" si="69"/>
        <v>0</v>
      </c>
      <c r="G90" s="101">
        <f t="shared" si="69"/>
        <v>0</v>
      </c>
      <c r="H90" s="100">
        <f t="shared" si="69"/>
        <v>84995</v>
      </c>
      <c r="I90" s="101">
        <f t="shared" si="69"/>
        <v>0</v>
      </c>
      <c r="J90" s="100">
        <f t="shared" si="69"/>
        <v>0</v>
      </c>
      <c r="K90" s="101">
        <f t="shared" si="69"/>
        <v>0</v>
      </c>
      <c r="L90" s="100">
        <f>SUM(L91:L96)</f>
        <v>30188</v>
      </c>
    </row>
    <row r="91" spans="1:12" x14ac:dyDescent="0.25">
      <c r="A91" s="67" t="s">
        <v>199</v>
      </c>
      <c r="B91" s="26" t="s">
        <v>203</v>
      </c>
      <c r="C91" s="23">
        <f>SUM(D91:L91)</f>
        <v>72600</v>
      </c>
      <c r="D91" s="68">
        <f>67600+5000</f>
        <v>72600</v>
      </c>
      <c r="E91" s="11">
        <v>0</v>
      </c>
      <c r="F91" s="66">
        <v>0</v>
      </c>
      <c r="G91" s="11">
        <v>0</v>
      </c>
      <c r="H91" s="66">
        <v>0</v>
      </c>
      <c r="I91" s="11">
        <v>0</v>
      </c>
      <c r="J91" s="66">
        <v>0</v>
      </c>
      <c r="K91" s="11">
        <v>0</v>
      </c>
      <c r="L91" s="66">
        <v>0</v>
      </c>
    </row>
    <row r="92" spans="1:12" ht="25.5" x14ac:dyDescent="0.25">
      <c r="A92" s="67" t="s">
        <v>200</v>
      </c>
      <c r="B92" s="26" t="s">
        <v>204</v>
      </c>
      <c r="C92" s="23">
        <f t="shared" ref="C92:C96" si="70">SUM(D92:L92)</f>
        <v>12400</v>
      </c>
      <c r="D92" s="68">
        <f>12400</f>
        <v>12400</v>
      </c>
      <c r="E92" s="11">
        <v>0</v>
      </c>
      <c r="F92" s="66">
        <v>0</v>
      </c>
      <c r="G92" s="11">
        <v>0</v>
      </c>
      <c r="H92" s="66">
        <v>0</v>
      </c>
      <c r="I92" s="11">
        <v>0</v>
      </c>
      <c r="J92" s="66">
        <v>0</v>
      </c>
      <c r="K92" s="11">
        <v>0</v>
      </c>
      <c r="L92" s="66">
        <v>0</v>
      </c>
    </row>
    <row r="93" spans="1:12" x14ac:dyDescent="0.25">
      <c r="A93" s="67" t="s">
        <v>201</v>
      </c>
      <c r="B93" s="26" t="s">
        <v>205</v>
      </c>
      <c r="C93" s="23">
        <f t="shared" si="70"/>
        <v>32500</v>
      </c>
      <c r="D93" s="68">
        <f>37500-5000</f>
        <v>32500</v>
      </c>
      <c r="E93" s="11">
        <v>0</v>
      </c>
      <c r="F93" s="66">
        <v>0</v>
      </c>
      <c r="G93" s="11">
        <v>0</v>
      </c>
      <c r="H93" s="66">
        <v>0</v>
      </c>
      <c r="I93" s="11">
        <v>0</v>
      </c>
      <c r="J93" s="66">
        <v>0</v>
      </c>
      <c r="K93" s="11">
        <v>0</v>
      </c>
      <c r="L93" s="66">
        <v>0</v>
      </c>
    </row>
    <row r="94" spans="1:12" x14ac:dyDescent="0.25">
      <c r="A94" s="67" t="s">
        <v>202</v>
      </c>
      <c r="B94" s="26" t="s">
        <v>206</v>
      </c>
      <c r="C94" s="23">
        <f t="shared" si="70"/>
        <v>4750</v>
      </c>
      <c r="D94" s="68">
        <f>4750</f>
        <v>4750</v>
      </c>
      <c r="E94" s="11">
        <v>0</v>
      </c>
      <c r="F94" s="66">
        <v>0</v>
      </c>
      <c r="G94" s="11">
        <v>0</v>
      </c>
      <c r="H94" s="66">
        <v>0</v>
      </c>
      <c r="I94" s="11">
        <v>0</v>
      </c>
      <c r="J94" s="66">
        <v>0</v>
      </c>
      <c r="K94" s="11">
        <v>0</v>
      </c>
      <c r="L94" s="66">
        <v>0</v>
      </c>
    </row>
    <row r="95" spans="1:12" ht="54" customHeight="1" x14ac:dyDescent="0.25">
      <c r="A95" s="67" t="s">
        <v>370</v>
      </c>
      <c r="B95" s="26" t="s">
        <v>403</v>
      </c>
      <c r="C95" s="23">
        <f t="shared" si="70"/>
        <v>135183</v>
      </c>
      <c r="D95" s="68">
        <f>20000</f>
        <v>20000</v>
      </c>
      <c r="E95" s="11">
        <v>0</v>
      </c>
      <c r="F95" s="66">
        <v>0</v>
      </c>
      <c r="G95" s="11">
        <v>0</v>
      </c>
      <c r="H95" s="66">
        <f>63802+21193</f>
        <v>84995</v>
      </c>
      <c r="I95" s="11">
        <v>0</v>
      </c>
      <c r="J95" s="66">
        <v>0</v>
      </c>
      <c r="K95" s="11">
        <v>0</v>
      </c>
      <c r="L95" s="68">
        <v>30188</v>
      </c>
    </row>
    <row r="96" spans="1:12" ht="25.5" x14ac:dyDescent="0.25">
      <c r="A96" s="67" t="s">
        <v>415</v>
      </c>
      <c r="B96" s="26" t="s">
        <v>420</v>
      </c>
      <c r="C96" s="23">
        <f t="shared" si="70"/>
        <v>10000</v>
      </c>
      <c r="D96" s="68">
        <f>10000</f>
        <v>10000</v>
      </c>
      <c r="E96" s="11">
        <v>0</v>
      </c>
      <c r="F96" s="66">
        <v>0</v>
      </c>
      <c r="G96" s="11">
        <v>0</v>
      </c>
      <c r="H96" s="66">
        <v>0</v>
      </c>
      <c r="I96" s="11">
        <v>0</v>
      </c>
      <c r="J96" s="66">
        <v>0</v>
      </c>
      <c r="K96" s="11">
        <v>0</v>
      </c>
      <c r="L96" s="68">
        <v>0</v>
      </c>
    </row>
    <row r="97" spans="1:12" x14ac:dyDescent="0.25">
      <c r="A97" s="92" t="s">
        <v>24</v>
      </c>
      <c r="B97" s="93" t="s">
        <v>121</v>
      </c>
      <c r="C97" s="100">
        <f>SUM(D97:L97)</f>
        <v>6860097</v>
      </c>
      <c r="D97" s="100">
        <f>D98+D105+D123+D125</f>
        <v>6139263</v>
      </c>
      <c r="E97" s="101">
        <f t="shared" ref="E97:L97" si="71">E98+E105+E123+E125</f>
        <v>0</v>
      </c>
      <c r="F97" s="100">
        <f t="shared" si="71"/>
        <v>502548</v>
      </c>
      <c r="G97" s="101">
        <f t="shared" si="71"/>
        <v>0</v>
      </c>
      <c r="H97" s="100">
        <f t="shared" si="71"/>
        <v>141300</v>
      </c>
      <c r="I97" s="101">
        <f t="shared" si="71"/>
        <v>0</v>
      </c>
      <c r="J97" s="100">
        <f t="shared" si="71"/>
        <v>19764</v>
      </c>
      <c r="K97" s="101">
        <f t="shared" si="71"/>
        <v>0</v>
      </c>
      <c r="L97" s="100">
        <f t="shared" si="71"/>
        <v>57222</v>
      </c>
    </row>
    <row r="98" spans="1:12" x14ac:dyDescent="0.25">
      <c r="A98" s="62" t="s">
        <v>207</v>
      </c>
      <c r="B98" s="63" t="s">
        <v>232</v>
      </c>
      <c r="C98" s="23">
        <f t="shared" ref="C98:C126" si="72">SUM(D98:L98)</f>
        <v>1315976</v>
      </c>
      <c r="D98" s="23">
        <f>SUM(D99:D104)</f>
        <v>1287026</v>
      </c>
      <c r="E98" s="24">
        <f t="shared" ref="E98:J98" si="73">SUM(E99:E104)</f>
        <v>0</v>
      </c>
      <c r="F98" s="23">
        <f t="shared" si="73"/>
        <v>28038</v>
      </c>
      <c r="G98" s="24">
        <f t="shared" si="73"/>
        <v>0</v>
      </c>
      <c r="H98" s="23">
        <f t="shared" si="73"/>
        <v>0</v>
      </c>
      <c r="I98" s="24">
        <f t="shared" si="73"/>
        <v>0</v>
      </c>
      <c r="J98" s="23">
        <f t="shared" si="73"/>
        <v>0</v>
      </c>
      <c r="K98" s="24">
        <f t="shared" ref="K98" si="74">SUM(K99:K102)</f>
        <v>0</v>
      </c>
      <c r="L98" s="23">
        <f>SUM(L99:L104)</f>
        <v>912</v>
      </c>
    </row>
    <row r="99" spans="1:12" ht="25.5" x14ac:dyDescent="0.25">
      <c r="A99" s="67" t="s">
        <v>208</v>
      </c>
      <c r="B99" s="26" t="s">
        <v>348</v>
      </c>
      <c r="C99" s="23">
        <f t="shared" si="72"/>
        <v>644686</v>
      </c>
      <c r="D99" s="66">
        <f>588626+29000</f>
        <v>617626</v>
      </c>
      <c r="E99" s="11">
        <v>0</v>
      </c>
      <c r="F99" s="66">
        <v>26148</v>
      </c>
      <c r="G99" s="11">
        <v>0</v>
      </c>
      <c r="H99" s="66">
        <v>0</v>
      </c>
      <c r="I99" s="11">
        <v>0</v>
      </c>
      <c r="J99" s="66">
        <v>0</v>
      </c>
      <c r="K99" s="11">
        <v>0</v>
      </c>
      <c r="L99" s="66">
        <v>912</v>
      </c>
    </row>
    <row r="100" spans="1:12" x14ac:dyDescent="0.25">
      <c r="A100" s="67" t="s">
        <v>209</v>
      </c>
      <c r="B100" s="26" t="s">
        <v>233</v>
      </c>
      <c r="C100" s="23">
        <f t="shared" si="72"/>
        <v>666290</v>
      </c>
      <c r="D100" s="66">
        <f>674400-29000+19000</f>
        <v>664400</v>
      </c>
      <c r="E100" s="11">
        <v>0</v>
      </c>
      <c r="F100" s="66">
        <f>1890</f>
        <v>1890</v>
      </c>
      <c r="G100" s="11">
        <v>0</v>
      </c>
      <c r="H100" s="66">
        <v>0</v>
      </c>
      <c r="I100" s="11">
        <v>0</v>
      </c>
      <c r="J100" s="66">
        <v>0</v>
      </c>
      <c r="K100" s="11">
        <v>0</v>
      </c>
      <c r="L100" s="66">
        <v>0</v>
      </c>
    </row>
    <row r="101" spans="1:12" ht="25.5" x14ac:dyDescent="0.25">
      <c r="A101" s="67" t="s">
        <v>210</v>
      </c>
      <c r="B101" s="26" t="s">
        <v>493</v>
      </c>
      <c r="C101" s="23">
        <f t="shared" si="72"/>
        <v>5000</v>
      </c>
      <c r="D101" s="66">
        <f>5000</f>
        <v>5000</v>
      </c>
      <c r="E101" s="11">
        <v>0</v>
      </c>
      <c r="F101" s="66">
        <v>0</v>
      </c>
      <c r="G101" s="11">
        <v>0</v>
      </c>
      <c r="H101" s="66">
        <v>0</v>
      </c>
      <c r="I101" s="11">
        <v>0</v>
      </c>
      <c r="J101" s="66">
        <v>0</v>
      </c>
      <c r="K101" s="11">
        <v>0</v>
      </c>
      <c r="L101" s="66">
        <v>0</v>
      </c>
    </row>
    <row r="102" spans="1:12" ht="38.25" hidden="1" x14ac:dyDescent="0.25">
      <c r="A102" s="80" t="s">
        <v>413</v>
      </c>
      <c r="B102" s="81" t="s">
        <v>494</v>
      </c>
      <c r="C102" s="79">
        <f t="shared" ref="C102:C103" si="75">SUM(D102:L102)</f>
        <v>0</v>
      </c>
      <c r="D102" s="82"/>
      <c r="E102" s="91"/>
      <c r="F102" s="82"/>
      <c r="G102" s="91"/>
      <c r="H102" s="82"/>
      <c r="I102" s="91"/>
      <c r="J102" s="82"/>
      <c r="K102" s="91"/>
      <c r="L102" s="82"/>
    </row>
    <row r="103" spans="1:12" ht="52.5" hidden="1" customHeight="1" x14ac:dyDescent="0.25">
      <c r="A103" s="67" t="s">
        <v>421</v>
      </c>
      <c r="B103" s="26" t="s">
        <v>512</v>
      </c>
      <c r="C103" s="23">
        <f t="shared" si="75"/>
        <v>0</v>
      </c>
      <c r="D103" s="66"/>
      <c r="E103" s="11"/>
      <c r="F103" s="66"/>
      <c r="G103" s="11"/>
      <c r="H103" s="66"/>
      <c r="I103" s="11"/>
      <c r="J103" s="66"/>
      <c r="K103" s="11"/>
      <c r="L103" s="66"/>
    </row>
    <row r="104" spans="1:12" hidden="1" x14ac:dyDescent="0.25">
      <c r="A104" s="57"/>
      <c r="B104" s="58"/>
      <c r="C104" s="79">
        <f t="shared" si="72"/>
        <v>0</v>
      </c>
      <c r="D104" s="82"/>
      <c r="E104" s="91"/>
      <c r="F104" s="82"/>
      <c r="G104" s="91"/>
      <c r="H104" s="82"/>
      <c r="I104" s="91"/>
      <c r="J104" s="82"/>
      <c r="K104" s="91"/>
      <c r="L104" s="82"/>
    </row>
    <row r="105" spans="1:12" x14ac:dyDescent="0.25">
      <c r="A105" s="62" t="s">
        <v>211</v>
      </c>
      <c r="B105" s="63" t="s">
        <v>234</v>
      </c>
      <c r="C105" s="23">
        <f t="shared" si="72"/>
        <v>5250208</v>
      </c>
      <c r="D105" s="23">
        <f>D106+D110+D112+D115+D119</f>
        <v>4558324</v>
      </c>
      <c r="E105" s="32">
        <f t="shared" ref="E105:L105" si="76">E106+E110+E112+E115+E119</f>
        <v>0</v>
      </c>
      <c r="F105" s="27">
        <f>F106+F110+F112+F115+F119</f>
        <v>474510</v>
      </c>
      <c r="G105" s="32">
        <f t="shared" si="76"/>
        <v>0</v>
      </c>
      <c r="H105" s="27">
        <f t="shared" si="76"/>
        <v>141300</v>
      </c>
      <c r="I105" s="32">
        <f t="shared" si="76"/>
        <v>0</v>
      </c>
      <c r="J105" s="27">
        <f t="shared" si="76"/>
        <v>19764</v>
      </c>
      <c r="K105" s="32">
        <f t="shared" si="76"/>
        <v>0</v>
      </c>
      <c r="L105" s="27">
        <f t="shared" si="76"/>
        <v>56310</v>
      </c>
    </row>
    <row r="106" spans="1:12" x14ac:dyDescent="0.25">
      <c r="A106" s="62" t="s">
        <v>212</v>
      </c>
      <c r="B106" s="63" t="s">
        <v>235</v>
      </c>
      <c r="C106" s="23">
        <f t="shared" si="72"/>
        <v>912756</v>
      </c>
      <c r="D106" s="23">
        <f t="shared" ref="D106:L106" si="77">SUM(D107:D109)</f>
        <v>779244</v>
      </c>
      <c r="E106" s="32">
        <f t="shared" si="77"/>
        <v>0</v>
      </c>
      <c r="F106" s="27">
        <f t="shared" si="77"/>
        <v>3670</v>
      </c>
      <c r="G106" s="32">
        <f t="shared" si="77"/>
        <v>0</v>
      </c>
      <c r="H106" s="27">
        <f t="shared" si="77"/>
        <v>102636</v>
      </c>
      <c r="I106" s="32">
        <f t="shared" si="77"/>
        <v>0</v>
      </c>
      <c r="J106" s="27">
        <f t="shared" si="77"/>
        <v>19764</v>
      </c>
      <c r="K106" s="32">
        <f t="shared" si="77"/>
        <v>0</v>
      </c>
      <c r="L106" s="23">
        <f t="shared" si="77"/>
        <v>7442</v>
      </c>
    </row>
    <row r="107" spans="1:12" ht="25.5" x14ac:dyDescent="0.25">
      <c r="A107" s="67" t="s">
        <v>213</v>
      </c>
      <c r="B107" s="26" t="s">
        <v>349</v>
      </c>
      <c r="C107" s="23">
        <f t="shared" si="72"/>
        <v>808374</v>
      </c>
      <c r="D107" s="66">
        <v>779244</v>
      </c>
      <c r="E107" s="11">
        <v>0</v>
      </c>
      <c r="F107" s="66">
        <v>3670</v>
      </c>
      <c r="G107" s="11">
        <v>0</v>
      </c>
      <c r="H107" s="66">
        <f>1500</f>
        <v>1500</v>
      </c>
      <c r="I107" s="11">
        <v>0</v>
      </c>
      <c r="J107" s="66">
        <v>19764</v>
      </c>
      <c r="K107" s="11">
        <v>0</v>
      </c>
      <c r="L107" s="66">
        <v>4196</v>
      </c>
    </row>
    <row r="108" spans="1:12" ht="63.75" x14ac:dyDescent="0.25">
      <c r="A108" s="67" t="s">
        <v>371</v>
      </c>
      <c r="B108" s="26" t="s">
        <v>495</v>
      </c>
      <c r="C108" s="23">
        <f t="shared" ref="C108" si="78">SUM(D108:L108)</f>
        <v>100031</v>
      </c>
      <c r="D108" s="66">
        <v>0</v>
      </c>
      <c r="E108" s="11">
        <v>0</v>
      </c>
      <c r="F108" s="66">
        <v>0</v>
      </c>
      <c r="G108" s="11">
        <v>0</v>
      </c>
      <c r="H108" s="66">
        <f>96653+132</f>
        <v>96785</v>
      </c>
      <c r="I108" s="11">
        <v>0</v>
      </c>
      <c r="J108" s="66">
        <v>0</v>
      </c>
      <c r="K108" s="11">
        <v>0</v>
      </c>
      <c r="L108" s="66">
        <v>3246</v>
      </c>
    </row>
    <row r="109" spans="1:12" ht="51" x14ac:dyDescent="0.25">
      <c r="A109" s="67" t="s">
        <v>845</v>
      </c>
      <c r="B109" s="65" t="s">
        <v>846</v>
      </c>
      <c r="C109" s="27">
        <f t="shared" si="72"/>
        <v>4351</v>
      </c>
      <c r="D109" s="66">
        <v>0</v>
      </c>
      <c r="E109" s="11">
        <v>0</v>
      </c>
      <c r="F109" s="66">
        <v>0</v>
      </c>
      <c r="G109" s="11">
        <v>0</v>
      </c>
      <c r="H109" s="66">
        <f>4351</f>
        <v>4351</v>
      </c>
      <c r="I109" s="11">
        <v>0</v>
      </c>
      <c r="J109" s="66">
        <v>0</v>
      </c>
      <c r="K109" s="11">
        <v>0</v>
      </c>
      <c r="L109" s="66">
        <v>0</v>
      </c>
    </row>
    <row r="110" spans="1:12" x14ac:dyDescent="0.25">
      <c r="A110" s="62" t="s">
        <v>214</v>
      </c>
      <c r="B110" s="63" t="s">
        <v>236</v>
      </c>
      <c r="C110" s="23">
        <f t="shared" si="72"/>
        <v>602542</v>
      </c>
      <c r="D110" s="27">
        <f>D111</f>
        <v>566939</v>
      </c>
      <c r="E110" s="32">
        <f t="shared" ref="E110:L110" si="79">E111</f>
        <v>0</v>
      </c>
      <c r="F110" s="27">
        <f t="shared" si="79"/>
        <v>11500</v>
      </c>
      <c r="G110" s="32">
        <f t="shared" si="79"/>
        <v>0</v>
      </c>
      <c r="H110" s="27">
        <f t="shared" si="79"/>
        <v>1200</v>
      </c>
      <c r="I110" s="32">
        <f t="shared" si="79"/>
        <v>0</v>
      </c>
      <c r="J110" s="27">
        <f t="shared" si="79"/>
        <v>0</v>
      </c>
      <c r="K110" s="32">
        <f t="shared" si="79"/>
        <v>0</v>
      </c>
      <c r="L110" s="27">
        <f t="shared" si="79"/>
        <v>22903</v>
      </c>
    </row>
    <row r="111" spans="1:12" ht="38.25" x14ac:dyDescent="0.25">
      <c r="A111" s="67" t="s">
        <v>215</v>
      </c>
      <c r="B111" s="26" t="s">
        <v>350</v>
      </c>
      <c r="C111" s="23">
        <f t="shared" si="72"/>
        <v>602542</v>
      </c>
      <c r="D111" s="66">
        <v>566939</v>
      </c>
      <c r="E111" s="11">
        <v>0</v>
      </c>
      <c r="F111" s="66">
        <v>11500</v>
      </c>
      <c r="G111" s="11">
        <v>0</v>
      </c>
      <c r="H111" s="66">
        <f>1200</f>
        <v>1200</v>
      </c>
      <c r="I111" s="11">
        <v>0</v>
      </c>
      <c r="J111" s="66">
        <v>0</v>
      </c>
      <c r="K111" s="11">
        <v>0</v>
      </c>
      <c r="L111" s="66">
        <v>22903</v>
      </c>
    </row>
    <row r="112" spans="1:12" x14ac:dyDescent="0.25">
      <c r="A112" s="62" t="s">
        <v>216</v>
      </c>
      <c r="B112" s="63" t="s">
        <v>237</v>
      </c>
      <c r="C112" s="23">
        <f t="shared" si="72"/>
        <v>2394414</v>
      </c>
      <c r="D112" s="27">
        <f>D113+D114</f>
        <v>1888025</v>
      </c>
      <c r="E112" s="32">
        <f t="shared" ref="E112:L112" si="80">E113+E114</f>
        <v>0</v>
      </c>
      <c r="F112" s="27">
        <f t="shared" si="80"/>
        <v>459340</v>
      </c>
      <c r="G112" s="32">
        <f t="shared" si="80"/>
        <v>0</v>
      </c>
      <c r="H112" s="27">
        <f t="shared" si="80"/>
        <v>21084</v>
      </c>
      <c r="I112" s="32">
        <f t="shared" si="80"/>
        <v>0</v>
      </c>
      <c r="J112" s="27">
        <f t="shared" si="80"/>
        <v>0</v>
      </c>
      <c r="K112" s="32">
        <f t="shared" si="80"/>
        <v>0</v>
      </c>
      <c r="L112" s="27">
        <f t="shared" si="80"/>
        <v>25965</v>
      </c>
    </row>
    <row r="113" spans="1:12" ht="25.5" x14ac:dyDescent="0.25">
      <c r="A113" s="67" t="s">
        <v>217</v>
      </c>
      <c r="B113" s="26" t="s">
        <v>351</v>
      </c>
      <c r="C113" s="23">
        <f t="shared" si="72"/>
        <v>1694317</v>
      </c>
      <c r="D113" s="66">
        <f>1469012+90000</f>
        <v>1559012</v>
      </c>
      <c r="E113" s="11">
        <v>0</v>
      </c>
      <c r="F113" s="66">
        <f>199340-90000</f>
        <v>109340</v>
      </c>
      <c r="G113" s="11">
        <v>0</v>
      </c>
      <c r="H113" s="66">
        <v>0</v>
      </c>
      <c r="I113" s="11">
        <v>0</v>
      </c>
      <c r="J113" s="66">
        <v>0</v>
      </c>
      <c r="K113" s="11">
        <v>0</v>
      </c>
      <c r="L113" s="66">
        <v>25965</v>
      </c>
    </row>
    <row r="114" spans="1:12" x14ac:dyDescent="0.25">
      <c r="A114" s="67" t="s">
        <v>218</v>
      </c>
      <c r="B114" s="26" t="s">
        <v>352</v>
      </c>
      <c r="C114" s="23">
        <f t="shared" si="72"/>
        <v>700097</v>
      </c>
      <c r="D114" s="66">
        <f>419013-90000</f>
        <v>329013</v>
      </c>
      <c r="E114" s="11">
        <v>0</v>
      </c>
      <c r="F114" s="66">
        <v>350000</v>
      </c>
      <c r="G114" s="11">
        <v>0</v>
      </c>
      <c r="H114" s="66">
        <f>11084+10000</f>
        <v>21084</v>
      </c>
      <c r="I114" s="11">
        <v>0</v>
      </c>
      <c r="J114" s="66">
        <v>0</v>
      </c>
      <c r="K114" s="11">
        <v>0</v>
      </c>
      <c r="L114" s="66">
        <v>0</v>
      </c>
    </row>
    <row r="115" spans="1:12" x14ac:dyDescent="0.25">
      <c r="A115" s="62" t="s">
        <v>219</v>
      </c>
      <c r="B115" s="63" t="s">
        <v>238</v>
      </c>
      <c r="C115" s="23">
        <f t="shared" si="72"/>
        <v>203275</v>
      </c>
      <c r="D115" s="27">
        <f>SUM(D116:D118)</f>
        <v>202775</v>
      </c>
      <c r="E115" s="32">
        <f t="shared" ref="E115:L115" si="81">SUM(E116:E118)</f>
        <v>0</v>
      </c>
      <c r="F115" s="27">
        <f t="shared" si="81"/>
        <v>0</v>
      </c>
      <c r="G115" s="32">
        <f t="shared" si="81"/>
        <v>0</v>
      </c>
      <c r="H115" s="27">
        <f t="shared" si="81"/>
        <v>500</v>
      </c>
      <c r="I115" s="32">
        <f t="shared" si="81"/>
        <v>0</v>
      </c>
      <c r="J115" s="27">
        <f t="shared" si="81"/>
        <v>0</v>
      </c>
      <c r="K115" s="32">
        <f t="shared" si="81"/>
        <v>0</v>
      </c>
      <c r="L115" s="27">
        <f t="shared" si="81"/>
        <v>0</v>
      </c>
    </row>
    <row r="116" spans="1:12" ht="25.5" x14ac:dyDescent="0.25">
      <c r="A116" s="67" t="s">
        <v>220</v>
      </c>
      <c r="B116" s="26" t="s">
        <v>239</v>
      </c>
      <c r="C116" s="23">
        <f t="shared" si="72"/>
        <v>98712</v>
      </c>
      <c r="D116" s="66">
        <v>98212</v>
      </c>
      <c r="E116" s="11">
        <v>0</v>
      </c>
      <c r="F116" s="66">
        <v>0</v>
      </c>
      <c r="G116" s="11">
        <v>0</v>
      </c>
      <c r="H116" s="66">
        <f>500</f>
        <v>500</v>
      </c>
      <c r="I116" s="11">
        <v>0</v>
      </c>
      <c r="J116" s="66">
        <v>0</v>
      </c>
      <c r="K116" s="11">
        <v>0</v>
      </c>
      <c r="L116" s="66">
        <v>0</v>
      </c>
    </row>
    <row r="117" spans="1:12" ht="25.5" x14ac:dyDescent="0.25">
      <c r="A117" s="67" t="s">
        <v>221</v>
      </c>
      <c r="B117" s="26" t="s">
        <v>325</v>
      </c>
      <c r="C117" s="23">
        <f t="shared" si="72"/>
        <v>83253</v>
      </c>
      <c r="D117" s="68">
        <v>83253</v>
      </c>
      <c r="E117" s="11">
        <v>0</v>
      </c>
      <c r="F117" s="66">
        <v>0</v>
      </c>
      <c r="G117" s="11">
        <v>0</v>
      </c>
      <c r="H117" s="66">
        <v>0</v>
      </c>
      <c r="I117" s="11">
        <v>0</v>
      </c>
      <c r="J117" s="66">
        <v>0</v>
      </c>
      <c r="K117" s="11">
        <v>0</v>
      </c>
      <c r="L117" s="68">
        <v>0</v>
      </c>
    </row>
    <row r="118" spans="1:12" ht="25.5" x14ac:dyDescent="0.25">
      <c r="A118" s="67" t="s">
        <v>222</v>
      </c>
      <c r="B118" s="26" t="s">
        <v>240</v>
      </c>
      <c r="C118" s="23">
        <f t="shared" si="72"/>
        <v>21310</v>
      </c>
      <c r="D118" s="68">
        <v>21310</v>
      </c>
      <c r="E118" s="11">
        <v>0</v>
      </c>
      <c r="F118" s="66">
        <v>0</v>
      </c>
      <c r="G118" s="11">
        <v>0</v>
      </c>
      <c r="H118" s="66">
        <v>0</v>
      </c>
      <c r="I118" s="11">
        <v>0</v>
      </c>
      <c r="J118" s="66">
        <v>0</v>
      </c>
      <c r="K118" s="11">
        <v>0</v>
      </c>
      <c r="L118" s="68">
        <v>0</v>
      </c>
    </row>
    <row r="119" spans="1:12" x14ac:dyDescent="0.25">
      <c r="A119" s="62" t="s">
        <v>223</v>
      </c>
      <c r="B119" s="63" t="s">
        <v>241</v>
      </c>
      <c r="C119" s="23">
        <f t="shared" si="72"/>
        <v>1137221</v>
      </c>
      <c r="D119" s="23">
        <f>SUM(D120:D122)</f>
        <v>1121341</v>
      </c>
      <c r="E119" s="32">
        <f t="shared" ref="E119:L119" si="82">SUM(E120:E122)</f>
        <v>0</v>
      </c>
      <c r="F119" s="27">
        <f t="shared" si="82"/>
        <v>0</v>
      </c>
      <c r="G119" s="32">
        <f t="shared" si="82"/>
        <v>0</v>
      </c>
      <c r="H119" s="27">
        <f t="shared" si="82"/>
        <v>15880</v>
      </c>
      <c r="I119" s="32">
        <f t="shared" si="82"/>
        <v>0</v>
      </c>
      <c r="J119" s="23">
        <f t="shared" si="82"/>
        <v>0</v>
      </c>
      <c r="K119" s="24">
        <f t="shared" si="82"/>
        <v>0</v>
      </c>
      <c r="L119" s="23">
        <f t="shared" si="82"/>
        <v>0</v>
      </c>
    </row>
    <row r="120" spans="1:12" ht="25.5" x14ac:dyDescent="0.25">
      <c r="A120" s="67" t="s">
        <v>224</v>
      </c>
      <c r="B120" s="26" t="s">
        <v>242</v>
      </c>
      <c r="C120" s="23">
        <f t="shared" si="72"/>
        <v>458706</v>
      </c>
      <c r="D120" s="68">
        <v>442826</v>
      </c>
      <c r="E120" s="11">
        <v>0</v>
      </c>
      <c r="F120" s="66">
        <v>0</v>
      </c>
      <c r="G120" s="11">
        <v>0</v>
      </c>
      <c r="H120" s="66">
        <v>15880</v>
      </c>
      <c r="I120" s="11">
        <v>0</v>
      </c>
      <c r="J120" s="66">
        <v>0</v>
      </c>
      <c r="K120" s="11">
        <v>0</v>
      </c>
      <c r="L120" s="66">
        <v>0</v>
      </c>
    </row>
    <row r="121" spans="1:12" x14ac:dyDescent="0.25">
      <c r="A121" s="67" t="s">
        <v>225</v>
      </c>
      <c r="B121" s="26" t="s">
        <v>243</v>
      </c>
      <c r="C121" s="23">
        <f t="shared" si="72"/>
        <v>678515</v>
      </c>
      <c r="D121" s="68">
        <f>690515-12000</f>
        <v>678515</v>
      </c>
      <c r="E121" s="11">
        <v>0</v>
      </c>
      <c r="F121" s="66">
        <v>0</v>
      </c>
      <c r="G121" s="11">
        <v>0</v>
      </c>
      <c r="H121" s="66">
        <v>0</v>
      </c>
      <c r="I121" s="11">
        <v>0</v>
      </c>
      <c r="J121" s="66">
        <v>0</v>
      </c>
      <c r="K121" s="11">
        <v>0</v>
      </c>
      <c r="L121" s="66">
        <v>0</v>
      </c>
    </row>
    <row r="122" spans="1:12" ht="38.25" hidden="1" x14ac:dyDescent="0.25">
      <c r="A122" s="67" t="s">
        <v>383</v>
      </c>
      <c r="B122" s="26" t="s">
        <v>414</v>
      </c>
      <c r="C122" s="23">
        <f t="shared" si="72"/>
        <v>0</v>
      </c>
      <c r="D122" s="68"/>
      <c r="E122" s="11"/>
      <c r="F122" s="66"/>
      <c r="G122" s="11"/>
      <c r="H122" s="66"/>
      <c r="I122" s="11"/>
      <c r="J122" s="66"/>
      <c r="K122" s="11"/>
      <c r="L122" s="66"/>
    </row>
    <row r="123" spans="1:12" hidden="1" x14ac:dyDescent="0.25">
      <c r="A123" s="62" t="s">
        <v>496</v>
      </c>
      <c r="B123" s="63" t="s">
        <v>497</v>
      </c>
      <c r="C123" s="23">
        <f t="shared" ref="C123" si="83">SUM(D123:L123)</f>
        <v>0</v>
      </c>
      <c r="D123" s="23">
        <f>D124</f>
        <v>0</v>
      </c>
      <c r="E123" s="24">
        <f t="shared" ref="E123:L123" si="84">E124</f>
        <v>0</v>
      </c>
      <c r="F123" s="23">
        <f t="shared" si="84"/>
        <v>0</v>
      </c>
      <c r="G123" s="24">
        <f t="shared" si="84"/>
        <v>0</v>
      </c>
      <c r="H123" s="23">
        <f t="shared" si="84"/>
        <v>0</v>
      </c>
      <c r="I123" s="24">
        <f t="shared" si="84"/>
        <v>0</v>
      </c>
      <c r="J123" s="23">
        <f t="shared" si="84"/>
        <v>0</v>
      </c>
      <c r="K123" s="24">
        <f t="shared" si="84"/>
        <v>0</v>
      </c>
      <c r="L123" s="23">
        <f t="shared" si="84"/>
        <v>0</v>
      </c>
    </row>
    <row r="124" spans="1:12" ht="25.5" hidden="1" x14ac:dyDescent="0.25">
      <c r="A124" s="67" t="s">
        <v>226</v>
      </c>
      <c r="B124" s="26" t="s">
        <v>353</v>
      </c>
      <c r="C124" s="23">
        <f t="shared" si="72"/>
        <v>0</v>
      </c>
      <c r="D124" s="68"/>
      <c r="E124" s="11"/>
      <c r="F124" s="66"/>
      <c r="G124" s="11"/>
      <c r="H124" s="66"/>
      <c r="I124" s="11"/>
      <c r="J124" s="66"/>
      <c r="K124" s="11"/>
      <c r="L124" s="66"/>
    </row>
    <row r="125" spans="1:12" ht="43.5" customHeight="1" x14ac:dyDescent="0.25">
      <c r="A125" s="62" t="s">
        <v>227</v>
      </c>
      <c r="B125" s="63" t="s">
        <v>244</v>
      </c>
      <c r="C125" s="23">
        <f t="shared" si="72"/>
        <v>293913</v>
      </c>
      <c r="D125" s="23">
        <f>SUM(D126:D129)</f>
        <v>293913</v>
      </c>
      <c r="E125" s="32">
        <f t="shared" ref="E125:L125" si="85">SUM(E126:E129)</f>
        <v>0</v>
      </c>
      <c r="F125" s="27">
        <f t="shared" si="85"/>
        <v>0</v>
      </c>
      <c r="G125" s="32">
        <f t="shared" si="85"/>
        <v>0</v>
      </c>
      <c r="H125" s="27">
        <f t="shared" si="85"/>
        <v>0</v>
      </c>
      <c r="I125" s="32">
        <f t="shared" si="85"/>
        <v>0</v>
      </c>
      <c r="J125" s="27">
        <f t="shared" si="85"/>
        <v>0</v>
      </c>
      <c r="K125" s="24">
        <f t="shared" si="85"/>
        <v>0</v>
      </c>
      <c r="L125" s="23">
        <f t="shared" si="85"/>
        <v>0</v>
      </c>
    </row>
    <row r="126" spans="1:12" ht="25.5" x14ac:dyDescent="0.25">
      <c r="A126" s="67" t="s">
        <v>228</v>
      </c>
      <c r="B126" s="26" t="s">
        <v>245</v>
      </c>
      <c r="C126" s="23">
        <f t="shared" si="72"/>
        <v>157500</v>
      </c>
      <c r="D126" s="68">
        <f>150000+5500+2000</f>
        <v>157500</v>
      </c>
      <c r="E126" s="11">
        <v>0</v>
      </c>
      <c r="F126" s="66">
        <v>0</v>
      </c>
      <c r="G126" s="11">
        <v>0</v>
      </c>
      <c r="H126" s="66">
        <v>0</v>
      </c>
      <c r="I126" s="11">
        <v>0</v>
      </c>
      <c r="J126" s="66">
        <v>0</v>
      </c>
      <c r="K126" s="11">
        <v>0</v>
      </c>
      <c r="L126" s="66">
        <v>0</v>
      </c>
    </row>
    <row r="127" spans="1:12" ht="25.5" x14ac:dyDescent="0.25">
      <c r="A127" s="67" t="s">
        <v>229</v>
      </c>
      <c r="B127" s="26" t="s">
        <v>246</v>
      </c>
      <c r="C127" s="23">
        <f t="shared" ref="C127:C129" si="86">SUM(D127:L127)</f>
        <v>31261</v>
      </c>
      <c r="D127" s="68">
        <f>31261</f>
        <v>31261</v>
      </c>
      <c r="E127" s="11">
        <v>0</v>
      </c>
      <c r="F127" s="66">
        <v>0</v>
      </c>
      <c r="G127" s="11">
        <v>0</v>
      </c>
      <c r="H127" s="66">
        <v>0</v>
      </c>
      <c r="I127" s="11">
        <v>0</v>
      </c>
      <c r="J127" s="66">
        <v>0</v>
      </c>
      <c r="K127" s="11">
        <v>0</v>
      </c>
      <c r="L127" s="66">
        <v>0</v>
      </c>
    </row>
    <row r="128" spans="1:12" ht="25.5" x14ac:dyDescent="0.25">
      <c r="A128" s="67" t="s">
        <v>230</v>
      </c>
      <c r="B128" s="26" t="s">
        <v>874</v>
      </c>
      <c r="C128" s="23">
        <f t="shared" si="86"/>
        <v>4300</v>
      </c>
      <c r="D128" s="66">
        <f>4300</f>
        <v>4300</v>
      </c>
      <c r="E128" s="11">
        <v>0</v>
      </c>
      <c r="F128" s="66">
        <v>0</v>
      </c>
      <c r="G128" s="11">
        <v>0</v>
      </c>
      <c r="H128" s="66">
        <v>0</v>
      </c>
      <c r="I128" s="11">
        <v>0</v>
      </c>
      <c r="J128" s="66">
        <v>0</v>
      </c>
      <c r="K128" s="11">
        <v>0</v>
      </c>
      <c r="L128" s="66">
        <v>0</v>
      </c>
    </row>
    <row r="129" spans="1:12" ht="25.5" x14ac:dyDescent="0.25">
      <c r="A129" s="67" t="s">
        <v>231</v>
      </c>
      <c r="B129" s="26" t="s">
        <v>498</v>
      </c>
      <c r="C129" s="23">
        <f t="shared" si="86"/>
        <v>100852</v>
      </c>
      <c r="D129" s="66">
        <f>100852</f>
        <v>100852</v>
      </c>
      <c r="E129" s="11">
        <v>0</v>
      </c>
      <c r="F129" s="66">
        <v>0</v>
      </c>
      <c r="G129" s="11">
        <v>0</v>
      </c>
      <c r="H129" s="66">
        <v>0</v>
      </c>
      <c r="I129" s="11">
        <v>0</v>
      </c>
      <c r="J129" s="66">
        <v>0</v>
      </c>
      <c r="K129" s="11">
        <v>0</v>
      </c>
      <c r="L129" s="66">
        <v>0</v>
      </c>
    </row>
    <row r="130" spans="1:12" x14ac:dyDescent="0.25">
      <c r="A130" s="92" t="s">
        <v>25</v>
      </c>
      <c r="B130" s="93" t="s">
        <v>122</v>
      </c>
      <c r="C130" s="100">
        <f t="shared" ref="C130:C137" si="87">SUM(D130:L130)</f>
        <v>38301809</v>
      </c>
      <c r="D130" s="100">
        <f>D131+D135+D148+D155+D158+D163+D167</f>
        <v>20686807</v>
      </c>
      <c r="E130" s="101">
        <f t="shared" ref="E130:L130" si="88">E131+E135+E148+E155+E158+E163+E167</f>
        <v>0</v>
      </c>
      <c r="F130" s="100">
        <f t="shared" si="88"/>
        <v>724958</v>
      </c>
      <c r="G130" s="101">
        <f t="shared" si="88"/>
        <v>0</v>
      </c>
      <c r="H130" s="100">
        <f t="shared" si="88"/>
        <v>15549132</v>
      </c>
      <c r="I130" s="101">
        <f t="shared" si="88"/>
        <v>28432</v>
      </c>
      <c r="J130" s="100">
        <f t="shared" si="88"/>
        <v>0</v>
      </c>
      <c r="K130" s="101">
        <f t="shared" si="88"/>
        <v>0</v>
      </c>
      <c r="L130" s="100">
        <f t="shared" si="88"/>
        <v>1312480</v>
      </c>
    </row>
    <row r="131" spans="1:12" x14ac:dyDescent="0.25">
      <c r="A131" s="62" t="s">
        <v>247</v>
      </c>
      <c r="B131" s="63" t="s">
        <v>248</v>
      </c>
      <c r="C131" s="23">
        <f>SUM(D131:L131)</f>
        <v>10647056</v>
      </c>
      <c r="D131" s="23">
        <f>D132+D133+D134</f>
        <v>9396059</v>
      </c>
      <c r="E131" s="24">
        <f t="shared" ref="E131:L131" si="89">E132+E133+E134</f>
        <v>0</v>
      </c>
      <c r="F131" s="23">
        <f t="shared" si="89"/>
        <v>93943</v>
      </c>
      <c r="G131" s="24">
        <f t="shared" si="89"/>
        <v>0</v>
      </c>
      <c r="H131" s="23">
        <f t="shared" si="89"/>
        <v>1069339</v>
      </c>
      <c r="I131" s="24">
        <f t="shared" si="89"/>
        <v>0</v>
      </c>
      <c r="J131" s="23">
        <f t="shared" si="89"/>
        <v>0</v>
      </c>
      <c r="K131" s="24">
        <f t="shared" si="89"/>
        <v>0</v>
      </c>
      <c r="L131" s="23">
        <f t="shared" si="89"/>
        <v>87715</v>
      </c>
    </row>
    <row r="132" spans="1:12" ht="25.5" x14ac:dyDescent="0.25">
      <c r="A132" s="67" t="s">
        <v>268</v>
      </c>
      <c r="B132" s="26" t="s">
        <v>277</v>
      </c>
      <c r="C132" s="23">
        <f t="shared" si="87"/>
        <v>9434452</v>
      </c>
      <c r="D132" s="66">
        <f>7691924+83250+190888+217393</f>
        <v>8183455</v>
      </c>
      <c r="E132" s="11">
        <v>0</v>
      </c>
      <c r="F132" s="66">
        <v>93943</v>
      </c>
      <c r="G132" s="11">
        <v>0</v>
      </c>
      <c r="H132" s="66">
        <f>697628+1499+370212</f>
        <v>1069339</v>
      </c>
      <c r="I132" s="11">
        <v>0</v>
      </c>
      <c r="J132" s="66">
        <v>0</v>
      </c>
      <c r="K132" s="11">
        <v>0</v>
      </c>
      <c r="L132" s="66">
        <v>87715</v>
      </c>
    </row>
    <row r="133" spans="1:12" ht="63.75" hidden="1" x14ac:dyDescent="0.25">
      <c r="A133" s="64" t="s">
        <v>396</v>
      </c>
      <c r="B133" s="65" t="s">
        <v>397</v>
      </c>
      <c r="C133" s="23">
        <f t="shared" si="87"/>
        <v>0</v>
      </c>
      <c r="D133" s="66"/>
      <c r="E133" s="11"/>
      <c r="F133" s="66"/>
      <c r="G133" s="11"/>
      <c r="H133" s="66"/>
      <c r="I133" s="11"/>
      <c r="J133" s="66"/>
      <c r="K133" s="11"/>
      <c r="L133" s="66"/>
    </row>
    <row r="134" spans="1:12" ht="38.25" x14ac:dyDescent="0.25">
      <c r="A134" s="176" t="s">
        <v>809</v>
      </c>
      <c r="B134" s="65" t="s">
        <v>810</v>
      </c>
      <c r="C134" s="23">
        <f t="shared" si="87"/>
        <v>1212604</v>
      </c>
      <c r="D134" s="66">
        <f>1500000-287396</f>
        <v>1212604</v>
      </c>
      <c r="E134" s="11">
        <v>0</v>
      </c>
      <c r="F134" s="66">
        <v>0</v>
      </c>
      <c r="G134" s="11">
        <v>0</v>
      </c>
      <c r="H134" s="66">
        <v>0</v>
      </c>
      <c r="I134" s="11">
        <v>0</v>
      </c>
      <c r="J134" s="66">
        <v>0</v>
      </c>
      <c r="K134" s="11">
        <v>0</v>
      </c>
      <c r="L134" s="66">
        <v>0</v>
      </c>
    </row>
    <row r="135" spans="1:12" ht="25.5" x14ac:dyDescent="0.25">
      <c r="A135" s="70" t="s">
        <v>249</v>
      </c>
      <c r="B135" s="71" t="s">
        <v>272</v>
      </c>
      <c r="C135" s="27">
        <f t="shared" si="87"/>
        <v>19949998</v>
      </c>
      <c r="D135" s="27">
        <f>D136+D144</f>
        <v>6322714</v>
      </c>
      <c r="E135" s="32">
        <f t="shared" ref="E135:L135" si="90">E136+E144</f>
        <v>0</v>
      </c>
      <c r="F135" s="27">
        <f t="shared" si="90"/>
        <v>180447</v>
      </c>
      <c r="G135" s="32">
        <f t="shared" si="90"/>
        <v>0</v>
      </c>
      <c r="H135" s="27">
        <f t="shared" si="90"/>
        <v>12678509</v>
      </c>
      <c r="I135" s="32">
        <f t="shared" si="90"/>
        <v>28432</v>
      </c>
      <c r="J135" s="27">
        <f t="shared" si="90"/>
        <v>0</v>
      </c>
      <c r="K135" s="32">
        <f t="shared" si="90"/>
        <v>0</v>
      </c>
      <c r="L135" s="27">
        <f t="shared" si="90"/>
        <v>739896</v>
      </c>
    </row>
    <row r="136" spans="1:12" x14ac:dyDescent="0.25">
      <c r="A136" s="69" t="s">
        <v>250</v>
      </c>
      <c r="B136" s="63" t="s">
        <v>499</v>
      </c>
      <c r="C136" s="23">
        <f t="shared" si="87"/>
        <v>17372206</v>
      </c>
      <c r="D136" s="23">
        <f>SUM(D137:D143)</f>
        <v>5367364</v>
      </c>
      <c r="E136" s="32">
        <f t="shared" ref="E136:L136" si="91">SUM(E137:E143)</f>
        <v>0</v>
      </c>
      <c r="F136" s="27">
        <f t="shared" si="91"/>
        <v>143135</v>
      </c>
      <c r="G136" s="32">
        <f t="shared" si="91"/>
        <v>0</v>
      </c>
      <c r="H136" s="27">
        <f t="shared" si="91"/>
        <v>11465052</v>
      </c>
      <c r="I136" s="32">
        <f t="shared" si="91"/>
        <v>25421</v>
      </c>
      <c r="J136" s="27">
        <f t="shared" si="91"/>
        <v>0</v>
      </c>
      <c r="K136" s="24">
        <f t="shared" si="91"/>
        <v>0</v>
      </c>
      <c r="L136" s="23">
        <f t="shared" si="91"/>
        <v>371234</v>
      </c>
    </row>
    <row r="137" spans="1:12" ht="25.5" x14ac:dyDescent="0.25">
      <c r="A137" s="67" t="s">
        <v>251</v>
      </c>
      <c r="B137" s="26" t="s">
        <v>365</v>
      </c>
      <c r="C137" s="27">
        <f t="shared" si="87"/>
        <v>14262200</v>
      </c>
      <c r="D137" s="66">
        <f>4858740+68750-44098+226825</f>
        <v>5110217</v>
      </c>
      <c r="E137" s="11">
        <v>0</v>
      </c>
      <c r="F137" s="66">
        <v>109469</v>
      </c>
      <c r="G137" s="11">
        <v>0</v>
      </c>
      <c r="H137" s="66">
        <f>5779797+3469+3059753</f>
        <v>8843019</v>
      </c>
      <c r="I137" s="11">
        <f>23919-457</f>
        <v>23462</v>
      </c>
      <c r="J137" s="66">
        <v>0</v>
      </c>
      <c r="K137" s="11">
        <v>0</v>
      </c>
      <c r="L137" s="66">
        <v>176033</v>
      </c>
    </row>
    <row r="138" spans="1:12" ht="38.25" x14ac:dyDescent="0.25">
      <c r="A138" s="67" t="s">
        <v>252</v>
      </c>
      <c r="B138" s="26" t="s">
        <v>782</v>
      </c>
      <c r="C138" s="27">
        <f t="shared" ref="C138:C168" si="92">SUM(D138:L138)</f>
        <v>2255171</v>
      </c>
      <c r="D138" s="66">
        <f>123061+103026</f>
        <v>226087</v>
      </c>
      <c r="E138" s="11">
        <v>0</v>
      </c>
      <c r="F138" s="66">
        <v>33666</v>
      </c>
      <c r="G138" s="11">
        <v>0</v>
      </c>
      <c r="H138" s="66">
        <f>1392794+567034</f>
        <v>1959828</v>
      </c>
      <c r="I138" s="11">
        <f>1502+457</f>
        <v>1959</v>
      </c>
      <c r="J138" s="66">
        <v>0</v>
      </c>
      <c r="K138" s="11">
        <v>0</v>
      </c>
      <c r="L138" s="66">
        <v>33631</v>
      </c>
    </row>
    <row r="139" spans="1:12" ht="25.5" x14ac:dyDescent="0.25">
      <c r="A139" s="67" t="s">
        <v>253</v>
      </c>
      <c r="B139" s="26" t="s">
        <v>269</v>
      </c>
      <c r="C139" s="23">
        <f t="shared" si="92"/>
        <v>399424</v>
      </c>
      <c r="D139" s="68">
        <f>21596</f>
        <v>21596</v>
      </c>
      <c r="E139" s="11">
        <v>0</v>
      </c>
      <c r="F139" s="66">
        <v>0</v>
      </c>
      <c r="G139" s="11">
        <v>0</v>
      </c>
      <c r="H139" s="66">
        <f>50435+225366</f>
        <v>275801</v>
      </c>
      <c r="I139" s="11">
        <v>0</v>
      </c>
      <c r="J139" s="66">
        <v>0</v>
      </c>
      <c r="K139" s="11">
        <v>0</v>
      </c>
      <c r="L139" s="66">
        <v>102027</v>
      </c>
    </row>
    <row r="140" spans="1:12" ht="51" x14ac:dyDescent="0.25">
      <c r="A140" s="67" t="s">
        <v>340</v>
      </c>
      <c r="B140" s="26" t="s">
        <v>416</v>
      </c>
      <c r="C140" s="23">
        <f t="shared" si="92"/>
        <v>61250</v>
      </c>
      <c r="D140" s="68">
        <f>4607</f>
        <v>4607</v>
      </c>
      <c r="E140" s="11">
        <v>0</v>
      </c>
      <c r="F140" s="66">
        <v>0</v>
      </c>
      <c r="G140" s="11">
        <v>0</v>
      </c>
      <c r="H140" s="66">
        <v>0</v>
      </c>
      <c r="I140" s="11">
        <v>0</v>
      </c>
      <c r="J140" s="66">
        <v>0</v>
      </c>
      <c r="K140" s="11">
        <v>0</v>
      </c>
      <c r="L140" s="66">
        <v>56643</v>
      </c>
    </row>
    <row r="141" spans="1:12" ht="76.5" x14ac:dyDescent="0.25">
      <c r="A141" s="64" t="s">
        <v>427</v>
      </c>
      <c r="B141" s="65" t="s">
        <v>500</v>
      </c>
      <c r="C141" s="27">
        <f t="shared" si="92"/>
        <v>264736</v>
      </c>
      <c r="D141" s="66">
        <f>4518</f>
        <v>4518</v>
      </c>
      <c r="E141" s="11">
        <v>0</v>
      </c>
      <c r="F141" s="66">
        <v>0</v>
      </c>
      <c r="G141" s="11">
        <v>0</v>
      </c>
      <c r="H141" s="66">
        <v>257318</v>
      </c>
      <c r="I141" s="11">
        <v>0</v>
      </c>
      <c r="J141" s="66">
        <v>0</v>
      </c>
      <c r="K141" s="11">
        <v>0</v>
      </c>
      <c r="L141" s="66">
        <v>2900</v>
      </c>
    </row>
    <row r="142" spans="1:12" ht="63.75" x14ac:dyDescent="0.25">
      <c r="A142" s="64" t="s">
        <v>811</v>
      </c>
      <c r="B142" s="65" t="s">
        <v>812</v>
      </c>
      <c r="C142" s="27">
        <f t="shared" si="92"/>
        <v>129425</v>
      </c>
      <c r="D142" s="66">
        <f>339</f>
        <v>339</v>
      </c>
      <c r="E142" s="11">
        <v>0</v>
      </c>
      <c r="F142" s="66">
        <v>0</v>
      </c>
      <c r="G142" s="11">
        <v>0</v>
      </c>
      <c r="H142" s="66">
        <v>129086</v>
      </c>
      <c r="I142" s="11">
        <v>0</v>
      </c>
      <c r="J142" s="66">
        <v>0</v>
      </c>
      <c r="K142" s="11">
        <v>0</v>
      </c>
      <c r="L142" s="66">
        <v>0</v>
      </c>
    </row>
    <row r="143" spans="1:12" hidden="1" x14ac:dyDescent="0.25">
      <c r="A143" s="177"/>
      <c r="B143" s="178"/>
      <c r="C143" s="27">
        <f t="shared" ref="C143" si="93">SUM(D143:L143)</f>
        <v>0</v>
      </c>
      <c r="D143" s="66"/>
      <c r="E143" s="11"/>
      <c r="F143" s="66"/>
      <c r="G143" s="11"/>
      <c r="H143" s="66"/>
      <c r="I143" s="11"/>
      <c r="J143" s="66"/>
      <c r="K143" s="11"/>
      <c r="L143" s="66"/>
    </row>
    <row r="144" spans="1:12" x14ac:dyDescent="0.25">
      <c r="A144" s="69" t="s">
        <v>273</v>
      </c>
      <c r="B144" s="63" t="s">
        <v>270</v>
      </c>
      <c r="C144" s="23">
        <f>SUM(D144:L144)</f>
        <v>2577792</v>
      </c>
      <c r="D144" s="23">
        <f t="shared" ref="D144:L144" si="94">SUM(D145:D147)</f>
        <v>955350</v>
      </c>
      <c r="E144" s="32">
        <f t="shared" si="94"/>
        <v>0</v>
      </c>
      <c r="F144" s="27">
        <f t="shared" si="94"/>
        <v>37312</v>
      </c>
      <c r="G144" s="32">
        <f t="shared" si="94"/>
        <v>0</v>
      </c>
      <c r="H144" s="27">
        <f t="shared" si="94"/>
        <v>1213457</v>
      </c>
      <c r="I144" s="32">
        <f t="shared" si="94"/>
        <v>3011</v>
      </c>
      <c r="J144" s="27">
        <f t="shared" si="94"/>
        <v>0</v>
      </c>
      <c r="K144" s="32">
        <f t="shared" si="94"/>
        <v>0</v>
      </c>
      <c r="L144" s="23">
        <f t="shared" si="94"/>
        <v>368662</v>
      </c>
    </row>
    <row r="145" spans="1:12" ht="25.5" x14ac:dyDescent="0.25">
      <c r="A145" s="67" t="s">
        <v>254</v>
      </c>
      <c r="B145" s="26" t="s">
        <v>366</v>
      </c>
      <c r="C145" s="23">
        <f t="shared" si="92"/>
        <v>1134939</v>
      </c>
      <c r="D145" s="68">
        <v>474562</v>
      </c>
      <c r="E145" s="11">
        <v>0</v>
      </c>
      <c r="F145" s="66">
        <v>5932</v>
      </c>
      <c r="G145" s="11">
        <v>0</v>
      </c>
      <c r="H145" s="66">
        <f>403377+238143</f>
        <v>641520</v>
      </c>
      <c r="I145" s="11">
        <v>3011</v>
      </c>
      <c r="J145" s="66">
        <v>0</v>
      </c>
      <c r="K145" s="11">
        <v>0</v>
      </c>
      <c r="L145" s="68">
        <v>9914</v>
      </c>
    </row>
    <row r="146" spans="1:12" ht="25.5" x14ac:dyDescent="0.25">
      <c r="A146" s="67" t="s">
        <v>255</v>
      </c>
      <c r="B146" s="26" t="s">
        <v>274</v>
      </c>
      <c r="C146" s="23">
        <f t="shared" si="92"/>
        <v>847912</v>
      </c>
      <c r="D146" s="68">
        <f>29959</f>
        <v>29959</v>
      </c>
      <c r="E146" s="11">
        <v>0</v>
      </c>
      <c r="F146" s="66">
        <v>31380</v>
      </c>
      <c r="G146" s="11">
        <v>0</v>
      </c>
      <c r="H146" s="66">
        <f>466773+105164</f>
        <v>571937</v>
      </c>
      <c r="I146" s="11">
        <v>0</v>
      </c>
      <c r="J146" s="66">
        <v>0</v>
      </c>
      <c r="K146" s="11">
        <v>0</v>
      </c>
      <c r="L146" s="68">
        <v>214636</v>
      </c>
    </row>
    <row r="147" spans="1:12" ht="54" customHeight="1" x14ac:dyDescent="0.25">
      <c r="A147" s="64" t="s">
        <v>398</v>
      </c>
      <c r="B147" s="65" t="s">
        <v>428</v>
      </c>
      <c r="C147" s="27">
        <f t="shared" si="92"/>
        <v>594941</v>
      </c>
      <c r="D147" s="66">
        <f>496439-45610</f>
        <v>450829</v>
      </c>
      <c r="E147" s="11">
        <v>0</v>
      </c>
      <c r="F147" s="66">
        <v>0</v>
      </c>
      <c r="G147" s="11">
        <v>0</v>
      </c>
      <c r="H147" s="66">
        <v>0</v>
      </c>
      <c r="I147" s="11">
        <v>0</v>
      </c>
      <c r="J147" s="66">
        <v>0</v>
      </c>
      <c r="K147" s="11">
        <v>0</v>
      </c>
      <c r="L147" s="66">
        <v>144112</v>
      </c>
    </row>
    <row r="148" spans="1:12" ht="25.5" x14ac:dyDescent="0.25">
      <c r="A148" s="62" t="s">
        <v>256</v>
      </c>
      <c r="B148" s="63" t="s">
        <v>271</v>
      </c>
      <c r="C148" s="23">
        <f>SUM(D148:L148)</f>
        <v>4714267</v>
      </c>
      <c r="D148" s="23">
        <f t="shared" ref="D148:L148" si="95">SUM(D149:D154)</f>
        <v>3287891</v>
      </c>
      <c r="E148" s="32">
        <f t="shared" si="95"/>
        <v>0</v>
      </c>
      <c r="F148" s="27">
        <f t="shared" si="95"/>
        <v>186400</v>
      </c>
      <c r="G148" s="32">
        <f t="shared" si="95"/>
        <v>0</v>
      </c>
      <c r="H148" s="27">
        <f t="shared" si="95"/>
        <v>1185532</v>
      </c>
      <c r="I148" s="32">
        <f t="shared" si="95"/>
        <v>0</v>
      </c>
      <c r="J148" s="27">
        <f t="shared" si="95"/>
        <v>0</v>
      </c>
      <c r="K148" s="32">
        <f t="shared" si="95"/>
        <v>0</v>
      </c>
      <c r="L148" s="23">
        <f t="shared" si="95"/>
        <v>54444</v>
      </c>
    </row>
    <row r="149" spans="1:12" ht="25.5" x14ac:dyDescent="0.25">
      <c r="A149" s="67" t="s">
        <v>37</v>
      </c>
      <c r="B149" s="26" t="s">
        <v>825</v>
      </c>
      <c r="C149" s="23">
        <f t="shared" si="92"/>
        <v>1108049</v>
      </c>
      <c r="D149" s="68">
        <f>447251+2636-25731</f>
        <v>424156</v>
      </c>
      <c r="E149" s="11">
        <v>0</v>
      </c>
      <c r="F149" s="66">
        <v>66526</v>
      </c>
      <c r="G149" s="11">
        <v>0</v>
      </c>
      <c r="H149" s="66">
        <f>387356+209066</f>
        <v>596422</v>
      </c>
      <c r="I149" s="11">
        <v>0</v>
      </c>
      <c r="J149" s="66">
        <v>0</v>
      </c>
      <c r="K149" s="11">
        <v>0</v>
      </c>
      <c r="L149" s="68">
        <v>20945</v>
      </c>
    </row>
    <row r="150" spans="1:12" ht="25.5" x14ac:dyDescent="0.25">
      <c r="A150" s="67" t="s">
        <v>38</v>
      </c>
      <c r="B150" s="26" t="s">
        <v>367</v>
      </c>
      <c r="C150" s="23">
        <f t="shared" si="92"/>
        <v>253813</v>
      </c>
      <c r="D150" s="68">
        <v>132231</v>
      </c>
      <c r="E150" s="11">
        <v>0</v>
      </c>
      <c r="F150" s="66">
        <v>12968</v>
      </c>
      <c r="G150" s="11">
        <v>0</v>
      </c>
      <c r="H150" s="66">
        <f>100882+1465</f>
        <v>102347</v>
      </c>
      <c r="I150" s="11">
        <v>0</v>
      </c>
      <c r="J150" s="66">
        <v>0</v>
      </c>
      <c r="K150" s="11">
        <v>0</v>
      </c>
      <c r="L150" s="68">
        <v>6267</v>
      </c>
    </row>
    <row r="151" spans="1:12" ht="25.5" x14ac:dyDescent="0.25">
      <c r="A151" s="67" t="s">
        <v>257</v>
      </c>
      <c r="B151" s="26" t="s">
        <v>368</v>
      </c>
      <c r="C151" s="23">
        <f t="shared" si="92"/>
        <v>2332756</v>
      </c>
      <c r="D151" s="68">
        <v>1711855</v>
      </c>
      <c r="E151" s="11">
        <v>0</v>
      </c>
      <c r="F151" s="66">
        <v>106906</v>
      </c>
      <c r="G151" s="11">
        <v>0</v>
      </c>
      <c r="H151" s="66">
        <f>476184+10579</f>
        <v>486763</v>
      </c>
      <c r="I151" s="11">
        <v>0</v>
      </c>
      <c r="J151" s="66">
        <v>0</v>
      </c>
      <c r="K151" s="11">
        <v>0</v>
      </c>
      <c r="L151" s="68">
        <v>27232</v>
      </c>
    </row>
    <row r="152" spans="1:12" ht="38.25" hidden="1" x14ac:dyDescent="0.25">
      <c r="A152" s="64" t="s">
        <v>258</v>
      </c>
      <c r="B152" s="65" t="s">
        <v>275</v>
      </c>
      <c r="C152" s="27">
        <f t="shared" si="92"/>
        <v>0</v>
      </c>
      <c r="D152" s="66"/>
      <c r="E152" s="11"/>
      <c r="F152" s="66"/>
      <c r="G152" s="11"/>
      <c r="H152" s="66"/>
      <c r="I152" s="11"/>
      <c r="J152" s="66"/>
      <c r="K152" s="11"/>
      <c r="L152" s="66"/>
    </row>
    <row r="153" spans="1:12" ht="76.5" x14ac:dyDescent="0.25">
      <c r="A153" s="64" t="s">
        <v>393</v>
      </c>
      <c r="B153" s="65" t="s">
        <v>392</v>
      </c>
      <c r="C153" s="27">
        <f t="shared" ref="C153:C154" si="96">SUM(D153:L153)</f>
        <v>802205</v>
      </c>
      <c r="D153" s="66">
        <v>802205</v>
      </c>
      <c r="E153" s="11">
        <v>0</v>
      </c>
      <c r="F153" s="66">
        <v>0</v>
      </c>
      <c r="G153" s="11">
        <v>0</v>
      </c>
      <c r="H153" s="66">
        <v>0</v>
      </c>
      <c r="I153" s="11">
        <v>0</v>
      </c>
      <c r="J153" s="66">
        <v>0</v>
      </c>
      <c r="K153" s="11">
        <v>0</v>
      </c>
      <c r="L153" s="66">
        <v>0</v>
      </c>
    </row>
    <row r="154" spans="1:12" ht="51" x14ac:dyDescent="0.25">
      <c r="A154" s="64" t="s">
        <v>395</v>
      </c>
      <c r="B154" s="65" t="s">
        <v>394</v>
      </c>
      <c r="C154" s="27">
        <f t="shared" si="96"/>
        <v>217444</v>
      </c>
      <c r="D154" s="66">
        <v>217444</v>
      </c>
      <c r="E154" s="11">
        <v>0</v>
      </c>
      <c r="F154" s="66">
        <v>0</v>
      </c>
      <c r="G154" s="11">
        <v>0</v>
      </c>
      <c r="H154" s="66">
        <v>0</v>
      </c>
      <c r="I154" s="11">
        <v>0</v>
      </c>
      <c r="J154" s="66">
        <v>0</v>
      </c>
      <c r="K154" s="11">
        <v>0</v>
      </c>
      <c r="L154" s="66">
        <v>0</v>
      </c>
    </row>
    <row r="155" spans="1:12" ht="66.75" customHeight="1" x14ac:dyDescent="0.25">
      <c r="A155" s="62" t="s">
        <v>262</v>
      </c>
      <c r="B155" s="63" t="s">
        <v>502</v>
      </c>
      <c r="C155" s="23">
        <f>SUM(D155:L155)</f>
        <v>8600</v>
      </c>
      <c r="D155" s="23">
        <f>SUM(D156:D157)</f>
        <v>8600</v>
      </c>
      <c r="E155" s="32">
        <f t="shared" ref="E155:L155" si="97">SUM(E156:E157)</f>
        <v>0</v>
      </c>
      <c r="F155" s="27">
        <f t="shared" si="97"/>
        <v>0</v>
      </c>
      <c r="G155" s="32">
        <f t="shared" si="97"/>
        <v>0</v>
      </c>
      <c r="H155" s="27">
        <f t="shared" si="97"/>
        <v>0</v>
      </c>
      <c r="I155" s="32">
        <f t="shared" si="97"/>
        <v>0</v>
      </c>
      <c r="J155" s="27">
        <f t="shared" si="97"/>
        <v>0</v>
      </c>
      <c r="K155" s="32">
        <f t="shared" si="97"/>
        <v>0</v>
      </c>
      <c r="L155" s="23">
        <f t="shared" si="97"/>
        <v>0</v>
      </c>
    </row>
    <row r="156" spans="1:12" ht="25.5" x14ac:dyDescent="0.25">
      <c r="A156" s="67" t="s">
        <v>42</v>
      </c>
      <c r="B156" s="26" t="s">
        <v>501</v>
      </c>
      <c r="C156" s="23">
        <f t="shared" si="92"/>
        <v>6000</v>
      </c>
      <c r="D156" s="68">
        <f>6000</f>
        <v>6000</v>
      </c>
      <c r="E156" s="11">
        <v>0</v>
      </c>
      <c r="F156" s="66">
        <v>0</v>
      </c>
      <c r="G156" s="11">
        <v>0</v>
      </c>
      <c r="H156" s="66">
        <v>0</v>
      </c>
      <c r="I156" s="11">
        <v>0</v>
      </c>
      <c r="J156" s="66">
        <v>0</v>
      </c>
      <c r="K156" s="11">
        <v>0</v>
      </c>
      <c r="L156" s="68">
        <v>0</v>
      </c>
    </row>
    <row r="157" spans="1:12" ht="25.5" x14ac:dyDescent="0.25">
      <c r="A157" s="67" t="s">
        <v>263</v>
      </c>
      <c r="B157" s="26" t="s">
        <v>767</v>
      </c>
      <c r="C157" s="23">
        <f t="shared" si="92"/>
        <v>2600</v>
      </c>
      <c r="D157" s="68">
        <f>2600</f>
        <v>2600</v>
      </c>
      <c r="E157" s="11">
        <v>0</v>
      </c>
      <c r="F157" s="66">
        <v>0</v>
      </c>
      <c r="G157" s="11">
        <v>0</v>
      </c>
      <c r="H157" s="66">
        <v>0</v>
      </c>
      <c r="I157" s="11">
        <v>0</v>
      </c>
      <c r="J157" s="66">
        <v>0</v>
      </c>
      <c r="K157" s="11">
        <v>0</v>
      </c>
      <c r="L157" s="68">
        <v>0</v>
      </c>
    </row>
    <row r="158" spans="1:12" ht="25.5" x14ac:dyDescent="0.25">
      <c r="A158" s="62" t="s">
        <v>259</v>
      </c>
      <c r="B158" s="63" t="s">
        <v>503</v>
      </c>
      <c r="C158" s="23">
        <f>SUM(D158:L158)</f>
        <v>1451970</v>
      </c>
      <c r="D158" s="23">
        <f t="shared" ref="D158:L158" si="98">SUM(D159:D162)</f>
        <v>863543</v>
      </c>
      <c r="E158" s="32">
        <f t="shared" si="98"/>
        <v>0</v>
      </c>
      <c r="F158" s="27">
        <f t="shared" si="98"/>
        <v>259945</v>
      </c>
      <c r="G158" s="32">
        <f t="shared" si="98"/>
        <v>0</v>
      </c>
      <c r="H158" s="27">
        <f t="shared" si="98"/>
        <v>148847</v>
      </c>
      <c r="I158" s="32">
        <f t="shared" si="98"/>
        <v>0</v>
      </c>
      <c r="J158" s="27">
        <f t="shared" si="98"/>
        <v>0</v>
      </c>
      <c r="K158" s="32">
        <f t="shared" si="98"/>
        <v>0</v>
      </c>
      <c r="L158" s="23">
        <f t="shared" si="98"/>
        <v>179635</v>
      </c>
    </row>
    <row r="159" spans="1:12" ht="38.25" x14ac:dyDescent="0.25">
      <c r="A159" s="67" t="s">
        <v>260</v>
      </c>
      <c r="B159" s="26" t="s">
        <v>354</v>
      </c>
      <c r="C159" s="23">
        <f t="shared" si="92"/>
        <v>1143057</v>
      </c>
      <c r="D159" s="68">
        <v>843552</v>
      </c>
      <c r="E159" s="11">
        <v>0</v>
      </c>
      <c r="F159" s="66">
        <f>177577+71123+320</f>
        <v>249020</v>
      </c>
      <c r="G159" s="11">
        <v>0</v>
      </c>
      <c r="H159" s="66">
        <v>0</v>
      </c>
      <c r="I159" s="11">
        <v>0</v>
      </c>
      <c r="J159" s="66">
        <v>0</v>
      </c>
      <c r="K159" s="11">
        <v>0</v>
      </c>
      <c r="L159" s="68">
        <v>50485</v>
      </c>
    </row>
    <row r="160" spans="1:12" ht="38.25" x14ac:dyDescent="0.25">
      <c r="A160" s="67" t="s">
        <v>261</v>
      </c>
      <c r="B160" s="26" t="s">
        <v>355</v>
      </c>
      <c r="C160" s="23">
        <f t="shared" si="92"/>
        <v>232351</v>
      </c>
      <c r="D160" s="68">
        <v>11991</v>
      </c>
      <c r="E160" s="11">
        <v>0</v>
      </c>
      <c r="F160" s="66">
        <f>10925</f>
        <v>10925</v>
      </c>
      <c r="G160" s="11">
        <v>0</v>
      </c>
      <c r="H160" s="66">
        <f>60674+35165</f>
        <v>95839</v>
      </c>
      <c r="I160" s="11">
        <v>0</v>
      </c>
      <c r="J160" s="66">
        <v>0</v>
      </c>
      <c r="K160" s="11">
        <v>0</v>
      </c>
      <c r="L160" s="68">
        <v>113596</v>
      </c>
    </row>
    <row r="161" spans="1:12" x14ac:dyDescent="0.25">
      <c r="A161" s="67" t="s">
        <v>330</v>
      </c>
      <c r="B161" s="26" t="s">
        <v>405</v>
      </c>
      <c r="C161" s="23">
        <f t="shared" ref="C161:C162" si="99">SUM(D161:L161)</f>
        <v>76468</v>
      </c>
      <c r="D161" s="68">
        <f>8000</f>
        <v>8000</v>
      </c>
      <c r="E161" s="11">
        <v>0</v>
      </c>
      <c r="F161" s="66">
        <v>0</v>
      </c>
      <c r="G161" s="11">
        <v>0</v>
      </c>
      <c r="H161" s="66">
        <v>52914</v>
      </c>
      <c r="I161" s="11">
        <v>0</v>
      </c>
      <c r="J161" s="66">
        <v>0</v>
      </c>
      <c r="K161" s="11">
        <v>0</v>
      </c>
      <c r="L161" s="68">
        <v>15554</v>
      </c>
    </row>
    <row r="162" spans="1:12" ht="38.25" x14ac:dyDescent="0.25">
      <c r="A162" s="64" t="s">
        <v>786</v>
      </c>
      <c r="B162" s="65" t="s">
        <v>787</v>
      </c>
      <c r="C162" s="27">
        <f t="shared" si="99"/>
        <v>94</v>
      </c>
      <c r="D162" s="66">
        <v>0</v>
      </c>
      <c r="E162" s="11">
        <v>0</v>
      </c>
      <c r="F162" s="66">
        <v>0</v>
      </c>
      <c r="G162" s="11">
        <v>0</v>
      </c>
      <c r="H162" s="66">
        <f>94</f>
        <v>94</v>
      </c>
      <c r="I162" s="11">
        <v>0</v>
      </c>
      <c r="J162" s="66">
        <v>0</v>
      </c>
      <c r="K162" s="11">
        <v>0</v>
      </c>
      <c r="L162" s="66">
        <v>0</v>
      </c>
    </row>
    <row r="163" spans="1:12" x14ac:dyDescent="0.25">
      <c r="A163" s="62" t="s">
        <v>264</v>
      </c>
      <c r="B163" s="63" t="s">
        <v>276</v>
      </c>
      <c r="C163" s="23">
        <f>SUM(D163:L163)</f>
        <v>1528443</v>
      </c>
      <c r="D163" s="23">
        <f>SUM(D164:D166)</f>
        <v>807770</v>
      </c>
      <c r="E163" s="32">
        <f t="shared" ref="E163:L163" si="100">SUM(E164:E166)</f>
        <v>0</v>
      </c>
      <c r="F163" s="27">
        <f t="shared" si="100"/>
        <v>4223</v>
      </c>
      <c r="G163" s="32">
        <f t="shared" si="100"/>
        <v>0</v>
      </c>
      <c r="H163" s="27">
        <f t="shared" si="100"/>
        <v>466905</v>
      </c>
      <c r="I163" s="32">
        <f t="shared" si="100"/>
        <v>0</v>
      </c>
      <c r="J163" s="27">
        <f t="shared" si="100"/>
        <v>0</v>
      </c>
      <c r="K163" s="32">
        <f t="shared" si="100"/>
        <v>0</v>
      </c>
      <c r="L163" s="23">
        <f t="shared" si="100"/>
        <v>249545</v>
      </c>
    </row>
    <row r="164" spans="1:12" ht="25.5" x14ac:dyDescent="0.25">
      <c r="A164" s="67" t="s">
        <v>265</v>
      </c>
      <c r="B164" s="26" t="s">
        <v>356</v>
      </c>
      <c r="C164" s="23">
        <f t="shared" si="92"/>
        <v>748568</v>
      </c>
      <c r="D164" s="68">
        <f>725725-2364+19266</f>
        <v>742627</v>
      </c>
      <c r="E164" s="11">
        <v>0</v>
      </c>
      <c r="F164" s="66">
        <f>3500</f>
        <v>3500</v>
      </c>
      <c r="G164" s="11">
        <v>0</v>
      </c>
      <c r="H164" s="66">
        <v>0</v>
      </c>
      <c r="I164" s="11">
        <v>0</v>
      </c>
      <c r="J164" s="66">
        <v>0</v>
      </c>
      <c r="K164" s="11">
        <v>0</v>
      </c>
      <c r="L164" s="68">
        <v>2441</v>
      </c>
    </row>
    <row r="165" spans="1:12" ht="25.5" x14ac:dyDescent="0.25">
      <c r="A165" s="64" t="s">
        <v>266</v>
      </c>
      <c r="B165" s="65" t="s">
        <v>357</v>
      </c>
      <c r="C165" s="27">
        <f t="shared" si="92"/>
        <v>706203</v>
      </c>
      <c r="D165" s="66">
        <v>0</v>
      </c>
      <c r="E165" s="11">
        <v>0</v>
      </c>
      <c r="F165" s="66">
        <v>0</v>
      </c>
      <c r="G165" s="11">
        <v>0</v>
      </c>
      <c r="H165" s="66">
        <f>400041+1871+64993</f>
        <v>466905</v>
      </c>
      <c r="I165" s="11">
        <v>0</v>
      </c>
      <c r="J165" s="66">
        <v>0</v>
      </c>
      <c r="K165" s="11">
        <v>0</v>
      </c>
      <c r="L165" s="66">
        <v>239298</v>
      </c>
    </row>
    <row r="166" spans="1:12" ht="38.25" x14ac:dyDescent="0.25">
      <c r="A166" s="67" t="s">
        <v>267</v>
      </c>
      <c r="B166" s="26" t="s">
        <v>358</v>
      </c>
      <c r="C166" s="23">
        <f t="shared" si="92"/>
        <v>73672</v>
      </c>
      <c r="D166" s="68">
        <f>68201-3058</f>
        <v>65143</v>
      </c>
      <c r="E166" s="11">
        <v>0</v>
      </c>
      <c r="F166" s="66">
        <f>723</f>
        <v>723</v>
      </c>
      <c r="G166" s="11">
        <v>0</v>
      </c>
      <c r="H166" s="66">
        <v>0</v>
      </c>
      <c r="I166" s="11">
        <v>0</v>
      </c>
      <c r="J166" s="66">
        <v>0</v>
      </c>
      <c r="K166" s="11">
        <v>0</v>
      </c>
      <c r="L166" s="68">
        <v>7806</v>
      </c>
    </row>
    <row r="167" spans="1:12" ht="25.5" x14ac:dyDescent="0.25">
      <c r="A167" s="62" t="s">
        <v>788</v>
      </c>
      <c r="B167" s="63" t="s">
        <v>791</v>
      </c>
      <c r="C167" s="23">
        <f>SUM(D167:L167)</f>
        <v>1475</v>
      </c>
      <c r="D167" s="23">
        <f t="shared" ref="D167:L167" si="101">D168</f>
        <v>230</v>
      </c>
      <c r="E167" s="32">
        <f t="shared" si="101"/>
        <v>0</v>
      </c>
      <c r="F167" s="27">
        <f t="shared" si="101"/>
        <v>0</v>
      </c>
      <c r="G167" s="32">
        <f t="shared" si="101"/>
        <v>0</v>
      </c>
      <c r="H167" s="27">
        <f t="shared" si="101"/>
        <v>0</v>
      </c>
      <c r="I167" s="32">
        <f t="shared" si="101"/>
        <v>0</v>
      </c>
      <c r="J167" s="27">
        <f t="shared" si="101"/>
        <v>0</v>
      </c>
      <c r="K167" s="32">
        <f t="shared" si="101"/>
        <v>0</v>
      </c>
      <c r="L167" s="23">
        <f t="shared" si="101"/>
        <v>1245</v>
      </c>
    </row>
    <row r="168" spans="1:12" x14ac:dyDescent="0.25">
      <c r="A168" s="67" t="s">
        <v>789</v>
      </c>
      <c r="B168" s="26" t="s">
        <v>790</v>
      </c>
      <c r="C168" s="23">
        <f t="shared" si="92"/>
        <v>1475</v>
      </c>
      <c r="D168" s="68">
        <f>230</f>
        <v>230</v>
      </c>
      <c r="E168" s="11">
        <v>0</v>
      </c>
      <c r="F168" s="66">
        <v>0</v>
      </c>
      <c r="G168" s="11">
        <v>0</v>
      </c>
      <c r="H168" s="66">
        <v>0</v>
      </c>
      <c r="I168" s="11">
        <v>0</v>
      </c>
      <c r="J168" s="66">
        <v>0</v>
      </c>
      <c r="K168" s="11">
        <v>0</v>
      </c>
      <c r="L168" s="68">
        <v>1245</v>
      </c>
    </row>
    <row r="169" spans="1:12" x14ac:dyDescent="0.25">
      <c r="A169" s="92" t="s">
        <v>49</v>
      </c>
      <c r="B169" s="93" t="s">
        <v>123</v>
      </c>
      <c r="C169" s="100">
        <f>SUM(D169:L169)</f>
        <v>6831789</v>
      </c>
      <c r="D169" s="100">
        <f>D170+D179+D182+D186+D188+D190+D197</f>
        <v>5273716</v>
      </c>
      <c r="E169" s="101">
        <f t="shared" ref="E169:L169" si="102">E170+E179+E182+E187+E189+E190+E197</f>
        <v>32471</v>
      </c>
      <c r="F169" s="100">
        <f t="shared" si="102"/>
        <v>78588</v>
      </c>
      <c r="G169" s="101">
        <f t="shared" si="102"/>
        <v>-2642</v>
      </c>
      <c r="H169" s="100">
        <f t="shared" si="102"/>
        <v>1341106</v>
      </c>
      <c r="I169" s="101">
        <f t="shared" si="102"/>
        <v>515</v>
      </c>
      <c r="J169" s="100">
        <f t="shared" si="102"/>
        <v>9214</v>
      </c>
      <c r="K169" s="101">
        <f t="shared" si="102"/>
        <v>0</v>
      </c>
      <c r="L169" s="100">
        <f t="shared" si="102"/>
        <v>98821</v>
      </c>
    </row>
    <row r="170" spans="1:12" ht="25.5" x14ac:dyDescent="0.25">
      <c r="A170" s="62" t="s">
        <v>278</v>
      </c>
      <c r="B170" s="63" t="s">
        <v>316</v>
      </c>
      <c r="C170" s="23">
        <f>SUM(D170:L170)</f>
        <v>1129491</v>
      </c>
      <c r="D170" s="23">
        <f t="shared" ref="D170:L170" si="103">SUM(D171:D178)</f>
        <v>380590</v>
      </c>
      <c r="E170" s="24">
        <f t="shared" si="103"/>
        <v>4000</v>
      </c>
      <c r="F170" s="23">
        <f t="shared" si="103"/>
        <v>58148</v>
      </c>
      <c r="G170" s="24">
        <f t="shared" si="103"/>
        <v>-4000</v>
      </c>
      <c r="H170" s="23">
        <f t="shared" si="103"/>
        <v>632996</v>
      </c>
      <c r="I170" s="24">
        <f t="shared" si="103"/>
        <v>0</v>
      </c>
      <c r="J170" s="23">
        <f t="shared" si="103"/>
        <v>8009</v>
      </c>
      <c r="K170" s="24">
        <f t="shared" si="103"/>
        <v>0</v>
      </c>
      <c r="L170" s="23">
        <f t="shared" si="103"/>
        <v>49748</v>
      </c>
    </row>
    <row r="171" spans="1:12" ht="38.25" x14ac:dyDescent="0.25">
      <c r="A171" s="67" t="s">
        <v>279</v>
      </c>
      <c r="B171" s="26" t="s">
        <v>364</v>
      </c>
      <c r="C171" s="23">
        <f>SUM(D171:L171)</f>
        <v>473222</v>
      </c>
      <c r="D171" s="68">
        <f>134993+12545</f>
        <v>147538</v>
      </c>
      <c r="E171" s="11">
        <v>0</v>
      </c>
      <c r="F171" s="66">
        <v>0</v>
      </c>
      <c r="G171" s="11">
        <v>0</v>
      </c>
      <c r="H171" s="66">
        <v>325421</v>
      </c>
      <c r="I171" s="11">
        <v>0</v>
      </c>
      <c r="J171" s="68">
        <v>0</v>
      </c>
      <c r="K171" s="11">
        <v>0</v>
      </c>
      <c r="L171" s="68">
        <v>263</v>
      </c>
    </row>
    <row r="172" spans="1:12" x14ac:dyDescent="0.25">
      <c r="A172" s="67" t="s">
        <v>280</v>
      </c>
      <c r="B172" s="26" t="s">
        <v>422</v>
      </c>
      <c r="C172" s="23">
        <f t="shared" ref="C172:C185" si="104">SUM(D172:L172)</f>
        <v>93264</v>
      </c>
      <c r="D172" s="68">
        <v>56504</v>
      </c>
      <c r="E172" s="11">
        <v>0</v>
      </c>
      <c r="F172" s="66">
        <v>24525</v>
      </c>
      <c r="G172" s="11">
        <v>0</v>
      </c>
      <c r="H172" s="66">
        <v>0</v>
      </c>
      <c r="I172" s="11">
        <v>0</v>
      </c>
      <c r="J172" s="68">
        <v>8009</v>
      </c>
      <c r="K172" s="11">
        <v>0</v>
      </c>
      <c r="L172" s="68">
        <v>4226</v>
      </c>
    </row>
    <row r="173" spans="1:12" x14ac:dyDescent="0.25">
      <c r="A173" s="67" t="s">
        <v>281</v>
      </c>
      <c r="B173" s="26" t="s">
        <v>300</v>
      </c>
      <c r="C173" s="23">
        <f t="shared" si="104"/>
        <v>88426</v>
      </c>
      <c r="D173" s="68">
        <v>68300</v>
      </c>
      <c r="E173" s="11">
        <v>4000</v>
      </c>
      <c r="F173" s="66">
        <v>19849</v>
      </c>
      <c r="G173" s="11">
        <v>-4000</v>
      </c>
      <c r="H173" s="66">
        <v>0</v>
      </c>
      <c r="I173" s="11">
        <v>0</v>
      </c>
      <c r="J173" s="68">
        <v>0</v>
      </c>
      <c r="K173" s="11">
        <v>0</v>
      </c>
      <c r="L173" s="68">
        <v>277</v>
      </c>
    </row>
    <row r="174" spans="1:12" x14ac:dyDescent="0.25">
      <c r="A174" s="67" t="s">
        <v>282</v>
      </c>
      <c r="B174" s="26" t="s">
        <v>301</v>
      </c>
      <c r="C174" s="23">
        <f t="shared" si="104"/>
        <v>67806</v>
      </c>
      <c r="D174" s="68">
        <v>57835</v>
      </c>
      <c r="E174" s="11">
        <v>0</v>
      </c>
      <c r="F174" s="66">
        <v>8599</v>
      </c>
      <c r="G174" s="11">
        <v>0</v>
      </c>
      <c r="H174" s="66">
        <v>0</v>
      </c>
      <c r="I174" s="11">
        <v>0</v>
      </c>
      <c r="J174" s="68">
        <v>0</v>
      </c>
      <c r="K174" s="11">
        <v>0</v>
      </c>
      <c r="L174" s="68">
        <v>1372</v>
      </c>
    </row>
    <row r="175" spans="1:12" x14ac:dyDescent="0.25">
      <c r="A175" s="67" t="s">
        <v>283</v>
      </c>
      <c r="B175" s="26" t="s">
        <v>302</v>
      </c>
      <c r="C175" s="23">
        <f t="shared" si="104"/>
        <v>117176</v>
      </c>
      <c r="D175" s="68">
        <v>50413</v>
      </c>
      <c r="E175" s="11">
        <v>0</v>
      </c>
      <c r="F175" s="66">
        <v>5175</v>
      </c>
      <c r="G175" s="11">
        <v>0</v>
      </c>
      <c r="H175" s="66">
        <v>59941</v>
      </c>
      <c r="I175" s="11">
        <v>0</v>
      </c>
      <c r="J175" s="66">
        <v>0</v>
      </c>
      <c r="K175" s="11">
        <v>0</v>
      </c>
      <c r="L175" s="68">
        <v>1647</v>
      </c>
    </row>
    <row r="176" spans="1:12" ht="25.5" x14ac:dyDescent="0.25">
      <c r="A176" s="67" t="s">
        <v>331</v>
      </c>
      <c r="B176" s="26" t="s">
        <v>404</v>
      </c>
      <c r="C176" s="23">
        <f t="shared" ref="C176:C177" si="105">SUM(D176:L176)</f>
        <v>143074</v>
      </c>
      <c r="D176" s="68">
        <f>20000-20000</f>
        <v>0</v>
      </c>
      <c r="E176" s="11">
        <v>0</v>
      </c>
      <c r="F176" s="66">
        <v>0</v>
      </c>
      <c r="G176" s="11">
        <v>0</v>
      </c>
      <c r="H176" s="66">
        <f>118711</f>
        <v>118711</v>
      </c>
      <c r="I176" s="11">
        <v>0</v>
      </c>
      <c r="J176" s="66">
        <v>0</v>
      </c>
      <c r="K176" s="11">
        <v>0</v>
      </c>
      <c r="L176" s="68">
        <v>24363</v>
      </c>
    </row>
    <row r="177" spans="1:12" ht="51" hidden="1" x14ac:dyDescent="0.25">
      <c r="A177" s="67" t="s">
        <v>417</v>
      </c>
      <c r="B177" s="26" t="s">
        <v>639</v>
      </c>
      <c r="C177" s="23">
        <f t="shared" si="105"/>
        <v>0</v>
      </c>
      <c r="D177" s="68"/>
      <c r="E177" s="11"/>
      <c r="F177" s="66"/>
      <c r="G177" s="11"/>
      <c r="H177" s="66"/>
      <c r="I177" s="11"/>
      <c r="J177" s="66"/>
      <c r="K177" s="11"/>
      <c r="L177" s="68"/>
    </row>
    <row r="178" spans="1:12" ht="76.5" x14ac:dyDescent="0.25">
      <c r="A178" s="67" t="s">
        <v>792</v>
      </c>
      <c r="B178" s="26" t="s">
        <v>793</v>
      </c>
      <c r="C178" s="23">
        <f t="shared" ref="C178" si="106">SUM(D178:L178)</f>
        <v>146523</v>
      </c>
      <c r="D178" s="68">
        <v>0</v>
      </c>
      <c r="E178" s="11">
        <v>0</v>
      </c>
      <c r="F178" s="66">
        <v>0</v>
      </c>
      <c r="G178" s="11">
        <v>0</v>
      </c>
      <c r="H178" s="66">
        <v>128923</v>
      </c>
      <c r="I178" s="11">
        <v>0</v>
      </c>
      <c r="J178" s="66">
        <v>0</v>
      </c>
      <c r="K178" s="11">
        <v>0</v>
      </c>
      <c r="L178" s="68">
        <v>17600</v>
      </c>
    </row>
    <row r="179" spans="1:12" x14ac:dyDescent="0.25">
      <c r="A179" s="62" t="s">
        <v>284</v>
      </c>
      <c r="B179" s="63" t="s">
        <v>326</v>
      </c>
      <c r="C179" s="23">
        <f>SUM(D179:L179)</f>
        <v>529287</v>
      </c>
      <c r="D179" s="23">
        <f>SUM(D180:D181)</f>
        <v>524119</v>
      </c>
      <c r="E179" s="32">
        <f t="shared" ref="E179:L179" si="107">SUM(E180:E181)</f>
        <v>0</v>
      </c>
      <c r="F179" s="27">
        <f t="shared" si="107"/>
        <v>0</v>
      </c>
      <c r="G179" s="32">
        <f t="shared" si="107"/>
        <v>0</v>
      </c>
      <c r="H179" s="27">
        <f t="shared" si="107"/>
        <v>0</v>
      </c>
      <c r="I179" s="32">
        <f t="shared" si="107"/>
        <v>0</v>
      </c>
      <c r="J179" s="27">
        <f t="shared" si="107"/>
        <v>0</v>
      </c>
      <c r="K179" s="24">
        <f t="shared" si="107"/>
        <v>0</v>
      </c>
      <c r="L179" s="23">
        <f t="shared" si="107"/>
        <v>5168</v>
      </c>
    </row>
    <row r="180" spans="1:12" ht="22.5" customHeight="1" x14ac:dyDescent="0.25">
      <c r="A180" s="67" t="s">
        <v>285</v>
      </c>
      <c r="B180" s="26" t="s">
        <v>303</v>
      </c>
      <c r="C180" s="23">
        <f t="shared" si="104"/>
        <v>239291</v>
      </c>
      <c r="D180" s="68">
        <f>233959+5000</f>
        <v>238959</v>
      </c>
      <c r="E180" s="11">
        <v>0</v>
      </c>
      <c r="F180" s="66">
        <v>0</v>
      </c>
      <c r="G180" s="11">
        <v>0</v>
      </c>
      <c r="H180" s="66">
        <v>0</v>
      </c>
      <c r="I180" s="11">
        <v>0</v>
      </c>
      <c r="J180" s="66">
        <v>0</v>
      </c>
      <c r="K180" s="11">
        <v>0</v>
      </c>
      <c r="L180" s="68">
        <v>332</v>
      </c>
    </row>
    <row r="181" spans="1:12" x14ac:dyDescent="0.25">
      <c r="A181" s="67" t="s">
        <v>286</v>
      </c>
      <c r="B181" s="26" t="s">
        <v>304</v>
      </c>
      <c r="C181" s="23">
        <f t="shared" si="104"/>
        <v>289996</v>
      </c>
      <c r="D181" s="68">
        <f>284380+780</f>
        <v>285160</v>
      </c>
      <c r="E181" s="11">
        <v>0</v>
      </c>
      <c r="F181" s="66">
        <v>0</v>
      </c>
      <c r="G181" s="11">
        <v>0</v>
      </c>
      <c r="H181" s="66">
        <v>0</v>
      </c>
      <c r="I181" s="11">
        <v>0</v>
      </c>
      <c r="J181" s="66">
        <v>0</v>
      </c>
      <c r="K181" s="11">
        <v>0</v>
      </c>
      <c r="L181" s="68">
        <v>4836</v>
      </c>
    </row>
    <row r="182" spans="1:12" x14ac:dyDescent="0.25">
      <c r="A182" s="62" t="s">
        <v>287</v>
      </c>
      <c r="B182" s="63" t="s">
        <v>305</v>
      </c>
      <c r="C182" s="23">
        <f>SUM(D182:L182)</f>
        <v>1075386</v>
      </c>
      <c r="D182" s="23">
        <f>SUM(D183:D185)</f>
        <v>1007311</v>
      </c>
      <c r="E182" s="32">
        <f t="shared" ref="E182:L182" si="108">SUM(E183:E185)</f>
        <v>22471</v>
      </c>
      <c r="F182" s="27">
        <f t="shared" si="108"/>
        <v>5850</v>
      </c>
      <c r="G182" s="32">
        <f t="shared" si="108"/>
        <v>1358</v>
      </c>
      <c r="H182" s="27">
        <f t="shared" si="108"/>
        <v>33788</v>
      </c>
      <c r="I182" s="32">
        <f t="shared" si="108"/>
        <v>515</v>
      </c>
      <c r="J182" s="27">
        <f t="shared" si="108"/>
        <v>0</v>
      </c>
      <c r="K182" s="24">
        <f t="shared" si="108"/>
        <v>0</v>
      </c>
      <c r="L182" s="23">
        <f t="shared" si="108"/>
        <v>4093</v>
      </c>
    </row>
    <row r="183" spans="1:12" ht="38.25" x14ac:dyDescent="0.25">
      <c r="A183" s="67" t="s">
        <v>288</v>
      </c>
      <c r="B183" s="26" t="s">
        <v>306</v>
      </c>
      <c r="C183" s="23">
        <f t="shared" si="104"/>
        <v>880090</v>
      </c>
      <c r="D183" s="68">
        <f>941101-16000-112897</f>
        <v>812204</v>
      </c>
      <c r="E183" s="11">
        <v>22300</v>
      </c>
      <c r="F183" s="66">
        <f>5850</f>
        <v>5850</v>
      </c>
      <c r="G183" s="11">
        <v>1358</v>
      </c>
      <c r="H183" s="66">
        <f>31548+2240</f>
        <v>33788</v>
      </c>
      <c r="I183" s="11">
        <v>515</v>
      </c>
      <c r="J183" s="66">
        <v>0</v>
      </c>
      <c r="K183" s="11">
        <v>0</v>
      </c>
      <c r="L183" s="68">
        <v>4075</v>
      </c>
    </row>
    <row r="184" spans="1:12" ht="25.5" x14ac:dyDescent="0.25">
      <c r="A184" s="67" t="s">
        <v>289</v>
      </c>
      <c r="B184" s="26" t="s">
        <v>359</v>
      </c>
      <c r="C184" s="23">
        <f t="shared" si="104"/>
        <v>195296</v>
      </c>
      <c r="D184" s="68">
        <f>194707+400</f>
        <v>195107</v>
      </c>
      <c r="E184" s="11">
        <v>171</v>
      </c>
      <c r="F184" s="66">
        <v>0</v>
      </c>
      <c r="G184" s="11">
        <v>0</v>
      </c>
      <c r="H184" s="66">
        <v>0</v>
      </c>
      <c r="I184" s="11">
        <v>0</v>
      </c>
      <c r="J184" s="66">
        <v>0</v>
      </c>
      <c r="K184" s="11">
        <v>0</v>
      </c>
      <c r="L184" s="68">
        <v>18</v>
      </c>
    </row>
    <row r="185" spans="1:12" hidden="1" x14ac:dyDescent="0.25">
      <c r="A185" s="57"/>
      <c r="B185" s="58"/>
      <c r="C185" s="79">
        <f t="shared" si="104"/>
        <v>0</v>
      </c>
      <c r="D185" s="82"/>
      <c r="E185" s="91"/>
      <c r="F185" s="82"/>
      <c r="G185" s="91"/>
      <c r="H185" s="82"/>
      <c r="I185" s="91"/>
      <c r="J185" s="82"/>
      <c r="K185" s="91"/>
      <c r="L185" s="82"/>
    </row>
    <row r="186" spans="1:12" x14ac:dyDescent="0.25">
      <c r="A186" s="62" t="s">
        <v>504</v>
      </c>
      <c r="B186" s="63" t="s">
        <v>307</v>
      </c>
      <c r="C186" s="23">
        <f>SUM(D186:L186)</f>
        <v>53000</v>
      </c>
      <c r="D186" s="23">
        <f>D187</f>
        <v>23000</v>
      </c>
      <c r="E186" s="24">
        <f t="shared" ref="E186:L186" si="109">E187</f>
        <v>0</v>
      </c>
      <c r="F186" s="23">
        <f t="shared" si="109"/>
        <v>0</v>
      </c>
      <c r="G186" s="24">
        <f t="shared" si="109"/>
        <v>0</v>
      </c>
      <c r="H186" s="23">
        <f t="shared" si="109"/>
        <v>30000</v>
      </c>
      <c r="I186" s="24">
        <f t="shared" si="109"/>
        <v>0</v>
      </c>
      <c r="J186" s="23">
        <f t="shared" si="109"/>
        <v>0</v>
      </c>
      <c r="K186" s="24">
        <f t="shared" si="109"/>
        <v>0</v>
      </c>
      <c r="L186" s="23">
        <f t="shared" si="109"/>
        <v>0</v>
      </c>
    </row>
    <row r="187" spans="1:12" x14ac:dyDescent="0.25">
      <c r="A187" s="67" t="s">
        <v>290</v>
      </c>
      <c r="B187" s="26" t="s">
        <v>307</v>
      </c>
      <c r="C187" s="23">
        <f>SUM(D187:L187)</f>
        <v>53000</v>
      </c>
      <c r="D187" s="68">
        <v>23000</v>
      </c>
      <c r="E187" s="11">
        <v>0</v>
      </c>
      <c r="F187" s="66">
        <v>0</v>
      </c>
      <c r="G187" s="11">
        <v>0</v>
      </c>
      <c r="H187" s="66">
        <v>30000</v>
      </c>
      <c r="I187" s="11">
        <v>0</v>
      </c>
      <c r="J187" s="66">
        <v>0</v>
      </c>
      <c r="K187" s="11">
        <v>0</v>
      </c>
      <c r="L187" s="68">
        <v>0</v>
      </c>
    </row>
    <row r="188" spans="1:12" x14ac:dyDescent="0.25">
      <c r="A188" s="62" t="s">
        <v>505</v>
      </c>
      <c r="B188" s="63" t="s">
        <v>506</v>
      </c>
      <c r="C188" s="23">
        <f>SUM(D188:L188)</f>
        <v>335040</v>
      </c>
      <c r="D188" s="23">
        <f>D189</f>
        <v>335040</v>
      </c>
      <c r="E188" s="24">
        <f t="shared" ref="E188:L188" si="110">E189</f>
        <v>0</v>
      </c>
      <c r="F188" s="23">
        <f t="shared" si="110"/>
        <v>0</v>
      </c>
      <c r="G188" s="24">
        <f t="shared" si="110"/>
        <v>0</v>
      </c>
      <c r="H188" s="23">
        <f t="shared" si="110"/>
        <v>0</v>
      </c>
      <c r="I188" s="24">
        <f t="shared" si="110"/>
        <v>0</v>
      </c>
      <c r="J188" s="23">
        <f t="shared" si="110"/>
        <v>0</v>
      </c>
      <c r="K188" s="24">
        <f t="shared" si="110"/>
        <v>0</v>
      </c>
      <c r="L188" s="23">
        <f t="shared" si="110"/>
        <v>0</v>
      </c>
    </row>
    <row r="189" spans="1:12" ht="35.25" customHeight="1" x14ac:dyDescent="0.25">
      <c r="A189" s="67" t="s">
        <v>291</v>
      </c>
      <c r="B189" s="26" t="s">
        <v>308</v>
      </c>
      <c r="C189" s="23">
        <f>SUM(D189:L189)</f>
        <v>335040</v>
      </c>
      <c r="D189" s="68">
        <v>335040</v>
      </c>
      <c r="E189" s="11">
        <v>0</v>
      </c>
      <c r="F189" s="66">
        <v>0</v>
      </c>
      <c r="G189" s="11">
        <v>0</v>
      </c>
      <c r="H189" s="66">
        <v>0</v>
      </c>
      <c r="I189" s="11">
        <v>0</v>
      </c>
      <c r="J189" s="66">
        <v>0</v>
      </c>
      <c r="K189" s="11">
        <v>0</v>
      </c>
      <c r="L189" s="68">
        <v>0</v>
      </c>
    </row>
    <row r="190" spans="1:12" ht="40.5" customHeight="1" x14ac:dyDescent="0.25">
      <c r="A190" s="62" t="s">
        <v>292</v>
      </c>
      <c r="B190" s="63" t="s">
        <v>309</v>
      </c>
      <c r="C190" s="23">
        <f>SUM(D190:L190)</f>
        <v>2039532</v>
      </c>
      <c r="D190" s="23">
        <f>SUM(D191:D196)</f>
        <v>1403992</v>
      </c>
      <c r="E190" s="32">
        <f t="shared" ref="E190:L190" si="111">SUM(E191:E196)</f>
        <v>-4000</v>
      </c>
      <c r="F190" s="27">
        <f t="shared" si="111"/>
        <v>13940</v>
      </c>
      <c r="G190" s="32">
        <f t="shared" si="111"/>
        <v>0</v>
      </c>
      <c r="H190" s="27">
        <f t="shared" si="111"/>
        <v>617322</v>
      </c>
      <c r="I190" s="32">
        <f t="shared" si="111"/>
        <v>0</v>
      </c>
      <c r="J190" s="27">
        <f t="shared" si="111"/>
        <v>1205</v>
      </c>
      <c r="K190" s="24">
        <f t="shared" si="111"/>
        <v>0</v>
      </c>
      <c r="L190" s="23">
        <f t="shared" si="111"/>
        <v>7073</v>
      </c>
    </row>
    <row r="191" spans="1:12" x14ac:dyDescent="0.25">
      <c r="A191" s="67" t="s">
        <v>293</v>
      </c>
      <c r="B191" s="26" t="s">
        <v>310</v>
      </c>
      <c r="C191" s="23">
        <f t="shared" ref="C191:C201" si="112">SUM(D191:L191)</f>
        <v>9175</v>
      </c>
      <c r="D191" s="68">
        <v>9175</v>
      </c>
      <c r="E191" s="11">
        <v>0</v>
      </c>
      <c r="F191" s="66">
        <v>0</v>
      </c>
      <c r="G191" s="11">
        <v>0</v>
      </c>
      <c r="H191" s="66">
        <v>0</v>
      </c>
      <c r="I191" s="11">
        <v>0</v>
      </c>
      <c r="J191" s="66">
        <v>0</v>
      </c>
      <c r="K191" s="11">
        <v>0</v>
      </c>
      <c r="L191" s="68">
        <v>0</v>
      </c>
    </row>
    <row r="192" spans="1:12" ht="53.25" customHeight="1" x14ac:dyDescent="0.25">
      <c r="A192" s="67" t="s">
        <v>294</v>
      </c>
      <c r="B192" s="26" t="s">
        <v>363</v>
      </c>
      <c r="C192" s="23">
        <f t="shared" si="112"/>
        <v>61399</v>
      </c>
      <c r="D192" s="68">
        <f>67899-6926</f>
        <v>60973</v>
      </c>
      <c r="E192" s="11">
        <v>0</v>
      </c>
      <c r="F192" s="66">
        <v>0</v>
      </c>
      <c r="G192" s="11">
        <v>0</v>
      </c>
      <c r="H192" s="66">
        <f>426</f>
        <v>426</v>
      </c>
      <c r="I192" s="11">
        <v>0</v>
      </c>
      <c r="J192" s="66">
        <v>0</v>
      </c>
      <c r="K192" s="11">
        <v>0</v>
      </c>
      <c r="L192" s="68">
        <v>0</v>
      </c>
    </row>
    <row r="193" spans="1:12" x14ac:dyDescent="0.25">
      <c r="A193" s="67" t="s">
        <v>295</v>
      </c>
      <c r="B193" s="26" t="s">
        <v>311</v>
      </c>
      <c r="C193" s="23">
        <f t="shared" si="112"/>
        <v>92135</v>
      </c>
      <c r="D193" s="68">
        <v>80996</v>
      </c>
      <c r="E193" s="11">
        <v>0</v>
      </c>
      <c r="F193" s="66">
        <f>6640</f>
        <v>6640</v>
      </c>
      <c r="G193" s="11">
        <v>0</v>
      </c>
      <c r="H193" s="66">
        <v>0</v>
      </c>
      <c r="I193" s="11">
        <v>0</v>
      </c>
      <c r="J193" s="66">
        <v>1205</v>
      </c>
      <c r="K193" s="11">
        <v>0</v>
      </c>
      <c r="L193" s="68">
        <v>3294</v>
      </c>
    </row>
    <row r="194" spans="1:12" x14ac:dyDescent="0.25">
      <c r="A194" s="67" t="s">
        <v>296</v>
      </c>
      <c r="B194" s="26" t="s">
        <v>312</v>
      </c>
      <c r="C194" s="23">
        <f t="shared" ref="C194" si="113">SUM(D194:L194)</f>
        <v>15673</v>
      </c>
      <c r="D194" s="68">
        <v>12673</v>
      </c>
      <c r="E194" s="11">
        <v>0</v>
      </c>
      <c r="F194" s="66">
        <f>3000</f>
        <v>3000</v>
      </c>
      <c r="G194" s="11">
        <v>0</v>
      </c>
      <c r="H194" s="66">
        <v>0</v>
      </c>
      <c r="I194" s="11">
        <v>0</v>
      </c>
      <c r="J194" s="66">
        <v>0</v>
      </c>
      <c r="K194" s="11">
        <v>0</v>
      </c>
      <c r="L194" s="68">
        <v>0</v>
      </c>
    </row>
    <row r="195" spans="1:12" ht="25.5" x14ac:dyDescent="0.25">
      <c r="A195" s="67" t="s">
        <v>507</v>
      </c>
      <c r="B195" s="26" t="s">
        <v>508</v>
      </c>
      <c r="C195" s="23">
        <f t="shared" si="112"/>
        <v>229154</v>
      </c>
      <c r="D195" s="68">
        <f>255595-30520</f>
        <v>225075</v>
      </c>
      <c r="E195" s="11">
        <v>-4000</v>
      </c>
      <c r="F195" s="66">
        <f>4300</f>
        <v>4300</v>
      </c>
      <c r="G195" s="11">
        <v>0</v>
      </c>
      <c r="H195" s="66">
        <v>0</v>
      </c>
      <c r="I195" s="11">
        <v>0</v>
      </c>
      <c r="J195" s="66">
        <v>0</v>
      </c>
      <c r="K195" s="11">
        <v>0</v>
      </c>
      <c r="L195" s="68">
        <v>3779</v>
      </c>
    </row>
    <row r="196" spans="1:12" ht="38.25" x14ac:dyDescent="0.25">
      <c r="A196" s="67" t="s">
        <v>509</v>
      </c>
      <c r="B196" s="26" t="s">
        <v>510</v>
      </c>
      <c r="C196" s="23">
        <f t="shared" si="112"/>
        <v>1631996</v>
      </c>
      <c r="D196" s="68">
        <f>1982796-967696</f>
        <v>1015100</v>
      </c>
      <c r="E196" s="11">
        <v>0</v>
      </c>
      <c r="F196" s="66">
        <v>0</v>
      </c>
      <c r="G196" s="11">
        <v>0</v>
      </c>
      <c r="H196" s="66">
        <v>616896</v>
      </c>
      <c r="I196" s="11">
        <v>0</v>
      </c>
      <c r="J196" s="66">
        <v>0</v>
      </c>
      <c r="K196" s="11">
        <v>0</v>
      </c>
      <c r="L196" s="68">
        <v>0</v>
      </c>
    </row>
    <row r="197" spans="1:12" ht="25.5" x14ac:dyDescent="0.25">
      <c r="A197" s="62" t="s">
        <v>297</v>
      </c>
      <c r="B197" s="63" t="s">
        <v>313</v>
      </c>
      <c r="C197" s="23">
        <f>SUM(D197:L197)</f>
        <v>1670053</v>
      </c>
      <c r="D197" s="23">
        <f>SUM(D198:D201)</f>
        <v>1599664</v>
      </c>
      <c r="E197" s="32">
        <f t="shared" ref="E197:L197" si="114">SUM(E198:E201)</f>
        <v>10000</v>
      </c>
      <c r="F197" s="27">
        <f t="shared" si="114"/>
        <v>650</v>
      </c>
      <c r="G197" s="32">
        <f t="shared" si="114"/>
        <v>0</v>
      </c>
      <c r="H197" s="27">
        <f t="shared" si="114"/>
        <v>27000</v>
      </c>
      <c r="I197" s="32">
        <f t="shared" si="114"/>
        <v>0</v>
      </c>
      <c r="J197" s="27">
        <f t="shared" si="114"/>
        <v>0</v>
      </c>
      <c r="K197" s="24">
        <f t="shared" si="114"/>
        <v>0</v>
      </c>
      <c r="L197" s="23">
        <f t="shared" si="114"/>
        <v>32739</v>
      </c>
    </row>
    <row r="198" spans="1:12" ht="38.25" x14ac:dyDescent="0.25">
      <c r="A198" s="67" t="s">
        <v>314</v>
      </c>
      <c r="B198" s="26" t="s">
        <v>360</v>
      </c>
      <c r="C198" s="23">
        <f t="shared" si="112"/>
        <v>1127601</v>
      </c>
      <c r="D198" s="68">
        <v>1119147</v>
      </c>
      <c r="E198" s="11">
        <v>0</v>
      </c>
      <c r="F198" s="66">
        <f>180</f>
        <v>180</v>
      </c>
      <c r="G198" s="11">
        <v>0</v>
      </c>
      <c r="H198" s="66">
        <v>0</v>
      </c>
      <c r="I198" s="11">
        <v>0</v>
      </c>
      <c r="J198" s="66">
        <v>0</v>
      </c>
      <c r="K198" s="11">
        <v>0</v>
      </c>
      <c r="L198" s="68">
        <v>8274</v>
      </c>
    </row>
    <row r="199" spans="1:12" ht="25.5" x14ac:dyDescent="0.25">
      <c r="A199" s="67" t="s">
        <v>298</v>
      </c>
      <c r="B199" s="26" t="s">
        <v>327</v>
      </c>
      <c r="C199" s="23">
        <f t="shared" ref="C199:C200" si="115">SUM(D199:L199)</f>
        <v>85520</v>
      </c>
      <c r="D199" s="68">
        <f>7179+30800+10520</f>
        <v>48499</v>
      </c>
      <c r="E199" s="11">
        <v>10000</v>
      </c>
      <c r="F199" s="66">
        <v>0</v>
      </c>
      <c r="G199" s="11">
        <v>0</v>
      </c>
      <c r="H199" s="66">
        <f>27000</f>
        <v>27000</v>
      </c>
      <c r="I199" s="11">
        <v>0</v>
      </c>
      <c r="J199" s="66">
        <v>0</v>
      </c>
      <c r="K199" s="11">
        <v>0</v>
      </c>
      <c r="L199" s="68">
        <v>21</v>
      </c>
    </row>
    <row r="200" spans="1:12" ht="38.25" x14ac:dyDescent="0.25">
      <c r="A200" s="67" t="s">
        <v>299</v>
      </c>
      <c r="B200" s="26" t="s">
        <v>315</v>
      </c>
      <c r="C200" s="23">
        <f t="shared" si="115"/>
        <v>269250</v>
      </c>
      <c r="D200" s="68">
        <v>244806</v>
      </c>
      <c r="E200" s="11">
        <v>0</v>
      </c>
      <c r="F200" s="68">
        <v>0</v>
      </c>
      <c r="G200" s="11">
        <v>0</v>
      </c>
      <c r="H200" s="68">
        <v>0</v>
      </c>
      <c r="I200" s="11">
        <v>0</v>
      </c>
      <c r="J200" s="68">
        <v>0</v>
      </c>
      <c r="K200" s="11">
        <v>0</v>
      </c>
      <c r="L200" s="68">
        <v>24444</v>
      </c>
    </row>
    <row r="201" spans="1:12" x14ac:dyDescent="0.25">
      <c r="A201" s="64" t="s">
        <v>823</v>
      </c>
      <c r="B201" s="65" t="s">
        <v>824</v>
      </c>
      <c r="C201" s="27">
        <f t="shared" si="112"/>
        <v>187682</v>
      </c>
      <c r="D201" s="66">
        <f>184241+2971</f>
        <v>187212</v>
      </c>
      <c r="E201" s="11">
        <v>0</v>
      </c>
      <c r="F201" s="66">
        <f>470</f>
        <v>470</v>
      </c>
      <c r="G201" s="11">
        <v>0</v>
      </c>
      <c r="H201" s="66">
        <v>0</v>
      </c>
      <c r="I201" s="11">
        <v>0</v>
      </c>
      <c r="J201" s="66">
        <v>0</v>
      </c>
      <c r="K201" s="11">
        <v>0</v>
      </c>
      <c r="L201" s="66">
        <v>0</v>
      </c>
    </row>
    <row r="202" spans="1:12" x14ac:dyDescent="0.25">
      <c r="A202" s="85"/>
      <c r="B202" s="31" t="s">
        <v>112</v>
      </c>
      <c r="C202" s="29">
        <f>SUM(D202:L202)</f>
        <v>8907027</v>
      </c>
      <c r="D202" s="29">
        <f>D203+D204+D210</f>
        <v>1076679</v>
      </c>
      <c r="E202" s="29">
        <f t="shared" ref="E202:L202" si="116">E203+E204+E210</f>
        <v>-171</v>
      </c>
      <c r="F202" s="29">
        <f t="shared" si="116"/>
        <v>28377</v>
      </c>
      <c r="G202" s="29">
        <f t="shared" si="116"/>
        <v>0</v>
      </c>
      <c r="H202" s="29">
        <f t="shared" si="116"/>
        <v>956993</v>
      </c>
      <c r="I202" s="29">
        <f t="shared" si="116"/>
        <v>0</v>
      </c>
      <c r="J202" s="29">
        <f t="shared" si="116"/>
        <v>0</v>
      </c>
      <c r="K202" s="29">
        <f t="shared" si="116"/>
        <v>0</v>
      </c>
      <c r="L202" s="29">
        <f t="shared" si="116"/>
        <v>6845149</v>
      </c>
    </row>
    <row r="203" spans="1:12" ht="25.5" x14ac:dyDescent="0.25">
      <c r="A203" s="62" t="s">
        <v>113</v>
      </c>
      <c r="B203" s="63" t="s">
        <v>124</v>
      </c>
      <c r="C203" s="23">
        <f>SUM(D203:L203)</f>
        <v>7830519</v>
      </c>
      <c r="D203" s="23">
        <v>0</v>
      </c>
      <c r="E203" s="11">
        <v>0</v>
      </c>
      <c r="F203" s="27">
        <f>28377</f>
        <v>28377</v>
      </c>
      <c r="G203" s="11">
        <v>0</v>
      </c>
      <c r="H203" s="27">
        <f>388970+568023</f>
        <v>956993</v>
      </c>
      <c r="I203" s="11">
        <v>0</v>
      </c>
      <c r="J203" s="27">
        <v>0</v>
      </c>
      <c r="K203" s="11">
        <v>0</v>
      </c>
      <c r="L203" s="23">
        <v>6845149</v>
      </c>
    </row>
    <row r="204" spans="1:12" ht="25.5" x14ac:dyDescent="0.25">
      <c r="A204" s="62" t="s">
        <v>114</v>
      </c>
      <c r="B204" s="63" t="s">
        <v>125</v>
      </c>
      <c r="C204" s="23">
        <f>SUM(D204:L204)</f>
        <v>851258</v>
      </c>
      <c r="D204" s="23">
        <f>SUM(D205:D209)</f>
        <v>851258</v>
      </c>
      <c r="E204" s="32">
        <f t="shared" ref="E204:L204" si="117">SUM(E205:E209)</f>
        <v>0</v>
      </c>
      <c r="F204" s="27">
        <f t="shared" si="117"/>
        <v>0</v>
      </c>
      <c r="G204" s="32">
        <f t="shared" si="117"/>
        <v>0</v>
      </c>
      <c r="H204" s="27">
        <f t="shared" si="117"/>
        <v>0</v>
      </c>
      <c r="I204" s="32">
        <f t="shared" si="117"/>
        <v>0</v>
      </c>
      <c r="J204" s="27">
        <f t="shared" si="117"/>
        <v>0</v>
      </c>
      <c r="K204" s="24">
        <f t="shared" si="117"/>
        <v>0</v>
      </c>
      <c r="L204" s="23">
        <f t="shared" si="117"/>
        <v>0</v>
      </c>
    </row>
    <row r="205" spans="1:12" ht="25.5" hidden="1" x14ac:dyDescent="0.25">
      <c r="A205" s="74"/>
      <c r="B205" s="26" t="s">
        <v>361</v>
      </c>
      <c r="C205" s="23">
        <f t="shared" ref="C205:C209" si="118">SUM(D205:L205)</f>
        <v>0</v>
      </c>
      <c r="D205" s="68">
        <v>0</v>
      </c>
      <c r="E205" s="11">
        <v>0</v>
      </c>
      <c r="F205" s="68">
        <v>0</v>
      </c>
      <c r="G205" s="12">
        <v>0</v>
      </c>
      <c r="H205" s="68">
        <v>0</v>
      </c>
      <c r="I205" s="12">
        <v>0</v>
      </c>
      <c r="J205" s="68">
        <v>0</v>
      </c>
      <c r="K205" s="12">
        <v>0</v>
      </c>
      <c r="L205" s="106">
        <v>0</v>
      </c>
    </row>
    <row r="206" spans="1:12" x14ac:dyDescent="0.25">
      <c r="A206" s="74"/>
      <c r="B206" s="26" t="s">
        <v>337</v>
      </c>
      <c r="C206" s="23">
        <f t="shared" si="118"/>
        <v>24174</v>
      </c>
      <c r="D206" s="68">
        <f>25000-826</f>
        <v>24174</v>
      </c>
      <c r="E206" s="11">
        <v>0</v>
      </c>
      <c r="F206" s="68">
        <v>0</v>
      </c>
      <c r="G206" s="12">
        <v>0</v>
      </c>
      <c r="H206" s="68">
        <v>0</v>
      </c>
      <c r="I206" s="12">
        <v>0</v>
      </c>
      <c r="J206" s="68">
        <v>0</v>
      </c>
      <c r="K206" s="12">
        <v>0</v>
      </c>
      <c r="L206" s="106">
        <v>0</v>
      </c>
    </row>
    <row r="207" spans="1:12" ht="16.5" customHeight="1" x14ac:dyDescent="0.25">
      <c r="A207" s="74"/>
      <c r="B207" s="26" t="s">
        <v>336</v>
      </c>
      <c r="C207" s="23">
        <f t="shared" si="118"/>
        <v>701392</v>
      </c>
      <c r="D207" s="68">
        <f>573055+109280+19057</f>
        <v>701392</v>
      </c>
      <c r="E207" s="11">
        <v>0</v>
      </c>
      <c r="F207" s="66">
        <v>0</v>
      </c>
      <c r="G207" s="11">
        <v>0</v>
      </c>
      <c r="H207" s="66">
        <v>0</v>
      </c>
      <c r="I207" s="12">
        <v>0</v>
      </c>
      <c r="J207" s="68">
        <v>0</v>
      </c>
      <c r="K207" s="12">
        <v>0</v>
      </c>
      <c r="L207" s="106">
        <v>0</v>
      </c>
    </row>
    <row r="208" spans="1:12" x14ac:dyDescent="0.25">
      <c r="A208" s="74"/>
      <c r="B208" s="26" t="s">
        <v>335</v>
      </c>
      <c r="C208" s="23">
        <f t="shared" si="118"/>
        <v>125692</v>
      </c>
      <c r="D208" s="68">
        <f>100000+25692</f>
        <v>125692</v>
      </c>
      <c r="E208" s="11">
        <v>0</v>
      </c>
      <c r="F208" s="66">
        <v>0</v>
      </c>
      <c r="G208" s="11">
        <v>0</v>
      </c>
      <c r="H208" s="66">
        <v>0</v>
      </c>
      <c r="I208" s="12">
        <v>0</v>
      </c>
      <c r="J208" s="68">
        <v>0</v>
      </c>
      <c r="K208" s="12">
        <v>0</v>
      </c>
      <c r="L208" s="106">
        <v>0</v>
      </c>
    </row>
    <row r="209" spans="1:12" hidden="1" x14ac:dyDescent="0.25">
      <c r="A209" s="74"/>
      <c r="B209" s="26" t="s">
        <v>334</v>
      </c>
      <c r="C209" s="23">
        <f t="shared" si="118"/>
        <v>0</v>
      </c>
      <c r="D209" s="68">
        <v>0</v>
      </c>
      <c r="E209" s="11">
        <v>0</v>
      </c>
      <c r="F209" s="66">
        <v>0</v>
      </c>
      <c r="G209" s="11">
        <v>0</v>
      </c>
      <c r="H209" s="66">
        <v>0</v>
      </c>
      <c r="I209" s="12">
        <v>0</v>
      </c>
      <c r="J209" s="68">
        <v>0</v>
      </c>
      <c r="K209" s="12">
        <v>0</v>
      </c>
      <c r="L209" s="106">
        <v>0</v>
      </c>
    </row>
    <row r="210" spans="1:12" ht="25.5" x14ac:dyDescent="0.25">
      <c r="A210" s="62" t="s">
        <v>93</v>
      </c>
      <c r="B210" s="63" t="s">
        <v>127</v>
      </c>
      <c r="C210" s="23">
        <f>SUM(D210:L210)</f>
        <v>225250</v>
      </c>
      <c r="D210" s="103">
        <f>1774288-152000-490583-906284</f>
        <v>225421</v>
      </c>
      <c r="E210" s="120">
        <v>-171</v>
      </c>
      <c r="F210" s="114">
        <v>0</v>
      </c>
      <c r="G210" s="120">
        <v>0</v>
      </c>
      <c r="H210" s="114">
        <v>0</v>
      </c>
      <c r="I210" s="120">
        <v>0</v>
      </c>
      <c r="J210" s="103">
        <v>0</v>
      </c>
      <c r="K210" s="107">
        <v>0</v>
      </c>
      <c r="L210" s="103">
        <v>0</v>
      </c>
    </row>
    <row r="211" spans="1:12" x14ac:dyDescent="0.25">
      <c r="A211" s="59"/>
      <c r="B211" s="110" t="s">
        <v>317</v>
      </c>
      <c r="C211" s="108">
        <f>C11+C202</f>
        <v>110273621</v>
      </c>
      <c r="D211" s="108">
        <f>D11+D202</f>
        <v>67565411</v>
      </c>
      <c r="E211" s="109">
        <f>E11+E202</f>
        <v>-15001</v>
      </c>
      <c r="F211" s="108">
        <f t="shared" ref="F211:L211" si="119">F11+F202</f>
        <v>1767514</v>
      </c>
      <c r="G211" s="109">
        <f t="shared" si="119"/>
        <v>-2642</v>
      </c>
      <c r="H211" s="108">
        <f t="shared" si="119"/>
        <v>27026190</v>
      </c>
      <c r="I211" s="109">
        <f t="shared" si="119"/>
        <v>28947</v>
      </c>
      <c r="J211" s="108">
        <f t="shared" si="119"/>
        <v>608147</v>
      </c>
      <c r="K211" s="109">
        <f t="shared" si="119"/>
        <v>0</v>
      </c>
      <c r="L211" s="108">
        <f t="shared" si="119"/>
        <v>13295055</v>
      </c>
    </row>
    <row r="212" spans="1:12" x14ac:dyDescent="0.25">
      <c r="A212" s="9"/>
      <c r="B212" s="8"/>
      <c r="C212" s="17"/>
      <c r="D212" s="9"/>
      <c r="E212" s="87"/>
      <c r="F212" s="9"/>
      <c r="G212" s="87"/>
      <c r="H212" s="9"/>
      <c r="I212" s="87"/>
      <c r="J212" s="9"/>
      <c r="K212" s="87"/>
    </row>
    <row r="213" spans="1:12" ht="18.75" x14ac:dyDescent="0.3">
      <c r="A213" s="366" t="s">
        <v>102</v>
      </c>
      <c r="B213" s="366"/>
      <c r="C213" s="33"/>
      <c r="D213" s="7"/>
      <c r="E213" s="88"/>
      <c r="F213" s="7"/>
      <c r="G213" s="89"/>
      <c r="H213" s="7"/>
      <c r="I213" s="89"/>
      <c r="J213" s="7"/>
      <c r="K213" s="367" t="s">
        <v>103</v>
      </c>
      <c r="L213" s="367"/>
    </row>
    <row r="214" spans="1:12" x14ac:dyDescent="0.25">
      <c r="A214" s="9"/>
      <c r="B214" s="8"/>
      <c r="C214" s="17"/>
      <c r="D214" s="9"/>
      <c r="E214" s="87"/>
      <c r="F214" s="9"/>
      <c r="G214" s="87"/>
      <c r="H214" s="9"/>
      <c r="I214" s="87"/>
      <c r="J214" s="9"/>
      <c r="K214" s="87"/>
    </row>
    <row r="215" spans="1:12" x14ac:dyDescent="0.25">
      <c r="A215" s="9"/>
      <c r="B215" s="8"/>
      <c r="C215" s="17"/>
      <c r="D215" s="9"/>
      <c r="E215" s="162"/>
      <c r="F215" s="9"/>
      <c r="G215" s="87"/>
      <c r="H215" s="9"/>
      <c r="I215" s="87"/>
      <c r="J215" s="9"/>
      <c r="K215" s="87"/>
    </row>
    <row r="216" spans="1:12" x14ac:dyDescent="0.25">
      <c r="A216" s="9"/>
      <c r="C216" s="17"/>
      <c r="D216" s="9"/>
      <c r="E216" s="87"/>
      <c r="F216" s="9"/>
      <c r="G216" s="87"/>
      <c r="H216" s="9"/>
      <c r="I216" s="87"/>
      <c r="J216" s="9"/>
      <c r="K216" s="87"/>
    </row>
    <row r="217" spans="1:12" x14ac:dyDescent="0.25">
      <c r="A217" s="9"/>
      <c r="C217" s="17"/>
      <c r="D217" s="9"/>
      <c r="E217" s="87"/>
      <c r="F217" s="9"/>
      <c r="G217" s="87"/>
      <c r="H217" s="9"/>
      <c r="I217" s="87"/>
      <c r="J217" s="9"/>
      <c r="K217" s="87"/>
    </row>
    <row r="218" spans="1:12" x14ac:dyDescent="0.25">
      <c r="A218" s="9"/>
      <c r="C218" s="17"/>
      <c r="D218" s="9"/>
      <c r="E218" s="87"/>
      <c r="F218" s="9"/>
      <c r="G218" s="87"/>
      <c r="H218" s="9"/>
      <c r="I218" s="87"/>
      <c r="J218" s="9"/>
      <c r="K218" s="87"/>
    </row>
    <row r="219" spans="1:12" x14ac:dyDescent="0.25">
      <c r="A219" s="9"/>
      <c r="C219" s="17"/>
      <c r="D219" s="9"/>
      <c r="E219" s="87"/>
      <c r="F219" s="9"/>
      <c r="G219" s="87"/>
      <c r="H219" s="9"/>
      <c r="I219" s="87"/>
      <c r="J219" s="9"/>
      <c r="K219" s="87"/>
    </row>
    <row r="220" spans="1:12" x14ac:dyDescent="0.25">
      <c r="A220" s="9"/>
      <c r="C220" s="17"/>
      <c r="D220" s="9"/>
      <c r="E220" s="87"/>
      <c r="F220" s="9"/>
      <c r="G220" s="87"/>
      <c r="H220" s="9"/>
      <c r="I220" s="87"/>
      <c r="J220" s="9"/>
      <c r="K220" s="87"/>
    </row>
    <row r="221" spans="1:12" x14ac:dyDescent="0.25">
      <c r="A221" s="9"/>
      <c r="B221" s="8"/>
      <c r="C221" s="17"/>
      <c r="D221" s="9"/>
      <c r="E221" s="87"/>
      <c r="F221" s="9"/>
      <c r="G221" s="87"/>
      <c r="H221" s="9"/>
      <c r="I221" s="87"/>
      <c r="J221" s="9"/>
      <c r="K221" s="87"/>
    </row>
    <row r="222" spans="1:12" x14ac:dyDescent="0.25">
      <c r="A222" s="9"/>
      <c r="B222" s="8"/>
      <c r="C222" s="17"/>
      <c r="D222" s="9"/>
      <c r="E222" s="87"/>
      <c r="F222" s="9"/>
      <c r="G222" s="87"/>
      <c r="H222" s="9"/>
      <c r="I222" s="87"/>
      <c r="J222" s="9"/>
      <c r="K222" s="87"/>
    </row>
    <row r="223" spans="1:12" x14ac:dyDescent="0.25">
      <c r="A223" s="9"/>
      <c r="B223" s="8"/>
      <c r="C223" s="17"/>
      <c r="D223" s="9"/>
      <c r="E223" s="87"/>
      <c r="F223" s="9"/>
      <c r="G223" s="87"/>
      <c r="H223" s="9"/>
      <c r="I223" s="87"/>
      <c r="J223" s="9"/>
      <c r="K223" s="87"/>
    </row>
    <row r="224" spans="1:12" x14ac:dyDescent="0.25">
      <c r="A224" s="9"/>
      <c r="B224" s="8"/>
      <c r="C224" s="17"/>
      <c r="D224" s="9"/>
      <c r="E224" s="87"/>
      <c r="F224" s="9"/>
      <c r="G224" s="87"/>
      <c r="H224" s="9"/>
      <c r="I224" s="87"/>
      <c r="J224" s="9"/>
      <c r="K224" s="87"/>
    </row>
    <row r="225" spans="1:11" x14ac:dyDescent="0.25">
      <c r="A225" s="9"/>
      <c r="B225" s="8"/>
      <c r="C225" s="17"/>
      <c r="D225" s="9"/>
      <c r="E225" s="87"/>
      <c r="F225" s="9"/>
      <c r="G225" s="87"/>
      <c r="H225" s="9"/>
      <c r="I225" s="87"/>
      <c r="J225" s="9"/>
      <c r="K225" s="87"/>
    </row>
    <row r="226" spans="1:11" x14ac:dyDescent="0.25">
      <c r="A226" s="9"/>
      <c r="B226" s="8"/>
      <c r="C226" s="17"/>
      <c r="D226" s="9"/>
      <c r="E226" s="87"/>
      <c r="F226" s="9"/>
      <c r="G226" s="87"/>
      <c r="H226" s="9"/>
      <c r="I226" s="87"/>
      <c r="J226" s="9"/>
      <c r="K226" s="87"/>
    </row>
    <row r="227" spans="1:11" x14ac:dyDescent="0.25">
      <c r="A227" s="9"/>
      <c r="B227" s="8"/>
      <c r="C227" s="17"/>
      <c r="D227" s="9"/>
      <c r="E227" s="87"/>
      <c r="F227" s="9"/>
      <c r="G227" s="87"/>
      <c r="H227" s="9"/>
      <c r="I227" s="87"/>
      <c r="J227" s="9"/>
      <c r="K227" s="87"/>
    </row>
    <row r="228" spans="1:11" x14ac:dyDescent="0.25">
      <c r="A228" s="9"/>
      <c r="B228" s="8"/>
      <c r="C228" s="17"/>
      <c r="D228" s="9"/>
      <c r="E228" s="87"/>
      <c r="F228" s="9"/>
      <c r="G228" s="87"/>
      <c r="H228" s="9"/>
      <c r="I228" s="87"/>
      <c r="J228" s="9"/>
      <c r="K228" s="87"/>
    </row>
    <row r="229" spans="1:11" x14ac:dyDescent="0.25">
      <c r="A229" s="9"/>
      <c r="B229" s="8"/>
      <c r="C229" s="17"/>
      <c r="D229" s="9"/>
      <c r="E229" s="87"/>
      <c r="F229" s="9"/>
      <c r="G229" s="87"/>
      <c r="H229" s="9"/>
      <c r="I229" s="87"/>
      <c r="J229" s="9"/>
      <c r="K229" s="87"/>
    </row>
    <row r="230" spans="1:11" x14ac:dyDescent="0.25">
      <c r="A230" s="9"/>
      <c r="B230" s="8"/>
      <c r="C230" s="17"/>
      <c r="D230" s="9"/>
      <c r="E230" s="87"/>
      <c r="F230" s="9"/>
      <c r="G230" s="87"/>
      <c r="H230" s="9"/>
      <c r="I230" s="87"/>
      <c r="J230" s="9"/>
      <c r="K230" s="87"/>
    </row>
    <row r="231" spans="1:11" x14ac:dyDescent="0.25">
      <c r="A231" s="9"/>
      <c r="B231" s="8"/>
      <c r="C231" s="17"/>
      <c r="D231" s="9"/>
      <c r="E231" s="87"/>
      <c r="F231" s="9"/>
      <c r="G231" s="87"/>
      <c r="H231" s="9"/>
      <c r="I231" s="87"/>
      <c r="J231" s="9"/>
      <c r="K231" s="87"/>
    </row>
    <row r="232" spans="1:11" x14ac:dyDescent="0.25">
      <c r="A232" s="9"/>
      <c r="B232" s="8"/>
      <c r="C232" s="17"/>
      <c r="D232" s="9"/>
      <c r="E232" s="87"/>
      <c r="F232" s="9"/>
      <c r="G232" s="87"/>
      <c r="H232" s="9"/>
      <c r="I232" s="87"/>
      <c r="J232" s="9"/>
      <c r="K232" s="87"/>
    </row>
    <row r="233" spans="1:11" x14ac:dyDescent="0.25">
      <c r="A233" s="9"/>
      <c r="B233" s="8"/>
      <c r="C233" s="17"/>
      <c r="D233" s="9"/>
      <c r="E233" s="87"/>
      <c r="F233" s="9"/>
      <c r="G233" s="87"/>
      <c r="H233" s="9"/>
      <c r="I233" s="87"/>
      <c r="J233" s="9"/>
      <c r="K233" s="87"/>
    </row>
    <row r="234" spans="1:11" x14ac:dyDescent="0.25">
      <c r="A234" s="9"/>
      <c r="B234" s="8"/>
      <c r="C234" s="17"/>
      <c r="D234" s="9"/>
      <c r="E234" s="87"/>
      <c r="F234" s="9"/>
      <c r="G234" s="87"/>
      <c r="H234" s="9"/>
      <c r="I234" s="87"/>
      <c r="J234" s="9"/>
      <c r="K234" s="87"/>
    </row>
    <row r="235" spans="1:11" x14ac:dyDescent="0.25">
      <c r="A235" s="9"/>
      <c r="B235" s="8"/>
      <c r="C235" s="17"/>
      <c r="D235" s="9"/>
      <c r="E235" s="87"/>
      <c r="F235" s="9"/>
      <c r="G235" s="87"/>
      <c r="H235" s="9"/>
      <c r="I235" s="87"/>
      <c r="J235" s="9"/>
      <c r="K235" s="87"/>
    </row>
    <row r="236" spans="1:11" x14ac:dyDescent="0.25">
      <c r="A236" s="9"/>
      <c r="B236" s="8"/>
      <c r="C236" s="17"/>
      <c r="D236" s="9"/>
      <c r="E236" s="87"/>
      <c r="F236" s="9"/>
      <c r="G236" s="87"/>
      <c r="H236" s="9"/>
      <c r="I236" s="87"/>
      <c r="J236" s="9"/>
      <c r="K236" s="87"/>
    </row>
    <row r="237" spans="1:11" x14ac:dyDescent="0.25">
      <c r="A237" s="9"/>
      <c r="B237" s="8"/>
      <c r="C237" s="17"/>
      <c r="D237" s="9"/>
      <c r="E237" s="87"/>
      <c r="F237" s="9"/>
      <c r="G237" s="87"/>
      <c r="H237" s="9"/>
      <c r="I237" s="87"/>
      <c r="J237" s="9"/>
      <c r="K237" s="87"/>
    </row>
    <row r="238" spans="1:11" x14ac:dyDescent="0.25">
      <c r="A238" s="9"/>
      <c r="B238" s="8"/>
      <c r="C238" s="17"/>
      <c r="D238" s="9"/>
      <c r="E238" s="87"/>
      <c r="F238" s="9"/>
      <c r="G238" s="87"/>
      <c r="H238" s="9"/>
      <c r="I238" s="87"/>
      <c r="J238" s="9"/>
      <c r="K238" s="87"/>
    </row>
    <row r="239" spans="1:11" x14ac:dyDescent="0.25">
      <c r="A239" s="9"/>
      <c r="B239" s="8"/>
      <c r="C239" s="17"/>
      <c r="D239" s="9"/>
      <c r="E239" s="87"/>
      <c r="F239" s="9"/>
      <c r="G239" s="87"/>
      <c r="H239" s="9"/>
      <c r="I239" s="87"/>
      <c r="J239" s="9"/>
      <c r="K239" s="87"/>
    </row>
    <row r="240" spans="1:11" x14ac:dyDescent="0.25">
      <c r="A240" s="9"/>
      <c r="B240" s="8"/>
      <c r="C240" s="17"/>
      <c r="D240" s="9"/>
      <c r="E240" s="87"/>
      <c r="F240" s="9"/>
      <c r="G240" s="87"/>
      <c r="H240" s="9"/>
      <c r="I240" s="87"/>
      <c r="J240" s="9"/>
      <c r="K240" s="87"/>
    </row>
    <row r="241" spans="1:11" x14ac:dyDescent="0.25">
      <c r="A241" s="9"/>
      <c r="B241" s="8"/>
      <c r="C241" s="17"/>
      <c r="D241" s="9"/>
      <c r="E241" s="87"/>
      <c r="F241" s="9"/>
      <c r="G241" s="87"/>
      <c r="H241" s="9"/>
      <c r="I241" s="87"/>
      <c r="J241" s="9"/>
      <c r="K241" s="87"/>
    </row>
    <row r="242" spans="1:11" x14ac:dyDescent="0.25">
      <c r="A242" s="9"/>
      <c r="B242" s="8"/>
      <c r="C242" s="17"/>
      <c r="D242" s="9"/>
      <c r="E242" s="87"/>
      <c r="F242" s="9"/>
      <c r="G242" s="87"/>
      <c r="H242" s="9"/>
      <c r="I242" s="87"/>
      <c r="J242" s="9"/>
      <c r="K242" s="87"/>
    </row>
    <row r="243" spans="1:11" x14ac:dyDescent="0.25">
      <c r="A243" s="9"/>
      <c r="B243" s="8"/>
      <c r="C243" s="17"/>
      <c r="D243" s="9"/>
      <c r="E243" s="87"/>
      <c r="F243" s="9"/>
      <c r="G243" s="87"/>
      <c r="H243" s="9"/>
      <c r="I243" s="87"/>
      <c r="J243" s="9"/>
      <c r="K243" s="87"/>
    </row>
  </sheetData>
  <mergeCells count="10">
    <mergeCell ref="A213:B213"/>
    <mergeCell ref="K213:L213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783"/>
  <sheetViews>
    <sheetView showGridLines="0" workbookViewId="0">
      <selection activeCell="G6" sqref="G6"/>
    </sheetView>
  </sheetViews>
  <sheetFormatPr defaultRowHeight="12.75" x14ac:dyDescent="0.2"/>
  <cols>
    <col min="1" max="1" width="5.140625" style="296" customWidth="1"/>
    <col min="2" max="2" width="55.5703125" style="296" customWidth="1"/>
    <col min="3" max="3" width="13.7109375" style="296" customWidth="1"/>
    <col min="4" max="4" width="14.85546875" style="296" customWidth="1"/>
    <col min="5" max="5" width="17.28515625" style="296" customWidth="1"/>
    <col min="6" max="16384" width="9.140625" style="296"/>
  </cols>
  <sheetData>
    <row r="1" spans="1:5" ht="15.75" x14ac:dyDescent="0.25">
      <c r="A1" s="371"/>
      <c r="B1" s="371"/>
      <c r="C1" s="337"/>
      <c r="D1" s="337"/>
      <c r="E1" s="337"/>
    </row>
    <row r="2" spans="1:5" ht="15.75" x14ac:dyDescent="0.2">
      <c r="A2" s="297"/>
      <c r="B2" s="297"/>
      <c r="C2" s="338"/>
      <c r="D2" s="338"/>
      <c r="E2" s="344" t="s">
        <v>513</v>
      </c>
    </row>
    <row r="3" spans="1:5" ht="15" x14ac:dyDescent="0.2">
      <c r="A3" s="297"/>
      <c r="B3" s="297"/>
      <c r="C3" s="382" t="s">
        <v>885</v>
      </c>
      <c r="D3" s="383"/>
      <c r="E3" s="383"/>
    </row>
    <row r="4" spans="1:5" ht="15.75" customHeight="1" x14ac:dyDescent="0.2">
      <c r="A4" s="297"/>
      <c r="B4" s="297"/>
      <c r="C4" s="382" t="s">
        <v>886</v>
      </c>
      <c r="D4" s="383"/>
      <c r="E4" s="383"/>
    </row>
    <row r="5" spans="1:5" x14ac:dyDescent="0.2">
      <c r="C5" s="339"/>
      <c r="D5" s="339"/>
      <c r="E5" s="339"/>
    </row>
    <row r="6" spans="1:5" ht="56.25" customHeight="1" x14ac:dyDescent="0.2">
      <c r="A6" s="384" t="s">
        <v>817</v>
      </c>
      <c r="B6" s="385"/>
      <c r="C6" s="385"/>
      <c r="D6" s="385"/>
      <c r="E6" s="385"/>
    </row>
    <row r="7" spans="1:5" ht="28.5" customHeight="1" x14ac:dyDescent="0.2">
      <c r="A7" s="386" t="s">
        <v>418</v>
      </c>
      <c r="B7" s="387"/>
      <c r="C7" s="335" t="s">
        <v>816</v>
      </c>
      <c r="D7" s="335" t="s">
        <v>872</v>
      </c>
      <c r="E7" s="335" t="s">
        <v>877</v>
      </c>
    </row>
    <row r="8" spans="1:5" ht="24" customHeight="1" x14ac:dyDescent="0.2">
      <c r="A8" s="388" t="s">
        <v>514</v>
      </c>
      <c r="B8" s="389"/>
      <c r="C8" s="389"/>
      <c r="D8" s="389"/>
      <c r="E8" s="389"/>
    </row>
    <row r="9" spans="1:5" ht="15" x14ac:dyDescent="0.2">
      <c r="A9" s="298"/>
      <c r="B9" s="350" t="s">
        <v>515</v>
      </c>
      <c r="C9" s="351">
        <v>32761627</v>
      </c>
      <c r="D9" s="351">
        <v>10000</v>
      </c>
      <c r="E9" s="351">
        <v>32771627</v>
      </c>
    </row>
    <row r="10" spans="1:5" ht="15" x14ac:dyDescent="0.2">
      <c r="A10" s="298"/>
      <c r="B10" s="350" t="s">
        <v>516</v>
      </c>
      <c r="C10" s="351">
        <v>4002799</v>
      </c>
      <c r="D10" s="351">
        <v>0</v>
      </c>
      <c r="E10" s="351">
        <v>4002799</v>
      </c>
    </row>
    <row r="11" spans="1:5" ht="15" x14ac:dyDescent="0.2">
      <c r="A11" s="298"/>
      <c r="B11" s="350" t="s">
        <v>517</v>
      </c>
      <c r="C11" s="351">
        <v>2592657</v>
      </c>
      <c r="D11" s="351">
        <v>-38912</v>
      </c>
      <c r="E11" s="351">
        <v>2553745</v>
      </c>
    </row>
    <row r="12" spans="1:5" ht="15" x14ac:dyDescent="0.2">
      <c r="A12" s="298"/>
      <c r="B12" s="350" t="s">
        <v>518</v>
      </c>
      <c r="C12" s="351">
        <v>64292</v>
      </c>
      <c r="D12" s="351">
        <v>-7384</v>
      </c>
      <c r="E12" s="351">
        <v>56908</v>
      </c>
    </row>
    <row r="13" spans="1:5" ht="15" x14ac:dyDescent="0.2">
      <c r="A13" s="298"/>
      <c r="B13" s="350" t="s">
        <v>519</v>
      </c>
      <c r="C13" s="351">
        <v>24708404</v>
      </c>
      <c r="D13" s="351">
        <v>51500</v>
      </c>
      <c r="E13" s="351">
        <v>24759904</v>
      </c>
    </row>
    <row r="14" spans="1:5" ht="15" x14ac:dyDescent="0.2">
      <c r="A14" s="298"/>
      <c r="B14" s="350" t="s">
        <v>571</v>
      </c>
      <c r="C14" s="351">
        <v>6855</v>
      </c>
      <c r="D14" s="351">
        <v>0</v>
      </c>
      <c r="E14" s="351">
        <v>6855</v>
      </c>
    </row>
    <row r="15" spans="1:5" ht="30" x14ac:dyDescent="0.2">
      <c r="A15" s="298"/>
      <c r="B15" s="350" t="s">
        <v>520</v>
      </c>
      <c r="C15" s="351">
        <v>1386620</v>
      </c>
      <c r="D15" s="351">
        <v>4796</v>
      </c>
      <c r="E15" s="351">
        <v>1391416</v>
      </c>
    </row>
    <row r="17" spans="1:5" ht="15.75" customHeight="1" x14ac:dyDescent="0.2">
      <c r="A17" s="372" t="s">
        <v>521</v>
      </c>
      <c r="B17" s="374"/>
      <c r="C17" s="374"/>
      <c r="D17" s="374"/>
      <c r="E17" s="374"/>
    </row>
    <row r="18" spans="1:5" s="300" customFormat="1" ht="14.25" x14ac:dyDescent="0.2">
      <c r="B18" s="345" t="s">
        <v>515</v>
      </c>
      <c r="C18" s="346">
        <v>4789794</v>
      </c>
      <c r="D18" s="346">
        <v>0</v>
      </c>
      <c r="E18" s="346">
        <v>4789794</v>
      </c>
    </row>
    <row r="19" spans="1:5" ht="15" x14ac:dyDescent="0.2">
      <c r="B19" s="348" t="s">
        <v>516</v>
      </c>
      <c r="C19" s="349">
        <v>3760872</v>
      </c>
      <c r="D19" s="349">
        <v>0</v>
      </c>
      <c r="E19" s="349">
        <v>3760872</v>
      </c>
    </row>
    <row r="20" spans="1:5" ht="15" x14ac:dyDescent="0.2">
      <c r="B20" s="348" t="s">
        <v>517</v>
      </c>
      <c r="C20" s="349">
        <v>928922</v>
      </c>
      <c r="D20" s="349">
        <v>0</v>
      </c>
      <c r="E20" s="349">
        <v>928922</v>
      </c>
    </row>
    <row r="21" spans="1:5" ht="15" x14ac:dyDescent="0.2">
      <c r="B21" s="348" t="s">
        <v>519</v>
      </c>
      <c r="C21" s="349">
        <v>100000</v>
      </c>
      <c r="D21" s="349">
        <v>0</v>
      </c>
      <c r="E21" s="349">
        <v>100000</v>
      </c>
    </row>
    <row r="23" spans="1:5" ht="15.75" customHeight="1" x14ac:dyDescent="0.2">
      <c r="A23" s="372" t="s">
        <v>522</v>
      </c>
      <c r="B23" s="374"/>
      <c r="C23" s="374"/>
      <c r="D23" s="374"/>
      <c r="E23" s="374"/>
    </row>
    <row r="24" spans="1:5" s="300" customFormat="1" ht="14.25" x14ac:dyDescent="0.2">
      <c r="B24" s="345" t="s">
        <v>515</v>
      </c>
      <c r="C24" s="346">
        <v>50876</v>
      </c>
      <c r="D24" s="346">
        <v>0</v>
      </c>
      <c r="E24" s="346">
        <v>50876</v>
      </c>
    </row>
    <row r="25" spans="1:5" ht="15" x14ac:dyDescent="0.2">
      <c r="B25" s="348" t="s">
        <v>517</v>
      </c>
      <c r="C25" s="349">
        <v>13459</v>
      </c>
      <c r="D25" s="349">
        <v>0</v>
      </c>
      <c r="E25" s="349">
        <v>13459</v>
      </c>
    </row>
    <row r="26" spans="1:5" ht="30" x14ac:dyDescent="0.2">
      <c r="B26" s="348" t="s">
        <v>520</v>
      </c>
      <c r="C26" s="349">
        <v>37417</v>
      </c>
      <c r="D26" s="349">
        <v>0</v>
      </c>
      <c r="E26" s="349">
        <v>37417</v>
      </c>
    </row>
    <row r="28" spans="1:5" ht="31.5" customHeight="1" x14ac:dyDescent="0.2">
      <c r="A28" s="372" t="s">
        <v>523</v>
      </c>
      <c r="B28" s="374"/>
      <c r="C28" s="374"/>
      <c r="D28" s="374"/>
      <c r="E28" s="374"/>
    </row>
    <row r="29" spans="1:5" s="300" customFormat="1" ht="14.25" x14ac:dyDescent="0.2">
      <c r="B29" s="345" t="s">
        <v>515</v>
      </c>
      <c r="C29" s="346">
        <v>42753</v>
      </c>
      <c r="D29" s="346">
        <v>0</v>
      </c>
      <c r="E29" s="346">
        <v>42753</v>
      </c>
    </row>
    <row r="30" spans="1:5" ht="15" x14ac:dyDescent="0.2">
      <c r="B30" s="348" t="s">
        <v>516</v>
      </c>
      <c r="C30" s="349">
        <v>38981</v>
      </c>
      <c r="D30" s="349">
        <v>0</v>
      </c>
      <c r="E30" s="349">
        <v>38981</v>
      </c>
    </row>
    <row r="31" spans="1:5" ht="15" x14ac:dyDescent="0.2">
      <c r="B31" s="348" t="s">
        <v>517</v>
      </c>
      <c r="C31" s="349">
        <v>3772</v>
      </c>
      <c r="D31" s="349">
        <v>0</v>
      </c>
      <c r="E31" s="349">
        <v>3772</v>
      </c>
    </row>
    <row r="33" spans="1:5" ht="15.75" customHeight="1" x14ac:dyDescent="0.2">
      <c r="A33" s="372" t="s">
        <v>524</v>
      </c>
      <c r="B33" s="374"/>
      <c r="C33" s="374"/>
      <c r="D33" s="374"/>
      <c r="E33" s="374"/>
    </row>
    <row r="34" spans="1:5" s="300" customFormat="1" ht="14.25" x14ac:dyDescent="0.2">
      <c r="B34" s="345" t="s">
        <v>515</v>
      </c>
      <c r="C34" s="346">
        <v>96585</v>
      </c>
      <c r="D34" s="346">
        <v>0</v>
      </c>
      <c r="E34" s="346">
        <v>96585</v>
      </c>
    </row>
    <row r="35" spans="1:5" ht="15" x14ac:dyDescent="0.2">
      <c r="B35" s="348" t="s">
        <v>517</v>
      </c>
      <c r="C35" s="349">
        <v>96585</v>
      </c>
      <c r="D35" s="349">
        <v>0</v>
      </c>
      <c r="E35" s="349">
        <v>96585</v>
      </c>
    </row>
    <row r="37" spans="1:5" ht="15.75" customHeight="1" x14ac:dyDescent="0.2">
      <c r="A37" s="372" t="s">
        <v>525</v>
      </c>
      <c r="B37" s="374"/>
      <c r="C37" s="374"/>
      <c r="D37" s="374"/>
      <c r="E37" s="374"/>
    </row>
    <row r="38" spans="1:5" s="300" customFormat="1" ht="14.25" x14ac:dyDescent="0.2">
      <c r="B38" s="345" t="s">
        <v>515</v>
      </c>
      <c r="C38" s="346">
        <v>493980</v>
      </c>
      <c r="D38" s="346">
        <v>0</v>
      </c>
      <c r="E38" s="346">
        <v>493980</v>
      </c>
    </row>
    <row r="39" spans="1:5" ht="15" x14ac:dyDescent="0.2">
      <c r="B39" s="348" t="s">
        <v>517</v>
      </c>
      <c r="C39" s="349">
        <v>370225</v>
      </c>
      <c r="D39" s="349">
        <v>0</v>
      </c>
      <c r="E39" s="349">
        <v>370225</v>
      </c>
    </row>
    <row r="40" spans="1:5" ht="15" x14ac:dyDescent="0.2">
      <c r="B40" s="348" t="s">
        <v>519</v>
      </c>
      <c r="C40" s="349">
        <v>123755</v>
      </c>
      <c r="D40" s="349">
        <v>0</v>
      </c>
      <c r="E40" s="349">
        <v>123755</v>
      </c>
    </row>
    <row r="42" spans="1:5" ht="31.5" customHeight="1" x14ac:dyDescent="0.2">
      <c r="A42" s="372" t="s">
        <v>526</v>
      </c>
      <c r="B42" s="374"/>
      <c r="C42" s="374"/>
      <c r="D42" s="374"/>
      <c r="E42" s="374"/>
    </row>
    <row r="43" spans="1:5" s="300" customFormat="1" ht="14.25" x14ac:dyDescent="0.2">
      <c r="B43" s="345" t="s">
        <v>515</v>
      </c>
      <c r="C43" s="346">
        <v>156999</v>
      </c>
      <c r="D43" s="346">
        <v>0</v>
      </c>
      <c r="E43" s="346">
        <v>156999</v>
      </c>
    </row>
    <row r="44" spans="1:5" ht="15" x14ac:dyDescent="0.2">
      <c r="B44" s="348" t="s">
        <v>517</v>
      </c>
      <c r="C44" s="349">
        <v>26717</v>
      </c>
      <c r="D44" s="349">
        <v>-4796</v>
      </c>
      <c r="E44" s="349">
        <v>21921</v>
      </c>
    </row>
    <row r="45" spans="1:5" ht="15" x14ac:dyDescent="0.2">
      <c r="B45" s="348" t="s">
        <v>519</v>
      </c>
      <c r="C45" s="349">
        <v>112420</v>
      </c>
      <c r="D45" s="349">
        <v>0</v>
      </c>
      <c r="E45" s="349">
        <v>112420</v>
      </c>
    </row>
    <row r="46" spans="1:5" ht="30" x14ac:dyDescent="0.2">
      <c r="B46" s="348" t="s">
        <v>520</v>
      </c>
      <c r="C46" s="349">
        <v>17862</v>
      </c>
      <c r="D46" s="349">
        <v>4796</v>
      </c>
      <c r="E46" s="349">
        <v>22658</v>
      </c>
    </row>
    <row r="48" spans="1:5" ht="15.75" customHeight="1" x14ac:dyDescent="0.2">
      <c r="A48" s="372" t="s">
        <v>826</v>
      </c>
      <c r="B48" s="374"/>
      <c r="C48" s="374"/>
      <c r="D48" s="374"/>
      <c r="E48" s="374"/>
    </row>
    <row r="49" spans="1:5" s="300" customFormat="1" ht="14.25" x14ac:dyDescent="0.2">
      <c r="B49" s="345" t="s">
        <v>515</v>
      </c>
      <c r="C49" s="346">
        <v>3525</v>
      </c>
      <c r="D49" s="346">
        <v>0</v>
      </c>
      <c r="E49" s="346">
        <v>3525</v>
      </c>
    </row>
    <row r="50" spans="1:5" ht="15" x14ac:dyDescent="0.2">
      <c r="B50" s="348" t="s">
        <v>516</v>
      </c>
      <c r="C50" s="349">
        <v>3525</v>
      </c>
      <c r="D50" s="349">
        <v>0</v>
      </c>
      <c r="E50" s="349">
        <v>3525</v>
      </c>
    </row>
    <row r="52" spans="1:5" ht="15.75" customHeight="1" x14ac:dyDescent="0.2">
      <c r="A52" s="372" t="s">
        <v>866</v>
      </c>
      <c r="B52" s="374"/>
      <c r="C52" s="374"/>
      <c r="D52" s="374"/>
      <c r="E52" s="374"/>
    </row>
    <row r="53" spans="1:5" s="300" customFormat="1" ht="14.25" x14ac:dyDescent="0.2">
      <c r="B53" s="345" t="s">
        <v>515</v>
      </c>
      <c r="C53" s="346">
        <v>286785</v>
      </c>
      <c r="D53" s="346">
        <v>0</v>
      </c>
      <c r="E53" s="346">
        <v>286785</v>
      </c>
    </row>
    <row r="54" spans="1:5" ht="15" x14ac:dyDescent="0.2">
      <c r="B54" s="348" t="s">
        <v>519</v>
      </c>
      <c r="C54" s="349">
        <v>286785</v>
      </c>
      <c r="D54" s="349">
        <v>0</v>
      </c>
      <c r="E54" s="349">
        <v>286785</v>
      </c>
    </row>
    <row r="56" spans="1:5" ht="31.5" customHeight="1" x14ac:dyDescent="0.2">
      <c r="A56" s="372" t="s">
        <v>527</v>
      </c>
      <c r="B56" s="374"/>
      <c r="C56" s="374"/>
      <c r="D56" s="374"/>
      <c r="E56" s="374"/>
    </row>
    <row r="57" spans="1:5" s="300" customFormat="1" ht="14.25" x14ac:dyDescent="0.2">
      <c r="B57" s="345" t="s">
        <v>515</v>
      </c>
      <c r="C57" s="346">
        <v>9755809</v>
      </c>
      <c r="D57" s="346">
        <v>0</v>
      </c>
      <c r="E57" s="346">
        <v>9755809</v>
      </c>
    </row>
    <row r="58" spans="1:5" ht="15" x14ac:dyDescent="0.2">
      <c r="B58" s="348" t="s">
        <v>519</v>
      </c>
      <c r="C58" s="349">
        <v>9755809</v>
      </c>
      <c r="D58" s="349">
        <v>0</v>
      </c>
      <c r="E58" s="349">
        <v>9755809</v>
      </c>
    </row>
    <row r="60" spans="1:5" ht="31.5" customHeight="1" x14ac:dyDescent="0.2">
      <c r="A60" s="372" t="s">
        <v>528</v>
      </c>
      <c r="B60" s="374"/>
      <c r="C60" s="374"/>
      <c r="D60" s="374"/>
      <c r="E60" s="374"/>
    </row>
    <row r="61" spans="1:5" s="300" customFormat="1" ht="14.25" x14ac:dyDescent="0.2">
      <c r="B61" s="345" t="s">
        <v>515</v>
      </c>
      <c r="C61" s="346">
        <v>4752896</v>
      </c>
      <c r="D61" s="346">
        <v>0</v>
      </c>
      <c r="E61" s="346">
        <v>4752896</v>
      </c>
    </row>
    <row r="62" spans="1:5" ht="15" x14ac:dyDescent="0.2">
      <c r="B62" s="348" t="s">
        <v>519</v>
      </c>
      <c r="C62" s="349">
        <v>4752896</v>
      </c>
      <c r="D62" s="349">
        <v>0</v>
      </c>
      <c r="E62" s="349">
        <v>4752896</v>
      </c>
    </row>
    <row r="64" spans="1:5" ht="31.5" customHeight="1" x14ac:dyDescent="0.2">
      <c r="A64" s="372" t="s">
        <v>818</v>
      </c>
      <c r="B64" s="374"/>
      <c r="C64" s="374"/>
      <c r="D64" s="374"/>
      <c r="E64" s="374"/>
    </row>
    <row r="65" spans="1:5" s="300" customFormat="1" ht="14.25" x14ac:dyDescent="0.2">
      <c r="B65" s="345" t="s">
        <v>515</v>
      </c>
      <c r="C65" s="346">
        <v>1192487</v>
      </c>
      <c r="D65" s="346">
        <v>0</v>
      </c>
      <c r="E65" s="346">
        <v>1192487</v>
      </c>
    </row>
    <row r="66" spans="1:5" ht="15" x14ac:dyDescent="0.2">
      <c r="B66" s="348" t="s">
        <v>519</v>
      </c>
      <c r="C66" s="349">
        <v>1192487</v>
      </c>
      <c r="D66" s="349">
        <v>0</v>
      </c>
      <c r="E66" s="349">
        <v>1192487</v>
      </c>
    </row>
    <row r="68" spans="1:5" ht="31.5" customHeight="1" x14ac:dyDescent="0.2">
      <c r="A68" s="372" t="s">
        <v>867</v>
      </c>
      <c r="B68" s="374"/>
      <c r="C68" s="374"/>
      <c r="D68" s="374"/>
      <c r="E68" s="374"/>
    </row>
    <row r="69" spans="1:5" s="300" customFormat="1" ht="14.25" x14ac:dyDescent="0.2">
      <c r="B69" s="345" t="s">
        <v>515</v>
      </c>
      <c r="C69" s="346">
        <v>300000</v>
      </c>
      <c r="D69" s="346">
        <v>0</v>
      </c>
      <c r="E69" s="346">
        <v>300000</v>
      </c>
    </row>
    <row r="70" spans="1:5" ht="15" x14ac:dyDescent="0.2">
      <c r="B70" s="348" t="s">
        <v>519</v>
      </c>
      <c r="C70" s="349">
        <v>300000</v>
      </c>
      <c r="D70" s="349">
        <v>0</v>
      </c>
      <c r="E70" s="349">
        <v>300000</v>
      </c>
    </row>
    <row r="72" spans="1:5" ht="31.5" customHeight="1" x14ac:dyDescent="0.2">
      <c r="A72" s="372" t="s">
        <v>529</v>
      </c>
      <c r="B72" s="374"/>
      <c r="C72" s="374"/>
      <c r="D72" s="374"/>
      <c r="E72" s="374"/>
    </row>
    <row r="73" spans="1:5" s="300" customFormat="1" ht="14.25" x14ac:dyDescent="0.2">
      <c r="B73" s="345" t="s">
        <v>515</v>
      </c>
      <c r="C73" s="346">
        <v>10000</v>
      </c>
      <c r="D73" s="346">
        <v>0</v>
      </c>
      <c r="E73" s="346">
        <v>10000</v>
      </c>
    </row>
    <row r="74" spans="1:5" ht="15" x14ac:dyDescent="0.2">
      <c r="B74" s="348" t="s">
        <v>517</v>
      </c>
      <c r="C74" s="349">
        <v>4080</v>
      </c>
      <c r="D74" s="349">
        <v>0</v>
      </c>
      <c r="E74" s="349">
        <v>4080</v>
      </c>
    </row>
    <row r="75" spans="1:5" ht="15" x14ac:dyDescent="0.2">
      <c r="B75" s="348" t="s">
        <v>519</v>
      </c>
      <c r="C75" s="349">
        <v>5920</v>
      </c>
      <c r="D75" s="349">
        <v>0</v>
      </c>
      <c r="E75" s="349">
        <v>5920</v>
      </c>
    </row>
    <row r="77" spans="1:5" ht="31.5" customHeight="1" x14ac:dyDescent="0.2">
      <c r="A77" s="372" t="s">
        <v>530</v>
      </c>
      <c r="B77" s="374"/>
      <c r="C77" s="374"/>
      <c r="D77" s="374"/>
      <c r="E77" s="374"/>
    </row>
    <row r="78" spans="1:5" s="300" customFormat="1" ht="14.25" x14ac:dyDescent="0.2">
      <c r="B78" s="345" t="s">
        <v>515</v>
      </c>
      <c r="C78" s="346">
        <v>1045293</v>
      </c>
      <c r="D78" s="346">
        <v>0</v>
      </c>
      <c r="E78" s="346">
        <v>1045293</v>
      </c>
    </row>
    <row r="79" spans="1:5" ht="15" x14ac:dyDescent="0.2">
      <c r="B79" s="348" t="s">
        <v>516</v>
      </c>
      <c r="C79" s="349">
        <v>6210</v>
      </c>
      <c r="D79" s="349">
        <v>0</v>
      </c>
      <c r="E79" s="349">
        <v>6210</v>
      </c>
    </row>
    <row r="80" spans="1:5" ht="15" x14ac:dyDescent="0.2">
      <c r="B80" s="348" t="s">
        <v>517</v>
      </c>
      <c r="C80" s="349">
        <v>0</v>
      </c>
      <c r="D80" s="349">
        <v>0</v>
      </c>
      <c r="E80" s="349">
        <v>0</v>
      </c>
    </row>
    <row r="81" spans="1:5" ht="15" x14ac:dyDescent="0.2">
      <c r="B81" s="348" t="s">
        <v>518</v>
      </c>
      <c r="C81" s="349">
        <v>18960</v>
      </c>
      <c r="D81" s="349">
        <v>0</v>
      </c>
      <c r="E81" s="349">
        <v>18960</v>
      </c>
    </row>
    <row r="82" spans="1:5" ht="15" x14ac:dyDescent="0.2">
      <c r="B82" s="348" t="s">
        <v>519</v>
      </c>
      <c r="C82" s="349">
        <v>275459</v>
      </c>
      <c r="D82" s="349">
        <v>0</v>
      </c>
      <c r="E82" s="349">
        <v>275459</v>
      </c>
    </row>
    <row r="83" spans="1:5" ht="30" x14ac:dyDescent="0.2">
      <c r="B83" s="348" t="s">
        <v>520</v>
      </c>
      <c r="C83" s="349">
        <v>744664</v>
      </c>
      <c r="D83" s="349">
        <v>0</v>
      </c>
      <c r="E83" s="349">
        <v>744664</v>
      </c>
    </row>
    <row r="85" spans="1:5" ht="15.75" customHeight="1" x14ac:dyDescent="0.2">
      <c r="A85" s="372" t="s">
        <v>531</v>
      </c>
      <c r="B85" s="374"/>
      <c r="C85" s="374"/>
      <c r="D85" s="374"/>
      <c r="E85" s="374"/>
    </row>
    <row r="86" spans="1:5" s="300" customFormat="1" ht="14.25" x14ac:dyDescent="0.2">
      <c r="B86" s="345" t="s">
        <v>515</v>
      </c>
      <c r="C86" s="346">
        <v>39900</v>
      </c>
      <c r="D86" s="346">
        <v>10000</v>
      </c>
      <c r="E86" s="346">
        <v>49900</v>
      </c>
    </row>
    <row r="87" spans="1:5" ht="15" x14ac:dyDescent="0.2">
      <c r="B87" s="348" t="s">
        <v>517</v>
      </c>
      <c r="C87" s="349">
        <v>39900</v>
      </c>
      <c r="D87" s="349">
        <v>-10000</v>
      </c>
      <c r="E87" s="349">
        <v>29900</v>
      </c>
    </row>
    <row r="88" spans="1:5" ht="15" x14ac:dyDescent="0.2">
      <c r="B88" s="348" t="s">
        <v>519</v>
      </c>
      <c r="C88" s="349">
        <v>0</v>
      </c>
      <c r="D88" s="349">
        <v>20000</v>
      </c>
      <c r="E88" s="349">
        <v>20000</v>
      </c>
    </row>
    <row r="90" spans="1:5" ht="31.5" customHeight="1" x14ac:dyDescent="0.2">
      <c r="A90" s="372" t="s">
        <v>532</v>
      </c>
      <c r="B90" s="374"/>
      <c r="C90" s="374"/>
      <c r="D90" s="374"/>
      <c r="E90" s="374"/>
    </row>
    <row r="91" spans="1:5" s="300" customFormat="1" ht="14.25" x14ac:dyDescent="0.2">
      <c r="B91" s="345" t="s">
        <v>515</v>
      </c>
      <c r="C91" s="346">
        <v>2335848</v>
      </c>
      <c r="D91" s="346">
        <v>0</v>
      </c>
      <c r="E91" s="346">
        <v>2335848</v>
      </c>
    </row>
    <row r="92" spans="1:5" ht="15" x14ac:dyDescent="0.2">
      <c r="B92" s="348" t="s">
        <v>517</v>
      </c>
      <c r="C92" s="349">
        <v>605</v>
      </c>
      <c r="D92" s="349">
        <v>0</v>
      </c>
      <c r="E92" s="349">
        <v>605</v>
      </c>
    </row>
    <row r="93" spans="1:5" ht="15" x14ac:dyDescent="0.2">
      <c r="B93" s="348" t="s">
        <v>519</v>
      </c>
      <c r="C93" s="349">
        <v>2335243</v>
      </c>
      <c r="D93" s="349">
        <v>0</v>
      </c>
      <c r="E93" s="349">
        <v>2335243</v>
      </c>
    </row>
    <row r="95" spans="1:5" ht="31.5" customHeight="1" x14ac:dyDescent="0.2">
      <c r="A95" s="372" t="s">
        <v>533</v>
      </c>
      <c r="B95" s="374"/>
      <c r="C95" s="374"/>
      <c r="D95" s="374"/>
      <c r="E95" s="374"/>
    </row>
    <row r="96" spans="1:5" s="300" customFormat="1" ht="14.25" x14ac:dyDescent="0.2">
      <c r="B96" s="345" t="s">
        <v>515</v>
      </c>
      <c r="C96" s="346">
        <v>324359</v>
      </c>
      <c r="D96" s="346">
        <v>0</v>
      </c>
      <c r="E96" s="346">
        <v>324359</v>
      </c>
    </row>
    <row r="97" spans="1:5" ht="30" x14ac:dyDescent="0.2">
      <c r="B97" s="348" t="s">
        <v>520</v>
      </c>
      <c r="C97" s="349">
        <v>324359</v>
      </c>
      <c r="D97" s="349">
        <v>0</v>
      </c>
      <c r="E97" s="349">
        <v>324359</v>
      </c>
    </row>
    <row r="99" spans="1:5" ht="15.75" customHeight="1" x14ac:dyDescent="0.2">
      <c r="A99" s="372" t="s">
        <v>534</v>
      </c>
      <c r="B99" s="374"/>
      <c r="C99" s="374"/>
      <c r="D99" s="374"/>
      <c r="E99" s="374"/>
    </row>
    <row r="100" spans="1:5" s="300" customFormat="1" ht="14.25" x14ac:dyDescent="0.2">
      <c r="B100" s="345" t="s">
        <v>515</v>
      </c>
      <c r="C100" s="346">
        <v>703281</v>
      </c>
      <c r="D100" s="346">
        <v>0</v>
      </c>
      <c r="E100" s="346">
        <v>703281</v>
      </c>
    </row>
    <row r="101" spans="1:5" ht="15" x14ac:dyDescent="0.2">
      <c r="B101" s="348" t="s">
        <v>516</v>
      </c>
      <c r="C101" s="349">
        <v>14762</v>
      </c>
      <c r="D101" s="349">
        <v>0</v>
      </c>
      <c r="E101" s="349">
        <v>14762</v>
      </c>
    </row>
    <row r="102" spans="1:5" ht="15" x14ac:dyDescent="0.2">
      <c r="B102" s="348" t="s">
        <v>517</v>
      </c>
      <c r="C102" s="349">
        <v>23000</v>
      </c>
      <c r="D102" s="349">
        <v>0</v>
      </c>
      <c r="E102" s="349">
        <v>23000</v>
      </c>
    </row>
    <row r="103" spans="1:5" ht="15" x14ac:dyDescent="0.2">
      <c r="B103" s="348" t="s">
        <v>519</v>
      </c>
      <c r="C103" s="349">
        <v>665519</v>
      </c>
      <c r="D103" s="349">
        <v>0</v>
      </c>
      <c r="E103" s="349">
        <v>665519</v>
      </c>
    </row>
    <row r="105" spans="1:5" ht="15.75" customHeight="1" x14ac:dyDescent="0.2">
      <c r="A105" s="372" t="s">
        <v>535</v>
      </c>
      <c r="B105" s="374"/>
      <c r="C105" s="374"/>
      <c r="D105" s="374"/>
      <c r="E105" s="374"/>
    </row>
    <row r="106" spans="1:5" s="300" customFormat="1" ht="14.25" x14ac:dyDescent="0.2">
      <c r="B106" s="345" t="s">
        <v>515</v>
      </c>
      <c r="C106" s="346">
        <v>397073</v>
      </c>
      <c r="D106" s="346">
        <v>7384</v>
      </c>
      <c r="E106" s="346">
        <v>404457</v>
      </c>
    </row>
    <row r="107" spans="1:5" ht="15" x14ac:dyDescent="0.2">
      <c r="B107" s="348" t="s">
        <v>517</v>
      </c>
      <c r="C107" s="349">
        <v>254373</v>
      </c>
      <c r="D107" s="349">
        <v>-24116</v>
      </c>
      <c r="E107" s="349">
        <v>230257</v>
      </c>
    </row>
    <row r="108" spans="1:5" ht="15" x14ac:dyDescent="0.2">
      <c r="B108" s="348" t="s">
        <v>518</v>
      </c>
      <c r="C108" s="349">
        <v>25000</v>
      </c>
      <c r="D108" s="349">
        <v>0</v>
      </c>
      <c r="E108" s="349">
        <v>25000</v>
      </c>
    </row>
    <row r="109" spans="1:5" ht="15" x14ac:dyDescent="0.2">
      <c r="B109" s="348" t="s">
        <v>519</v>
      </c>
      <c r="C109" s="349">
        <v>117000</v>
      </c>
      <c r="D109" s="349">
        <v>31500</v>
      </c>
      <c r="E109" s="349">
        <v>148500</v>
      </c>
    </row>
    <row r="110" spans="1:5" ht="15" x14ac:dyDescent="0.2">
      <c r="B110" s="348" t="s">
        <v>571</v>
      </c>
      <c r="C110" s="349">
        <v>700</v>
      </c>
      <c r="D110" s="349">
        <v>0</v>
      </c>
      <c r="E110" s="349">
        <v>700</v>
      </c>
    </row>
    <row r="112" spans="1:5" ht="15.75" customHeight="1" x14ac:dyDescent="0.2">
      <c r="A112" s="372" t="s">
        <v>536</v>
      </c>
      <c r="B112" s="374"/>
      <c r="C112" s="374"/>
      <c r="D112" s="374"/>
      <c r="E112" s="374"/>
    </row>
    <row r="113" spans="1:5" s="300" customFormat="1" ht="14.25" x14ac:dyDescent="0.2">
      <c r="B113" s="345" t="s">
        <v>515</v>
      </c>
      <c r="C113" s="346">
        <v>9500</v>
      </c>
      <c r="D113" s="346">
        <v>0</v>
      </c>
      <c r="E113" s="346">
        <v>9500</v>
      </c>
    </row>
    <row r="114" spans="1:5" ht="15" x14ac:dyDescent="0.2">
      <c r="B114" s="348" t="s">
        <v>516</v>
      </c>
      <c r="C114" s="349">
        <v>4500</v>
      </c>
      <c r="D114" s="349">
        <v>0</v>
      </c>
      <c r="E114" s="349">
        <v>4500</v>
      </c>
    </row>
    <row r="115" spans="1:5" ht="15" x14ac:dyDescent="0.2">
      <c r="B115" s="348" t="s">
        <v>517</v>
      </c>
      <c r="C115" s="349">
        <v>5000</v>
      </c>
      <c r="D115" s="349">
        <v>0</v>
      </c>
      <c r="E115" s="349">
        <v>5000</v>
      </c>
    </row>
    <row r="117" spans="1:5" ht="31.5" customHeight="1" x14ac:dyDescent="0.2">
      <c r="A117" s="372" t="s">
        <v>537</v>
      </c>
      <c r="B117" s="374"/>
      <c r="C117" s="374"/>
      <c r="D117" s="374"/>
      <c r="E117" s="374"/>
    </row>
    <row r="118" spans="1:5" s="300" customFormat="1" ht="14.25" x14ac:dyDescent="0.2">
      <c r="B118" s="345" t="s">
        <v>515</v>
      </c>
      <c r="C118" s="346">
        <v>15000</v>
      </c>
      <c r="D118" s="346">
        <v>-7384</v>
      </c>
      <c r="E118" s="346">
        <v>7616</v>
      </c>
    </row>
    <row r="119" spans="1:5" ht="15" x14ac:dyDescent="0.2">
      <c r="B119" s="348" t="s">
        <v>518</v>
      </c>
      <c r="C119" s="349">
        <v>15000</v>
      </c>
      <c r="D119" s="349">
        <v>-7384</v>
      </c>
      <c r="E119" s="349">
        <v>7616</v>
      </c>
    </row>
    <row r="121" spans="1:5" ht="31.5" customHeight="1" x14ac:dyDescent="0.2">
      <c r="A121" s="372" t="s">
        <v>538</v>
      </c>
      <c r="B121" s="374"/>
      <c r="C121" s="374"/>
      <c r="D121" s="374"/>
      <c r="E121" s="374"/>
    </row>
    <row r="122" spans="1:5" s="300" customFormat="1" ht="14.25" x14ac:dyDescent="0.2">
      <c r="B122" s="345" t="s">
        <v>515</v>
      </c>
      <c r="C122" s="346">
        <v>9474</v>
      </c>
      <c r="D122" s="346">
        <v>0</v>
      </c>
      <c r="E122" s="346">
        <v>9474</v>
      </c>
    </row>
    <row r="123" spans="1:5" ht="15" x14ac:dyDescent="0.2">
      <c r="B123" s="348" t="s">
        <v>516</v>
      </c>
      <c r="C123" s="349">
        <v>3611</v>
      </c>
      <c r="D123" s="349">
        <v>0</v>
      </c>
      <c r="E123" s="349">
        <v>3611</v>
      </c>
    </row>
    <row r="124" spans="1:5" ht="15" x14ac:dyDescent="0.2">
      <c r="B124" s="348" t="s">
        <v>517</v>
      </c>
      <c r="C124" s="349">
        <v>3031</v>
      </c>
      <c r="D124" s="349">
        <v>0</v>
      </c>
      <c r="E124" s="349">
        <v>3031</v>
      </c>
    </row>
    <row r="125" spans="1:5" ht="15" x14ac:dyDescent="0.2">
      <c r="B125" s="348" t="s">
        <v>518</v>
      </c>
      <c r="C125" s="349">
        <v>2832</v>
      </c>
      <c r="D125" s="349">
        <v>0</v>
      </c>
      <c r="E125" s="349">
        <v>2832</v>
      </c>
    </row>
    <row r="127" spans="1:5" ht="31.5" customHeight="1" x14ac:dyDescent="0.2">
      <c r="A127" s="372" t="s">
        <v>539</v>
      </c>
      <c r="B127" s="374"/>
      <c r="C127" s="374"/>
      <c r="D127" s="374"/>
      <c r="E127" s="374"/>
    </row>
    <row r="128" spans="1:5" s="300" customFormat="1" ht="14.25" x14ac:dyDescent="0.2">
      <c r="B128" s="345" t="s">
        <v>515</v>
      </c>
      <c r="C128" s="346">
        <v>135183</v>
      </c>
      <c r="D128" s="346">
        <v>0</v>
      </c>
      <c r="E128" s="346">
        <v>135183</v>
      </c>
    </row>
    <row r="129" spans="1:5" ht="15" x14ac:dyDescent="0.2">
      <c r="B129" s="348" t="s">
        <v>516</v>
      </c>
      <c r="C129" s="349">
        <v>11659</v>
      </c>
      <c r="D129" s="349">
        <v>0</v>
      </c>
      <c r="E129" s="349">
        <v>11659</v>
      </c>
    </row>
    <row r="130" spans="1:5" ht="15" x14ac:dyDescent="0.2">
      <c r="B130" s="348" t="s">
        <v>517</v>
      </c>
      <c r="C130" s="349">
        <v>123524</v>
      </c>
      <c r="D130" s="349">
        <v>0</v>
      </c>
      <c r="E130" s="349">
        <v>123524</v>
      </c>
    </row>
    <row r="132" spans="1:5" ht="15.75" customHeight="1" x14ac:dyDescent="0.2">
      <c r="A132" s="372" t="s">
        <v>540</v>
      </c>
      <c r="B132" s="374"/>
      <c r="C132" s="374"/>
      <c r="D132" s="374"/>
      <c r="E132" s="374"/>
    </row>
    <row r="133" spans="1:5" s="300" customFormat="1" ht="14.25" x14ac:dyDescent="0.2">
      <c r="B133" s="345" t="s">
        <v>515</v>
      </c>
      <c r="C133" s="346">
        <v>678515</v>
      </c>
      <c r="D133" s="346">
        <v>0</v>
      </c>
      <c r="E133" s="346">
        <v>678515</v>
      </c>
    </row>
    <row r="134" spans="1:5" ht="15" x14ac:dyDescent="0.2">
      <c r="B134" s="348" t="s">
        <v>516</v>
      </c>
      <c r="C134" s="349">
        <v>51724</v>
      </c>
      <c r="D134" s="349">
        <v>0</v>
      </c>
      <c r="E134" s="349">
        <v>51724</v>
      </c>
    </row>
    <row r="135" spans="1:5" ht="15" x14ac:dyDescent="0.2">
      <c r="B135" s="348" t="s">
        <v>517</v>
      </c>
      <c r="C135" s="349">
        <v>582890</v>
      </c>
      <c r="D135" s="349">
        <v>0</v>
      </c>
      <c r="E135" s="349">
        <v>582890</v>
      </c>
    </row>
    <row r="136" spans="1:5" ht="15" x14ac:dyDescent="0.2">
      <c r="B136" s="348" t="s">
        <v>518</v>
      </c>
      <c r="C136" s="349">
        <v>2500</v>
      </c>
      <c r="D136" s="349">
        <v>0</v>
      </c>
      <c r="E136" s="349">
        <v>2500</v>
      </c>
    </row>
    <row r="137" spans="1:5" ht="15" x14ac:dyDescent="0.2">
      <c r="B137" s="348" t="s">
        <v>519</v>
      </c>
      <c r="C137" s="349">
        <v>35246</v>
      </c>
      <c r="D137" s="349">
        <v>0</v>
      </c>
      <c r="E137" s="349">
        <v>35246</v>
      </c>
    </row>
    <row r="138" spans="1:5" ht="15" x14ac:dyDescent="0.2">
      <c r="B138" s="348" t="s">
        <v>571</v>
      </c>
      <c r="C138" s="349">
        <v>6155</v>
      </c>
      <c r="D138" s="349">
        <v>0</v>
      </c>
      <c r="E138" s="349">
        <v>6155</v>
      </c>
    </row>
    <row r="140" spans="1:5" ht="15.75" customHeight="1" x14ac:dyDescent="0.2">
      <c r="A140" s="372" t="s">
        <v>819</v>
      </c>
      <c r="B140" s="374"/>
      <c r="C140" s="374"/>
      <c r="D140" s="374"/>
      <c r="E140" s="374"/>
    </row>
    <row r="141" spans="1:5" s="300" customFormat="1" ht="14.25" x14ac:dyDescent="0.2">
      <c r="B141" s="345" t="s">
        <v>515</v>
      </c>
      <c r="C141" s="346">
        <v>1212604</v>
      </c>
      <c r="D141" s="346">
        <v>0</v>
      </c>
      <c r="E141" s="346">
        <v>1212604</v>
      </c>
    </row>
    <row r="142" spans="1:5" ht="15" x14ac:dyDescent="0.2">
      <c r="B142" s="348" t="s">
        <v>519</v>
      </c>
      <c r="C142" s="349">
        <v>1212604</v>
      </c>
      <c r="D142" s="349">
        <v>0</v>
      </c>
      <c r="E142" s="349">
        <v>1212604</v>
      </c>
    </row>
    <row r="144" spans="1:5" ht="31.5" customHeight="1" x14ac:dyDescent="0.2">
      <c r="A144" s="372" t="s">
        <v>541</v>
      </c>
      <c r="B144" s="374"/>
      <c r="C144" s="374"/>
      <c r="D144" s="374"/>
      <c r="E144" s="374"/>
    </row>
    <row r="145" spans="1:5" s="300" customFormat="1" ht="14.25" x14ac:dyDescent="0.2">
      <c r="B145" s="345" t="s">
        <v>515</v>
      </c>
      <c r="C145" s="346">
        <v>61250</v>
      </c>
      <c r="D145" s="346">
        <v>0</v>
      </c>
      <c r="E145" s="346">
        <v>61250</v>
      </c>
    </row>
    <row r="146" spans="1:5" ht="15" x14ac:dyDescent="0.2">
      <c r="B146" s="348" t="s">
        <v>519</v>
      </c>
      <c r="C146" s="349">
        <v>61250</v>
      </c>
      <c r="D146" s="349">
        <v>0</v>
      </c>
      <c r="E146" s="349">
        <v>61250</v>
      </c>
    </row>
    <row r="148" spans="1:5" ht="31.5" customHeight="1" x14ac:dyDescent="0.2">
      <c r="A148" s="372" t="s">
        <v>542</v>
      </c>
      <c r="B148" s="374"/>
      <c r="C148" s="374"/>
      <c r="D148" s="374"/>
      <c r="E148" s="374"/>
    </row>
    <row r="149" spans="1:5" s="300" customFormat="1" ht="14.25" x14ac:dyDescent="0.2">
      <c r="B149" s="345" t="s">
        <v>515</v>
      </c>
      <c r="C149" s="346">
        <v>264736</v>
      </c>
      <c r="D149" s="346">
        <v>0</v>
      </c>
      <c r="E149" s="346">
        <v>264736</v>
      </c>
    </row>
    <row r="150" spans="1:5" ht="15" x14ac:dyDescent="0.2">
      <c r="B150" s="348" t="s">
        <v>517</v>
      </c>
      <c r="C150" s="349">
        <v>7418</v>
      </c>
      <c r="D150" s="349">
        <v>0</v>
      </c>
      <c r="E150" s="349">
        <v>7418</v>
      </c>
    </row>
    <row r="151" spans="1:5" ht="30" x14ac:dyDescent="0.2">
      <c r="B151" s="348" t="s">
        <v>520</v>
      </c>
      <c r="C151" s="349">
        <v>257318</v>
      </c>
      <c r="D151" s="349">
        <v>0</v>
      </c>
      <c r="E151" s="349">
        <v>257318</v>
      </c>
    </row>
    <row r="153" spans="1:5" ht="31.5" customHeight="1" x14ac:dyDescent="0.2">
      <c r="A153" s="372" t="s">
        <v>820</v>
      </c>
      <c r="B153" s="374"/>
      <c r="C153" s="374"/>
      <c r="D153" s="374"/>
      <c r="E153" s="374"/>
    </row>
    <row r="154" spans="1:5" s="300" customFormat="1" ht="14.25" x14ac:dyDescent="0.2">
      <c r="B154" s="345" t="s">
        <v>515</v>
      </c>
      <c r="C154" s="346">
        <v>129425</v>
      </c>
      <c r="D154" s="346">
        <v>0</v>
      </c>
      <c r="E154" s="346">
        <v>129425</v>
      </c>
    </row>
    <row r="155" spans="1:5" ht="15" x14ac:dyDescent="0.2">
      <c r="B155" s="348" t="s">
        <v>519</v>
      </c>
      <c r="C155" s="349">
        <v>129425</v>
      </c>
      <c r="D155" s="349">
        <v>0</v>
      </c>
      <c r="E155" s="349">
        <v>129425</v>
      </c>
    </row>
    <row r="157" spans="1:5" ht="31.5" customHeight="1" x14ac:dyDescent="0.2">
      <c r="A157" s="372" t="s">
        <v>543</v>
      </c>
      <c r="B157" s="374"/>
      <c r="C157" s="374"/>
      <c r="D157" s="374"/>
      <c r="E157" s="374"/>
    </row>
    <row r="158" spans="1:5" s="300" customFormat="1" ht="14.25" x14ac:dyDescent="0.2">
      <c r="B158" s="345" t="s">
        <v>515</v>
      </c>
      <c r="C158" s="346">
        <v>594941</v>
      </c>
      <c r="D158" s="346">
        <v>0</v>
      </c>
      <c r="E158" s="346">
        <v>594941</v>
      </c>
    </row>
    <row r="159" spans="1:5" ht="15" x14ac:dyDescent="0.2">
      <c r="B159" s="348" t="s">
        <v>517</v>
      </c>
      <c r="C159" s="349">
        <v>0</v>
      </c>
      <c r="D159" s="349">
        <v>0</v>
      </c>
      <c r="E159" s="349">
        <v>0</v>
      </c>
    </row>
    <row r="160" spans="1:5" ht="15" x14ac:dyDescent="0.2">
      <c r="B160" s="348" t="s">
        <v>519</v>
      </c>
      <c r="C160" s="349">
        <v>594941</v>
      </c>
      <c r="D160" s="349">
        <v>0</v>
      </c>
      <c r="E160" s="349">
        <v>594941</v>
      </c>
    </row>
    <row r="162" spans="1:5" ht="31.5" customHeight="1" x14ac:dyDescent="0.2">
      <c r="A162" s="372" t="s">
        <v>544</v>
      </c>
      <c r="B162" s="374"/>
      <c r="C162" s="374"/>
      <c r="D162" s="374"/>
      <c r="E162" s="374"/>
    </row>
    <row r="163" spans="1:5" s="300" customFormat="1" ht="14.25" x14ac:dyDescent="0.2">
      <c r="B163" s="345" t="s">
        <v>515</v>
      </c>
      <c r="C163" s="346">
        <v>802205</v>
      </c>
      <c r="D163" s="346">
        <v>0</v>
      </c>
      <c r="E163" s="346">
        <v>802205</v>
      </c>
    </row>
    <row r="164" spans="1:5" ht="15" x14ac:dyDescent="0.2">
      <c r="B164" s="348" t="s">
        <v>519</v>
      </c>
      <c r="C164" s="349">
        <v>802205</v>
      </c>
      <c r="D164" s="349">
        <v>0</v>
      </c>
      <c r="E164" s="349">
        <v>802205</v>
      </c>
    </row>
    <row r="166" spans="1:5" ht="31.5" customHeight="1" x14ac:dyDescent="0.2">
      <c r="A166" s="372" t="s">
        <v>545</v>
      </c>
      <c r="B166" s="374"/>
      <c r="C166" s="374"/>
      <c r="D166" s="374"/>
      <c r="E166" s="374"/>
    </row>
    <row r="167" spans="1:5" s="300" customFormat="1" ht="14.25" x14ac:dyDescent="0.2">
      <c r="B167" s="345" t="s">
        <v>515</v>
      </c>
      <c r="C167" s="346">
        <v>217444</v>
      </c>
      <c r="D167" s="346">
        <v>0</v>
      </c>
      <c r="E167" s="346">
        <v>217444</v>
      </c>
    </row>
    <row r="168" spans="1:5" ht="15" x14ac:dyDescent="0.2">
      <c r="B168" s="348" t="s">
        <v>519</v>
      </c>
      <c r="C168" s="349">
        <v>217444</v>
      </c>
      <c r="D168" s="349">
        <v>0</v>
      </c>
      <c r="E168" s="349">
        <v>217444</v>
      </c>
    </row>
    <row r="170" spans="1:5" ht="15.75" customHeight="1" x14ac:dyDescent="0.2">
      <c r="A170" s="372" t="s">
        <v>546</v>
      </c>
      <c r="B170" s="374"/>
      <c r="C170" s="374"/>
      <c r="D170" s="374"/>
      <c r="E170" s="374"/>
    </row>
    <row r="171" spans="1:5" s="300" customFormat="1" ht="14.25" x14ac:dyDescent="0.2">
      <c r="B171" s="345" t="s">
        <v>515</v>
      </c>
      <c r="C171" s="346">
        <v>76468</v>
      </c>
      <c r="D171" s="346">
        <v>0</v>
      </c>
      <c r="E171" s="346">
        <v>76468</v>
      </c>
    </row>
    <row r="172" spans="1:5" ht="15" x14ac:dyDescent="0.2">
      <c r="B172" s="348" t="s">
        <v>516</v>
      </c>
      <c r="C172" s="349">
        <v>45807</v>
      </c>
      <c r="D172" s="349">
        <v>0</v>
      </c>
      <c r="E172" s="349">
        <v>45807</v>
      </c>
    </row>
    <row r="173" spans="1:5" ht="15" x14ac:dyDescent="0.2">
      <c r="B173" s="348" t="s">
        <v>517</v>
      </c>
      <c r="C173" s="349">
        <v>30661</v>
      </c>
      <c r="D173" s="349">
        <v>0</v>
      </c>
      <c r="E173" s="349">
        <v>30661</v>
      </c>
    </row>
    <row r="175" spans="1:5" ht="15.75" customHeight="1" x14ac:dyDescent="0.2">
      <c r="A175" s="372" t="s">
        <v>873</v>
      </c>
      <c r="B175" s="374"/>
      <c r="C175" s="374"/>
      <c r="D175" s="374"/>
      <c r="E175" s="374"/>
    </row>
    <row r="176" spans="1:5" s="300" customFormat="1" ht="14.25" x14ac:dyDescent="0.2">
      <c r="B176" s="345" t="s">
        <v>515</v>
      </c>
      <c r="C176" s="346">
        <v>94</v>
      </c>
      <c r="D176" s="346">
        <v>0</v>
      </c>
      <c r="E176" s="346">
        <v>94</v>
      </c>
    </row>
    <row r="177" spans="1:5" ht="15" x14ac:dyDescent="0.2">
      <c r="B177" s="348" t="s">
        <v>516</v>
      </c>
      <c r="C177" s="349">
        <v>94</v>
      </c>
      <c r="D177" s="349">
        <v>0</v>
      </c>
      <c r="E177" s="349">
        <v>94</v>
      </c>
    </row>
    <row r="179" spans="1:5" ht="15.75" customHeight="1" x14ac:dyDescent="0.2">
      <c r="A179" s="372" t="s">
        <v>794</v>
      </c>
      <c r="B179" s="374"/>
      <c r="C179" s="374"/>
      <c r="D179" s="374"/>
      <c r="E179" s="374"/>
    </row>
    <row r="180" spans="1:5" s="300" customFormat="1" ht="14.25" x14ac:dyDescent="0.2">
      <c r="B180" s="345" t="s">
        <v>515</v>
      </c>
      <c r="C180" s="346">
        <v>1475</v>
      </c>
      <c r="D180" s="346">
        <v>0</v>
      </c>
      <c r="E180" s="346">
        <v>1475</v>
      </c>
    </row>
    <row r="181" spans="1:5" ht="15" x14ac:dyDescent="0.2">
      <c r="B181" s="348" t="s">
        <v>516</v>
      </c>
      <c r="C181" s="349">
        <v>1355</v>
      </c>
      <c r="D181" s="349">
        <v>0</v>
      </c>
      <c r="E181" s="349">
        <v>1355</v>
      </c>
    </row>
    <row r="182" spans="1:5" ht="15" x14ac:dyDescent="0.2">
      <c r="B182" s="348" t="s">
        <v>517</v>
      </c>
      <c r="C182" s="349">
        <v>120</v>
      </c>
      <c r="D182" s="349">
        <v>0</v>
      </c>
      <c r="E182" s="349">
        <v>120</v>
      </c>
    </row>
    <row r="184" spans="1:5" ht="15.75" customHeight="1" x14ac:dyDescent="0.2">
      <c r="A184" s="372" t="s">
        <v>547</v>
      </c>
      <c r="B184" s="374"/>
      <c r="C184" s="374"/>
      <c r="D184" s="374"/>
      <c r="E184" s="374"/>
    </row>
    <row r="185" spans="1:5" s="300" customFormat="1" ht="14.25" x14ac:dyDescent="0.2">
      <c r="B185" s="345" t="s">
        <v>515</v>
      </c>
      <c r="C185" s="346">
        <v>143074</v>
      </c>
      <c r="D185" s="346">
        <v>0</v>
      </c>
      <c r="E185" s="346">
        <v>143074</v>
      </c>
    </row>
    <row r="186" spans="1:5" ht="15" x14ac:dyDescent="0.2">
      <c r="B186" s="348" t="s">
        <v>516</v>
      </c>
      <c r="C186" s="349">
        <v>59699</v>
      </c>
      <c r="D186" s="349">
        <v>0</v>
      </c>
      <c r="E186" s="349">
        <v>59699</v>
      </c>
    </row>
    <row r="187" spans="1:5" ht="15" x14ac:dyDescent="0.2">
      <c r="B187" s="348" t="s">
        <v>517</v>
      </c>
      <c r="C187" s="349">
        <v>78375</v>
      </c>
      <c r="D187" s="349">
        <v>0</v>
      </c>
      <c r="E187" s="349">
        <v>78375</v>
      </c>
    </row>
    <row r="188" spans="1:5" ht="30" x14ac:dyDescent="0.2">
      <c r="B188" s="348" t="s">
        <v>520</v>
      </c>
      <c r="C188" s="349">
        <v>5000</v>
      </c>
      <c r="D188" s="349">
        <v>0</v>
      </c>
      <c r="E188" s="349">
        <v>5000</v>
      </c>
    </row>
    <row r="190" spans="1:5" ht="15.75" customHeight="1" x14ac:dyDescent="0.2">
      <c r="A190" s="372" t="s">
        <v>548</v>
      </c>
      <c r="B190" s="374"/>
      <c r="C190" s="374"/>
      <c r="D190" s="374"/>
      <c r="E190" s="374"/>
    </row>
    <row r="191" spans="1:5" s="300" customFormat="1" ht="14.25" x14ac:dyDescent="0.2">
      <c r="B191" s="345" t="s">
        <v>515</v>
      </c>
      <c r="C191" s="346">
        <v>1631996</v>
      </c>
      <c r="D191" s="346">
        <v>0</v>
      </c>
      <c r="E191" s="346">
        <v>1631996</v>
      </c>
    </row>
    <row r="192" spans="1:5" ht="15" x14ac:dyDescent="0.2">
      <c r="B192" s="348" t="s">
        <v>519</v>
      </c>
      <c r="C192" s="349">
        <v>1631996</v>
      </c>
      <c r="D192" s="349">
        <v>0</v>
      </c>
      <c r="E192" s="349">
        <v>1631996</v>
      </c>
    </row>
    <row r="193" spans="1:5" ht="30" customHeight="1" x14ac:dyDescent="0.2"/>
    <row r="194" spans="1:5" ht="15.75" customHeight="1" x14ac:dyDescent="0.2">
      <c r="A194" s="380" t="s">
        <v>549</v>
      </c>
      <c r="B194" s="381"/>
      <c r="C194" s="381"/>
      <c r="D194" s="381"/>
      <c r="E194" s="381"/>
    </row>
    <row r="195" spans="1:5" ht="15" x14ac:dyDescent="0.2">
      <c r="A195" s="298"/>
      <c r="B195" s="350" t="s">
        <v>515</v>
      </c>
      <c r="C195" s="351">
        <v>4716907</v>
      </c>
      <c r="D195" s="351">
        <v>-10000</v>
      </c>
      <c r="E195" s="351">
        <v>4706907</v>
      </c>
    </row>
    <row r="196" spans="1:5" ht="15" x14ac:dyDescent="0.2">
      <c r="A196" s="298"/>
      <c r="B196" s="350" t="s">
        <v>517</v>
      </c>
      <c r="C196" s="351">
        <v>535914</v>
      </c>
      <c r="D196" s="351">
        <v>-10000</v>
      </c>
      <c r="E196" s="351">
        <v>525914</v>
      </c>
    </row>
    <row r="197" spans="1:5" ht="15" x14ac:dyDescent="0.2">
      <c r="A197" s="298"/>
      <c r="B197" s="350" t="s">
        <v>518</v>
      </c>
      <c r="C197" s="351">
        <v>4126893</v>
      </c>
      <c r="D197" s="351">
        <v>0</v>
      </c>
      <c r="E197" s="351">
        <v>4126893</v>
      </c>
    </row>
    <row r="198" spans="1:5" ht="15" x14ac:dyDescent="0.2">
      <c r="A198" s="298"/>
      <c r="B198" s="350" t="s">
        <v>795</v>
      </c>
      <c r="C198" s="351">
        <v>50600</v>
      </c>
      <c r="D198" s="351">
        <v>0</v>
      </c>
      <c r="E198" s="351">
        <v>50600</v>
      </c>
    </row>
    <row r="199" spans="1:5" ht="30" x14ac:dyDescent="0.2">
      <c r="A199" s="298"/>
      <c r="B199" s="350" t="s">
        <v>520</v>
      </c>
      <c r="C199" s="351">
        <v>3500</v>
      </c>
      <c r="D199" s="351">
        <v>0</v>
      </c>
      <c r="E199" s="351">
        <v>3500</v>
      </c>
    </row>
    <row r="201" spans="1:5" ht="15.75" customHeight="1" x14ac:dyDescent="0.2">
      <c r="A201" s="372" t="s">
        <v>550</v>
      </c>
      <c r="B201" s="374"/>
      <c r="C201" s="374"/>
      <c r="D201" s="374"/>
      <c r="E201" s="374"/>
    </row>
    <row r="202" spans="1:5" s="300" customFormat="1" ht="14.25" x14ac:dyDescent="0.2">
      <c r="B202" s="345" t="s">
        <v>515</v>
      </c>
      <c r="C202" s="346">
        <v>45250</v>
      </c>
      <c r="D202" s="346">
        <v>0</v>
      </c>
      <c r="E202" s="346">
        <v>45250</v>
      </c>
    </row>
    <row r="203" spans="1:5" ht="15" x14ac:dyDescent="0.2">
      <c r="B203" s="348" t="s">
        <v>517</v>
      </c>
      <c r="C203" s="349">
        <v>45250</v>
      </c>
      <c r="D203" s="349">
        <v>0</v>
      </c>
      <c r="E203" s="349">
        <v>45250</v>
      </c>
    </row>
    <row r="205" spans="1:5" ht="15.75" customHeight="1" x14ac:dyDescent="0.2">
      <c r="A205" s="372" t="s">
        <v>827</v>
      </c>
      <c r="B205" s="374"/>
      <c r="C205" s="374"/>
      <c r="D205" s="374"/>
      <c r="E205" s="374"/>
    </row>
    <row r="206" spans="1:5" s="300" customFormat="1" ht="14.25" x14ac:dyDescent="0.2">
      <c r="B206" s="345" t="s">
        <v>515</v>
      </c>
      <c r="C206" s="346">
        <v>270000</v>
      </c>
      <c r="D206" s="346">
        <v>0</v>
      </c>
      <c r="E206" s="346">
        <v>270000</v>
      </c>
    </row>
    <row r="207" spans="1:5" ht="15" x14ac:dyDescent="0.2">
      <c r="B207" s="348" t="s">
        <v>517</v>
      </c>
      <c r="C207" s="349">
        <v>219400</v>
      </c>
      <c r="D207" s="349">
        <v>0</v>
      </c>
      <c r="E207" s="349">
        <v>219400</v>
      </c>
    </row>
    <row r="208" spans="1:5" ht="15" x14ac:dyDescent="0.2">
      <c r="B208" s="348" t="s">
        <v>795</v>
      </c>
      <c r="C208" s="349">
        <v>50600</v>
      </c>
      <c r="D208" s="349">
        <v>0</v>
      </c>
      <c r="E208" s="349">
        <v>50600</v>
      </c>
    </row>
    <row r="210" spans="1:5" ht="15.75" customHeight="1" x14ac:dyDescent="0.2">
      <c r="A210" s="372" t="s">
        <v>551</v>
      </c>
      <c r="B210" s="374"/>
      <c r="C210" s="374"/>
      <c r="D210" s="374"/>
      <c r="E210" s="374"/>
    </row>
    <row r="211" spans="1:5" s="300" customFormat="1" ht="14.25" x14ac:dyDescent="0.2">
      <c r="B211" s="345" t="s">
        <v>515</v>
      </c>
      <c r="C211" s="346">
        <v>170392</v>
      </c>
      <c r="D211" s="346">
        <v>-10000</v>
      </c>
      <c r="E211" s="346">
        <v>160392</v>
      </c>
    </row>
    <row r="212" spans="1:5" ht="15" x14ac:dyDescent="0.2">
      <c r="B212" s="348" t="s">
        <v>517</v>
      </c>
      <c r="C212" s="349">
        <v>170392</v>
      </c>
      <c r="D212" s="349">
        <v>-10000</v>
      </c>
      <c r="E212" s="349">
        <v>160392</v>
      </c>
    </row>
    <row r="214" spans="1:5" ht="15.75" customHeight="1" x14ac:dyDescent="0.2">
      <c r="A214" s="372" t="s">
        <v>552</v>
      </c>
      <c r="B214" s="374"/>
      <c r="C214" s="374"/>
      <c r="D214" s="374"/>
      <c r="E214" s="374"/>
    </row>
    <row r="215" spans="1:5" s="300" customFormat="1" ht="14.25" x14ac:dyDescent="0.2">
      <c r="B215" s="345" t="s">
        <v>515</v>
      </c>
      <c r="C215" s="346">
        <v>3017499</v>
      </c>
      <c r="D215" s="346">
        <v>0</v>
      </c>
      <c r="E215" s="346">
        <v>3017499</v>
      </c>
    </row>
    <row r="216" spans="1:5" ht="15" x14ac:dyDescent="0.2">
      <c r="B216" s="348" t="s">
        <v>518</v>
      </c>
      <c r="C216" s="349">
        <v>3017499</v>
      </c>
      <c r="D216" s="349">
        <v>0</v>
      </c>
      <c r="E216" s="349">
        <v>3017499</v>
      </c>
    </row>
    <row r="218" spans="1:5" ht="15.75" customHeight="1" x14ac:dyDescent="0.2">
      <c r="A218" s="372" t="s">
        <v>553</v>
      </c>
      <c r="B218" s="374"/>
      <c r="C218" s="374"/>
      <c r="D218" s="374"/>
      <c r="E218" s="374"/>
    </row>
    <row r="219" spans="1:5" s="300" customFormat="1" ht="14.25" x14ac:dyDescent="0.2">
      <c r="B219" s="345" t="s">
        <v>515</v>
      </c>
      <c r="C219" s="346">
        <v>3500</v>
      </c>
      <c r="D219" s="346">
        <v>0</v>
      </c>
      <c r="E219" s="346">
        <v>3500</v>
      </c>
    </row>
    <row r="220" spans="1:5" ht="30" x14ac:dyDescent="0.2">
      <c r="B220" s="348" t="s">
        <v>520</v>
      </c>
      <c r="C220" s="349">
        <v>3500</v>
      </c>
      <c r="D220" s="349">
        <v>0</v>
      </c>
      <c r="E220" s="349">
        <v>3500</v>
      </c>
    </row>
    <row r="222" spans="1:5" ht="31.5" customHeight="1" x14ac:dyDescent="0.2">
      <c r="A222" s="372" t="s">
        <v>868</v>
      </c>
      <c r="B222" s="374"/>
      <c r="C222" s="374"/>
      <c r="D222" s="374"/>
      <c r="E222" s="374"/>
    </row>
    <row r="223" spans="1:5" s="300" customFormat="1" ht="14.25" x14ac:dyDescent="0.2">
      <c r="B223" s="345" t="s">
        <v>515</v>
      </c>
      <c r="C223" s="346">
        <v>100000</v>
      </c>
      <c r="D223" s="346">
        <v>0</v>
      </c>
      <c r="E223" s="346">
        <v>100000</v>
      </c>
    </row>
    <row r="224" spans="1:5" ht="15" x14ac:dyDescent="0.2">
      <c r="B224" s="348" t="s">
        <v>518</v>
      </c>
      <c r="C224" s="349">
        <v>100000</v>
      </c>
      <c r="D224" s="349">
        <v>0</v>
      </c>
      <c r="E224" s="349">
        <v>100000</v>
      </c>
    </row>
    <row r="226" spans="1:5" ht="15.75" customHeight="1" x14ac:dyDescent="0.2">
      <c r="A226" s="372" t="s">
        <v>554</v>
      </c>
      <c r="B226" s="374"/>
      <c r="C226" s="374"/>
      <c r="D226" s="374"/>
      <c r="E226" s="374"/>
    </row>
    <row r="227" spans="1:5" s="300" customFormat="1" ht="14.25" x14ac:dyDescent="0.2">
      <c r="B227" s="345" t="s">
        <v>515</v>
      </c>
      <c r="C227" s="346">
        <v>535784</v>
      </c>
      <c r="D227" s="346">
        <v>0</v>
      </c>
      <c r="E227" s="346">
        <v>535784</v>
      </c>
    </row>
    <row r="228" spans="1:5" ht="15" x14ac:dyDescent="0.2">
      <c r="B228" s="348" t="s">
        <v>518</v>
      </c>
      <c r="C228" s="349">
        <v>535784</v>
      </c>
      <c r="D228" s="349">
        <v>0</v>
      </c>
      <c r="E228" s="349">
        <v>535784</v>
      </c>
    </row>
    <row r="230" spans="1:5" ht="15.75" customHeight="1" x14ac:dyDescent="0.2">
      <c r="A230" s="372" t="s">
        <v>828</v>
      </c>
      <c r="B230" s="374"/>
      <c r="C230" s="374"/>
      <c r="D230" s="374"/>
      <c r="E230" s="374"/>
    </row>
    <row r="231" spans="1:5" s="300" customFormat="1" ht="14.25" x14ac:dyDescent="0.2">
      <c r="B231" s="345" t="s">
        <v>515</v>
      </c>
      <c r="C231" s="346">
        <v>57739</v>
      </c>
      <c r="D231" s="346">
        <v>0</v>
      </c>
      <c r="E231" s="346">
        <v>57739</v>
      </c>
    </row>
    <row r="232" spans="1:5" ht="15" x14ac:dyDescent="0.2">
      <c r="B232" s="348" t="s">
        <v>517</v>
      </c>
      <c r="C232" s="349">
        <v>20</v>
      </c>
      <c r="D232" s="349">
        <v>0</v>
      </c>
      <c r="E232" s="349">
        <v>20</v>
      </c>
    </row>
    <row r="233" spans="1:5" ht="15" x14ac:dyDescent="0.2">
      <c r="B233" s="348" t="s">
        <v>518</v>
      </c>
      <c r="C233" s="349">
        <v>57719</v>
      </c>
      <c r="D233" s="349">
        <v>0</v>
      </c>
      <c r="E233" s="349">
        <v>57719</v>
      </c>
    </row>
    <row r="235" spans="1:5" ht="15.75" customHeight="1" x14ac:dyDescent="0.2">
      <c r="A235" s="372" t="s">
        <v>555</v>
      </c>
      <c r="B235" s="374"/>
      <c r="C235" s="374"/>
      <c r="D235" s="374"/>
      <c r="E235" s="374"/>
    </row>
    <row r="236" spans="1:5" s="300" customFormat="1" ht="14.25" x14ac:dyDescent="0.2">
      <c r="B236" s="345" t="s">
        <v>515</v>
      </c>
      <c r="C236" s="346">
        <v>230491</v>
      </c>
      <c r="D236" s="346">
        <v>0</v>
      </c>
      <c r="E236" s="346">
        <v>230491</v>
      </c>
    </row>
    <row r="237" spans="1:5" ht="15" x14ac:dyDescent="0.2">
      <c r="B237" s="348" t="s">
        <v>518</v>
      </c>
      <c r="C237" s="349">
        <v>230491</v>
      </c>
      <c r="D237" s="349">
        <v>0</v>
      </c>
      <c r="E237" s="349">
        <v>230491</v>
      </c>
    </row>
    <row r="239" spans="1:5" ht="15.75" customHeight="1" x14ac:dyDescent="0.2">
      <c r="A239" s="372" t="s">
        <v>769</v>
      </c>
      <c r="B239" s="374"/>
      <c r="C239" s="374"/>
      <c r="D239" s="374"/>
      <c r="E239" s="374"/>
    </row>
    <row r="240" spans="1:5" s="300" customFormat="1" ht="14.25" x14ac:dyDescent="0.2">
      <c r="B240" s="345" t="s">
        <v>515</v>
      </c>
      <c r="C240" s="346">
        <v>10000</v>
      </c>
      <c r="D240" s="346">
        <v>0</v>
      </c>
      <c r="E240" s="346">
        <v>10000</v>
      </c>
    </row>
    <row r="241" spans="1:5" ht="15" x14ac:dyDescent="0.2">
      <c r="B241" s="348" t="s">
        <v>518</v>
      </c>
      <c r="C241" s="349">
        <v>10000</v>
      </c>
      <c r="D241" s="349">
        <v>0</v>
      </c>
      <c r="E241" s="349">
        <v>10000</v>
      </c>
    </row>
    <row r="243" spans="1:5" ht="15.75" customHeight="1" x14ac:dyDescent="0.2">
      <c r="A243" s="372" t="s">
        <v>556</v>
      </c>
      <c r="B243" s="374"/>
      <c r="C243" s="374"/>
      <c r="D243" s="374"/>
      <c r="E243" s="374"/>
    </row>
    <row r="244" spans="1:5" s="300" customFormat="1" ht="14.25" x14ac:dyDescent="0.2">
      <c r="B244" s="345" t="s">
        <v>515</v>
      </c>
      <c r="C244" s="346">
        <v>5000</v>
      </c>
      <c r="D244" s="346">
        <v>0</v>
      </c>
      <c r="E244" s="346">
        <v>5000</v>
      </c>
    </row>
    <row r="245" spans="1:5" ht="15" x14ac:dyDescent="0.2">
      <c r="B245" s="348" t="s">
        <v>518</v>
      </c>
      <c r="C245" s="349">
        <v>5000</v>
      </c>
      <c r="D245" s="349">
        <v>0</v>
      </c>
      <c r="E245" s="349">
        <v>5000</v>
      </c>
    </row>
    <row r="247" spans="1:5" ht="15.75" customHeight="1" x14ac:dyDescent="0.2">
      <c r="A247" s="372" t="s">
        <v>557</v>
      </c>
      <c r="B247" s="374"/>
      <c r="C247" s="374"/>
      <c r="D247" s="374"/>
      <c r="E247" s="374"/>
    </row>
    <row r="248" spans="1:5" s="300" customFormat="1" ht="14.25" x14ac:dyDescent="0.2">
      <c r="B248" s="345" t="s">
        <v>515</v>
      </c>
      <c r="C248" s="346">
        <v>157500</v>
      </c>
      <c r="D248" s="346">
        <v>0</v>
      </c>
      <c r="E248" s="346">
        <v>157500</v>
      </c>
    </row>
    <row r="249" spans="1:5" ht="15" x14ac:dyDescent="0.2">
      <c r="B249" s="348" t="s">
        <v>518</v>
      </c>
      <c r="C249" s="349">
        <v>157500</v>
      </c>
      <c r="D249" s="349">
        <v>0</v>
      </c>
      <c r="E249" s="349">
        <v>157500</v>
      </c>
    </row>
    <row r="251" spans="1:5" ht="15.75" customHeight="1" x14ac:dyDescent="0.2">
      <c r="A251" s="372" t="s">
        <v>558</v>
      </c>
      <c r="B251" s="374"/>
      <c r="C251" s="374"/>
      <c r="D251" s="374"/>
      <c r="E251" s="374"/>
    </row>
    <row r="252" spans="1:5" s="300" customFormat="1" ht="14.25" x14ac:dyDescent="0.2">
      <c r="B252" s="345" t="s">
        <v>515</v>
      </c>
      <c r="C252" s="346">
        <v>4300</v>
      </c>
      <c r="D252" s="346">
        <v>0</v>
      </c>
      <c r="E252" s="346">
        <v>4300</v>
      </c>
    </row>
    <row r="253" spans="1:5" ht="15" x14ac:dyDescent="0.2">
      <c r="B253" s="348" t="s">
        <v>518</v>
      </c>
      <c r="C253" s="349">
        <v>4300</v>
      </c>
      <c r="D253" s="349">
        <v>0</v>
      </c>
      <c r="E253" s="349">
        <v>4300</v>
      </c>
    </row>
    <row r="255" spans="1:5" ht="15.75" customHeight="1" x14ac:dyDescent="0.2">
      <c r="A255" s="372" t="s">
        <v>559</v>
      </c>
      <c r="B255" s="374"/>
      <c r="C255" s="374"/>
      <c r="D255" s="374"/>
      <c r="E255" s="374"/>
    </row>
    <row r="256" spans="1:5" s="300" customFormat="1" ht="14.25" x14ac:dyDescent="0.2">
      <c r="B256" s="345" t="s">
        <v>515</v>
      </c>
      <c r="C256" s="346">
        <v>100852</v>
      </c>
      <c r="D256" s="346">
        <v>0</v>
      </c>
      <c r="E256" s="346">
        <v>100852</v>
      </c>
    </row>
    <row r="257" spans="1:5" ht="15" x14ac:dyDescent="0.2">
      <c r="B257" s="348" t="s">
        <v>517</v>
      </c>
      <c r="C257" s="349">
        <v>100852</v>
      </c>
      <c r="D257" s="349">
        <v>0</v>
      </c>
      <c r="E257" s="349">
        <v>100852</v>
      </c>
    </row>
    <row r="259" spans="1:5" ht="15.75" customHeight="1" x14ac:dyDescent="0.2">
      <c r="A259" s="372" t="s">
        <v>560</v>
      </c>
      <c r="B259" s="374"/>
      <c r="C259" s="374"/>
      <c r="D259" s="374"/>
      <c r="E259" s="374"/>
    </row>
    <row r="260" spans="1:5" s="300" customFormat="1" ht="14.25" x14ac:dyDescent="0.2">
      <c r="B260" s="345" t="s">
        <v>515</v>
      </c>
      <c r="C260" s="346">
        <v>6000</v>
      </c>
      <c r="D260" s="346">
        <v>0</v>
      </c>
      <c r="E260" s="346">
        <v>6000</v>
      </c>
    </row>
    <row r="261" spans="1:5" ht="15" x14ac:dyDescent="0.2">
      <c r="B261" s="348" t="s">
        <v>518</v>
      </c>
      <c r="C261" s="349">
        <v>6000</v>
      </c>
      <c r="D261" s="349">
        <v>0</v>
      </c>
      <c r="E261" s="349">
        <v>6000</v>
      </c>
    </row>
    <row r="263" spans="1:5" ht="15.75" customHeight="1" x14ac:dyDescent="0.2">
      <c r="A263" s="372" t="s">
        <v>561</v>
      </c>
      <c r="B263" s="374"/>
      <c r="C263" s="374"/>
      <c r="D263" s="374"/>
      <c r="E263" s="374"/>
    </row>
    <row r="264" spans="1:5" s="300" customFormat="1" ht="14.25" x14ac:dyDescent="0.2">
      <c r="B264" s="345" t="s">
        <v>515</v>
      </c>
      <c r="C264" s="346">
        <v>2600</v>
      </c>
      <c r="D264" s="346">
        <v>0</v>
      </c>
      <c r="E264" s="346">
        <v>2600</v>
      </c>
    </row>
    <row r="265" spans="1:5" ht="15" x14ac:dyDescent="0.2">
      <c r="B265" s="348" t="s">
        <v>518</v>
      </c>
      <c r="C265" s="349">
        <v>2600</v>
      </c>
      <c r="D265" s="349">
        <v>0</v>
      </c>
      <c r="E265" s="349">
        <v>2600</v>
      </c>
    </row>
    <row r="266" spans="1:5" ht="31.5" customHeight="1" x14ac:dyDescent="0.2"/>
    <row r="267" spans="1:5" ht="31.5" customHeight="1" x14ac:dyDescent="0.2">
      <c r="A267" s="380" t="s">
        <v>562</v>
      </c>
      <c r="B267" s="381"/>
      <c r="C267" s="381"/>
      <c r="D267" s="381"/>
      <c r="E267" s="381"/>
    </row>
    <row r="268" spans="1:5" ht="15" x14ac:dyDescent="0.2">
      <c r="A268" s="298"/>
      <c r="B268" s="350" t="s">
        <v>515</v>
      </c>
      <c r="C268" s="351">
        <v>293041</v>
      </c>
      <c r="D268" s="351">
        <v>0</v>
      </c>
      <c r="E268" s="351">
        <v>293041</v>
      </c>
    </row>
    <row r="269" spans="1:5" ht="15" x14ac:dyDescent="0.2">
      <c r="A269" s="298"/>
      <c r="B269" s="350" t="s">
        <v>516</v>
      </c>
      <c r="C269" s="351">
        <v>274470</v>
      </c>
      <c r="D269" s="351">
        <v>0</v>
      </c>
      <c r="E269" s="351">
        <v>274470</v>
      </c>
    </row>
    <row r="270" spans="1:5" ht="15" x14ac:dyDescent="0.2">
      <c r="A270" s="298"/>
      <c r="B270" s="350" t="s">
        <v>517</v>
      </c>
      <c r="C270" s="351">
        <v>14571</v>
      </c>
      <c r="D270" s="351">
        <v>0</v>
      </c>
      <c r="E270" s="351">
        <v>14571</v>
      </c>
    </row>
    <row r="271" spans="1:5" ht="15" x14ac:dyDescent="0.2">
      <c r="A271" s="298"/>
      <c r="B271" s="350" t="s">
        <v>519</v>
      </c>
      <c r="C271" s="351">
        <v>4000</v>
      </c>
      <c r="D271" s="351">
        <v>0</v>
      </c>
      <c r="E271" s="351">
        <v>4000</v>
      </c>
    </row>
    <row r="273" spans="1:5" ht="15.75" customHeight="1" x14ac:dyDescent="0.2">
      <c r="A273" s="372" t="s">
        <v>563</v>
      </c>
      <c r="B273" s="374"/>
      <c r="C273" s="374"/>
      <c r="D273" s="374"/>
      <c r="E273" s="374"/>
    </row>
    <row r="274" spans="1:5" s="300" customFormat="1" ht="14.25" x14ac:dyDescent="0.2">
      <c r="B274" s="345" t="s">
        <v>515</v>
      </c>
      <c r="C274" s="346">
        <v>293041</v>
      </c>
      <c r="D274" s="346">
        <v>0</v>
      </c>
      <c r="E274" s="346">
        <v>293041</v>
      </c>
    </row>
    <row r="275" spans="1:5" ht="15" x14ac:dyDescent="0.2">
      <c r="B275" s="348" t="s">
        <v>516</v>
      </c>
      <c r="C275" s="349">
        <v>274470</v>
      </c>
      <c r="D275" s="349">
        <v>0</v>
      </c>
      <c r="E275" s="349">
        <v>274470</v>
      </c>
    </row>
    <row r="276" spans="1:5" ht="15" x14ac:dyDescent="0.2">
      <c r="B276" s="348" t="s">
        <v>517</v>
      </c>
      <c r="C276" s="349">
        <v>14571</v>
      </c>
      <c r="D276" s="349">
        <v>0</v>
      </c>
      <c r="E276" s="349">
        <v>14571</v>
      </c>
    </row>
    <row r="277" spans="1:5" ht="15" x14ac:dyDescent="0.2">
      <c r="B277" s="348" t="s">
        <v>519</v>
      </c>
      <c r="C277" s="349">
        <v>4000</v>
      </c>
      <c r="D277" s="349">
        <v>0</v>
      </c>
      <c r="E277" s="349">
        <v>4000</v>
      </c>
    </row>
    <row r="278" spans="1:5" ht="32.25" customHeight="1" x14ac:dyDescent="0.2"/>
    <row r="279" spans="1:5" ht="21.75" customHeight="1" x14ac:dyDescent="0.2">
      <c r="A279" s="375" t="s">
        <v>564</v>
      </c>
      <c r="B279" s="379"/>
      <c r="C279" s="379"/>
      <c r="D279" s="379"/>
      <c r="E279" s="379"/>
    </row>
    <row r="280" spans="1:5" ht="15" x14ac:dyDescent="0.2">
      <c r="A280" s="299"/>
      <c r="B280" s="350" t="s">
        <v>515</v>
      </c>
      <c r="C280" s="351">
        <v>3250471</v>
      </c>
      <c r="D280" s="351">
        <v>0</v>
      </c>
      <c r="E280" s="351">
        <v>3250471</v>
      </c>
    </row>
    <row r="281" spans="1:5" ht="15" x14ac:dyDescent="0.2">
      <c r="A281" s="299"/>
      <c r="B281" s="350" t="s">
        <v>516</v>
      </c>
      <c r="C281" s="351">
        <v>2883092</v>
      </c>
      <c r="D281" s="351">
        <v>0</v>
      </c>
      <c r="E281" s="351">
        <v>2883092</v>
      </c>
    </row>
    <row r="282" spans="1:5" ht="15" x14ac:dyDescent="0.2">
      <c r="A282" s="299"/>
      <c r="B282" s="350" t="s">
        <v>517</v>
      </c>
      <c r="C282" s="351">
        <v>313879</v>
      </c>
      <c r="D282" s="351">
        <v>0</v>
      </c>
      <c r="E282" s="351">
        <v>313879</v>
      </c>
    </row>
    <row r="283" spans="1:5" ht="15" x14ac:dyDescent="0.2">
      <c r="A283" s="299"/>
      <c r="B283" s="350" t="s">
        <v>519</v>
      </c>
      <c r="C283" s="351">
        <v>53000</v>
      </c>
      <c r="D283" s="351">
        <v>0</v>
      </c>
      <c r="E283" s="351">
        <v>53000</v>
      </c>
    </row>
    <row r="284" spans="1:5" ht="15" x14ac:dyDescent="0.2">
      <c r="A284" s="299"/>
      <c r="B284" s="350" t="s">
        <v>571</v>
      </c>
      <c r="C284" s="351">
        <v>500</v>
      </c>
      <c r="D284" s="351">
        <v>0</v>
      </c>
      <c r="E284" s="351">
        <v>500</v>
      </c>
    </row>
    <row r="286" spans="1:5" ht="15.75" customHeight="1" x14ac:dyDescent="0.2">
      <c r="A286" s="372" t="s">
        <v>565</v>
      </c>
      <c r="B286" s="374"/>
      <c r="C286" s="374"/>
      <c r="D286" s="374"/>
      <c r="E286" s="374"/>
    </row>
    <row r="287" spans="1:5" ht="15" x14ac:dyDescent="0.2">
      <c r="B287" s="348" t="s">
        <v>515</v>
      </c>
      <c r="C287" s="349">
        <v>3250471</v>
      </c>
      <c r="D287" s="349">
        <v>0</v>
      </c>
      <c r="E287" s="349">
        <v>3250471</v>
      </c>
    </row>
    <row r="288" spans="1:5" ht="15" x14ac:dyDescent="0.2">
      <c r="B288" s="348" t="s">
        <v>516</v>
      </c>
      <c r="C288" s="349">
        <v>2883092</v>
      </c>
      <c r="D288" s="349">
        <v>0</v>
      </c>
      <c r="E288" s="349">
        <v>2883092</v>
      </c>
    </row>
    <row r="289" spans="1:5" ht="15" x14ac:dyDescent="0.2">
      <c r="B289" s="348" t="s">
        <v>517</v>
      </c>
      <c r="C289" s="349">
        <v>313879</v>
      </c>
      <c r="D289" s="349">
        <v>0</v>
      </c>
      <c r="E289" s="349">
        <v>313879</v>
      </c>
    </row>
    <row r="290" spans="1:5" ht="15" x14ac:dyDescent="0.2">
      <c r="B290" s="348" t="s">
        <v>519</v>
      </c>
      <c r="C290" s="349">
        <v>53000</v>
      </c>
      <c r="D290" s="349">
        <v>0</v>
      </c>
      <c r="E290" s="349">
        <v>53000</v>
      </c>
    </row>
    <row r="291" spans="1:5" ht="15" x14ac:dyDescent="0.2">
      <c r="B291" s="348" t="s">
        <v>571</v>
      </c>
      <c r="C291" s="349">
        <v>500</v>
      </c>
      <c r="D291" s="349">
        <v>0</v>
      </c>
      <c r="E291" s="349">
        <v>500</v>
      </c>
    </row>
    <row r="292" spans="1:5" ht="29.25" customHeight="1" x14ac:dyDescent="0.2"/>
    <row r="293" spans="1:5" ht="39" customHeight="1" x14ac:dyDescent="0.2">
      <c r="A293" s="380" t="s">
        <v>566</v>
      </c>
      <c r="B293" s="381"/>
      <c r="C293" s="381"/>
      <c r="D293" s="381"/>
      <c r="E293" s="381"/>
    </row>
    <row r="294" spans="1:5" ht="15" x14ac:dyDescent="0.2">
      <c r="A294" s="336"/>
      <c r="B294" s="350" t="s">
        <v>515</v>
      </c>
      <c r="C294" s="351">
        <v>424342</v>
      </c>
      <c r="D294" s="351">
        <v>-15001</v>
      </c>
      <c r="E294" s="351">
        <v>409341</v>
      </c>
    </row>
    <row r="295" spans="1:5" ht="15" x14ac:dyDescent="0.2">
      <c r="A295" s="336"/>
      <c r="B295" s="350" t="s">
        <v>516</v>
      </c>
      <c r="C295" s="351">
        <v>260099</v>
      </c>
      <c r="D295" s="351">
        <v>0</v>
      </c>
      <c r="E295" s="351">
        <v>260099</v>
      </c>
    </row>
    <row r="296" spans="1:5" ht="15" x14ac:dyDescent="0.2">
      <c r="A296" s="336"/>
      <c r="B296" s="350" t="s">
        <v>517</v>
      </c>
      <c r="C296" s="351">
        <v>128254</v>
      </c>
      <c r="D296" s="351">
        <v>-16501</v>
      </c>
      <c r="E296" s="351">
        <v>111753</v>
      </c>
    </row>
    <row r="297" spans="1:5" ht="15" x14ac:dyDescent="0.2">
      <c r="A297" s="336"/>
      <c r="B297" s="350" t="s">
        <v>519</v>
      </c>
      <c r="C297" s="351">
        <v>35989</v>
      </c>
      <c r="D297" s="351">
        <v>1500</v>
      </c>
      <c r="E297" s="351">
        <v>37489</v>
      </c>
    </row>
    <row r="299" spans="1:5" ht="15.75" customHeight="1" x14ac:dyDescent="0.2">
      <c r="A299" s="372" t="s">
        <v>567</v>
      </c>
      <c r="B299" s="374"/>
      <c r="C299" s="374"/>
      <c r="D299" s="374"/>
      <c r="E299" s="374"/>
    </row>
    <row r="300" spans="1:5" s="300" customFormat="1" ht="14.25" x14ac:dyDescent="0.2">
      <c r="B300" s="345" t="s">
        <v>515</v>
      </c>
      <c r="C300" s="346">
        <v>401760</v>
      </c>
      <c r="D300" s="346">
        <v>-15001</v>
      </c>
      <c r="E300" s="346">
        <v>386759</v>
      </c>
    </row>
    <row r="301" spans="1:5" ht="15" x14ac:dyDescent="0.2">
      <c r="B301" s="348" t="s">
        <v>516</v>
      </c>
      <c r="C301" s="349">
        <v>259921</v>
      </c>
      <c r="D301" s="349">
        <v>0</v>
      </c>
      <c r="E301" s="349">
        <v>259921</v>
      </c>
    </row>
    <row r="302" spans="1:5" ht="15" x14ac:dyDescent="0.2">
      <c r="B302" s="348" t="s">
        <v>517</v>
      </c>
      <c r="C302" s="349">
        <v>125851</v>
      </c>
      <c r="D302" s="349">
        <v>-16501</v>
      </c>
      <c r="E302" s="349">
        <v>109350</v>
      </c>
    </row>
    <row r="303" spans="1:5" ht="15" x14ac:dyDescent="0.2">
      <c r="B303" s="348" t="s">
        <v>519</v>
      </c>
      <c r="C303" s="349">
        <v>15988</v>
      </c>
      <c r="D303" s="349">
        <v>1500</v>
      </c>
      <c r="E303" s="349">
        <v>17488</v>
      </c>
    </row>
    <row r="305" spans="1:5" ht="31.5" customHeight="1" x14ac:dyDescent="0.2">
      <c r="A305" s="372" t="s">
        <v>768</v>
      </c>
      <c r="B305" s="374"/>
      <c r="C305" s="374"/>
      <c r="D305" s="374"/>
      <c r="E305" s="374"/>
    </row>
    <row r="306" spans="1:5" s="300" customFormat="1" ht="14.25" x14ac:dyDescent="0.2">
      <c r="B306" s="345" t="s">
        <v>515</v>
      </c>
      <c r="C306" s="346">
        <v>2581</v>
      </c>
      <c r="D306" s="346">
        <v>0</v>
      </c>
      <c r="E306" s="346">
        <v>2581</v>
      </c>
    </row>
    <row r="307" spans="1:5" ht="15" x14ac:dyDescent="0.2">
      <c r="B307" s="348" t="s">
        <v>516</v>
      </c>
      <c r="C307" s="349">
        <v>178</v>
      </c>
      <c r="D307" s="349">
        <v>0</v>
      </c>
      <c r="E307" s="349">
        <v>178</v>
      </c>
    </row>
    <row r="308" spans="1:5" ht="15" x14ac:dyDescent="0.2">
      <c r="B308" s="348" t="s">
        <v>517</v>
      </c>
      <c r="C308" s="349">
        <v>2403</v>
      </c>
      <c r="D308" s="349">
        <v>0</v>
      </c>
      <c r="E308" s="349">
        <v>2403</v>
      </c>
    </row>
    <row r="310" spans="1:5" ht="15.75" customHeight="1" x14ac:dyDescent="0.2">
      <c r="A310" s="372" t="s">
        <v>869</v>
      </c>
      <c r="B310" s="374"/>
      <c r="C310" s="374"/>
      <c r="D310" s="374"/>
      <c r="E310" s="374"/>
    </row>
    <row r="311" spans="1:5" s="300" customFormat="1" ht="14.25" x14ac:dyDescent="0.2">
      <c r="B311" s="345" t="s">
        <v>515</v>
      </c>
      <c r="C311" s="346">
        <v>20001</v>
      </c>
      <c r="D311" s="346">
        <v>0</v>
      </c>
      <c r="E311" s="346">
        <v>20001</v>
      </c>
    </row>
    <row r="312" spans="1:5" ht="15" x14ac:dyDescent="0.2">
      <c r="B312" s="348" t="s">
        <v>519</v>
      </c>
      <c r="C312" s="349">
        <v>20001</v>
      </c>
      <c r="D312" s="349">
        <v>0</v>
      </c>
      <c r="E312" s="349">
        <v>20001</v>
      </c>
    </row>
    <row r="314" spans="1:5" ht="31.5" customHeight="1" x14ac:dyDescent="0.2">
      <c r="A314" s="375" t="s">
        <v>568</v>
      </c>
      <c r="B314" s="376"/>
      <c r="C314" s="376"/>
      <c r="D314" s="376"/>
      <c r="E314" s="376"/>
    </row>
    <row r="315" spans="1:5" ht="15" x14ac:dyDescent="0.2">
      <c r="A315" s="336"/>
      <c r="B315" s="350" t="s">
        <v>515</v>
      </c>
      <c r="C315" s="351">
        <v>444409</v>
      </c>
      <c r="D315" s="351">
        <v>0</v>
      </c>
      <c r="E315" s="351">
        <v>444409</v>
      </c>
    </row>
    <row r="316" spans="1:5" ht="15" x14ac:dyDescent="0.2">
      <c r="A316" s="336"/>
      <c r="B316" s="350" t="s">
        <v>516</v>
      </c>
      <c r="C316" s="351">
        <v>274163</v>
      </c>
      <c r="D316" s="351">
        <v>0</v>
      </c>
      <c r="E316" s="351">
        <v>274163</v>
      </c>
    </row>
    <row r="317" spans="1:5" ht="15" x14ac:dyDescent="0.2">
      <c r="A317" s="336"/>
      <c r="B317" s="350" t="s">
        <v>517</v>
      </c>
      <c r="C317" s="351">
        <v>163246</v>
      </c>
      <c r="D317" s="351">
        <v>0</v>
      </c>
      <c r="E317" s="351">
        <v>163246</v>
      </c>
    </row>
    <row r="318" spans="1:5" ht="15" x14ac:dyDescent="0.2">
      <c r="A318" s="336"/>
      <c r="B318" s="350" t="s">
        <v>519</v>
      </c>
      <c r="C318" s="351">
        <v>7000</v>
      </c>
      <c r="D318" s="351">
        <v>0</v>
      </c>
      <c r="E318" s="351">
        <v>7000</v>
      </c>
    </row>
    <row r="320" spans="1:5" ht="15.75" customHeight="1" x14ac:dyDescent="0.2">
      <c r="A320" s="372" t="s">
        <v>569</v>
      </c>
      <c r="B320" s="374"/>
      <c r="C320" s="374"/>
      <c r="D320" s="374"/>
      <c r="E320" s="374"/>
    </row>
    <row r="321" spans="1:5" s="300" customFormat="1" ht="14.25" x14ac:dyDescent="0.2">
      <c r="B321" s="345" t="s">
        <v>515</v>
      </c>
      <c r="C321" s="346">
        <v>444409</v>
      </c>
      <c r="D321" s="346">
        <v>0</v>
      </c>
      <c r="E321" s="346">
        <v>444409</v>
      </c>
    </row>
    <row r="322" spans="1:5" ht="15" x14ac:dyDescent="0.2">
      <c r="B322" s="348" t="s">
        <v>516</v>
      </c>
      <c r="C322" s="349">
        <v>274163</v>
      </c>
      <c r="D322" s="349">
        <v>0</v>
      </c>
      <c r="E322" s="349">
        <v>274163</v>
      </c>
    </row>
    <row r="323" spans="1:5" ht="15" x14ac:dyDescent="0.2">
      <c r="B323" s="348" t="s">
        <v>517</v>
      </c>
      <c r="C323" s="349">
        <v>163246</v>
      </c>
      <c r="D323" s="349">
        <v>0</v>
      </c>
      <c r="E323" s="349">
        <v>163246</v>
      </c>
    </row>
    <row r="324" spans="1:5" ht="15" x14ac:dyDescent="0.2">
      <c r="B324" s="348" t="s">
        <v>519</v>
      </c>
      <c r="C324" s="349">
        <v>7000</v>
      </c>
      <c r="D324" s="349">
        <v>0</v>
      </c>
      <c r="E324" s="349">
        <v>7000</v>
      </c>
    </row>
    <row r="325" spans="1:5" ht="33" customHeight="1" x14ac:dyDescent="0.2"/>
    <row r="326" spans="1:5" ht="29.25" customHeight="1" x14ac:dyDescent="0.2">
      <c r="A326" s="375" t="s">
        <v>570</v>
      </c>
      <c r="B326" s="379"/>
      <c r="C326" s="379"/>
      <c r="D326" s="379"/>
      <c r="E326" s="379"/>
    </row>
    <row r="327" spans="1:5" ht="15" x14ac:dyDescent="0.2">
      <c r="A327" s="298"/>
      <c r="B327" s="350" t="s">
        <v>515</v>
      </c>
      <c r="C327" s="351">
        <v>11910035</v>
      </c>
      <c r="D327" s="351">
        <v>0</v>
      </c>
      <c r="E327" s="351">
        <v>11910035</v>
      </c>
    </row>
    <row r="328" spans="1:5" ht="15" x14ac:dyDescent="0.2">
      <c r="A328" s="298"/>
      <c r="B328" s="350" t="s">
        <v>516</v>
      </c>
      <c r="C328" s="351">
        <v>906716</v>
      </c>
      <c r="D328" s="351">
        <v>0</v>
      </c>
      <c r="E328" s="351">
        <v>906716</v>
      </c>
    </row>
    <row r="329" spans="1:5" ht="15" x14ac:dyDescent="0.2">
      <c r="A329" s="298"/>
      <c r="B329" s="350" t="s">
        <v>517</v>
      </c>
      <c r="C329" s="351">
        <v>4671464</v>
      </c>
      <c r="D329" s="351">
        <v>17495</v>
      </c>
      <c r="E329" s="351">
        <v>4688959</v>
      </c>
    </row>
    <row r="330" spans="1:5" ht="15" x14ac:dyDescent="0.2">
      <c r="A330" s="298"/>
      <c r="B330" s="350" t="s">
        <v>518</v>
      </c>
      <c r="C330" s="351">
        <v>100000</v>
      </c>
      <c r="D330" s="351">
        <v>0</v>
      </c>
      <c r="E330" s="351">
        <v>100000</v>
      </c>
    </row>
    <row r="331" spans="1:5" ht="15" x14ac:dyDescent="0.2">
      <c r="A331" s="298"/>
      <c r="B331" s="350" t="s">
        <v>519</v>
      </c>
      <c r="C331" s="351">
        <v>6203855</v>
      </c>
      <c r="D331" s="351">
        <v>-17495</v>
      </c>
      <c r="E331" s="351">
        <v>6186360</v>
      </c>
    </row>
    <row r="332" spans="1:5" ht="17.25" customHeight="1" x14ac:dyDescent="0.2">
      <c r="A332" s="298"/>
      <c r="B332" s="350" t="s">
        <v>571</v>
      </c>
      <c r="C332" s="351">
        <v>28000</v>
      </c>
      <c r="D332" s="351">
        <v>0</v>
      </c>
      <c r="E332" s="351">
        <v>28000</v>
      </c>
    </row>
    <row r="334" spans="1:5" ht="15.75" customHeight="1" x14ac:dyDescent="0.2">
      <c r="A334" s="372" t="s">
        <v>572</v>
      </c>
      <c r="B334" s="374"/>
      <c r="C334" s="374"/>
      <c r="D334" s="374"/>
      <c r="E334" s="374"/>
    </row>
    <row r="335" spans="1:5" s="300" customFormat="1" ht="14.25" x14ac:dyDescent="0.2">
      <c r="B335" s="345" t="s">
        <v>515</v>
      </c>
      <c r="C335" s="346">
        <v>4427291</v>
      </c>
      <c r="D335" s="346">
        <v>0</v>
      </c>
      <c r="E335" s="346">
        <v>4427291</v>
      </c>
    </row>
    <row r="336" spans="1:5" ht="15" x14ac:dyDescent="0.2">
      <c r="B336" s="348" t="s">
        <v>516</v>
      </c>
      <c r="C336" s="349">
        <v>66223</v>
      </c>
      <c r="D336" s="349">
        <v>0</v>
      </c>
      <c r="E336" s="349">
        <v>66223</v>
      </c>
    </row>
    <row r="337" spans="1:5" ht="15" x14ac:dyDescent="0.2">
      <c r="B337" s="348" t="s">
        <v>517</v>
      </c>
      <c r="C337" s="349">
        <v>1293274</v>
      </c>
      <c r="D337" s="349">
        <v>71803</v>
      </c>
      <c r="E337" s="349">
        <v>1365077</v>
      </c>
    </row>
    <row r="338" spans="1:5" ht="15" x14ac:dyDescent="0.2">
      <c r="B338" s="348" t="s">
        <v>519</v>
      </c>
      <c r="C338" s="349">
        <v>3067794</v>
      </c>
      <c r="D338" s="349">
        <v>-71803</v>
      </c>
      <c r="E338" s="349">
        <v>2995991</v>
      </c>
    </row>
    <row r="340" spans="1:5" ht="31.5" customHeight="1" x14ac:dyDescent="0.2">
      <c r="A340" s="372" t="s">
        <v>573</v>
      </c>
      <c r="B340" s="374"/>
      <c r="C340" s="374"/>
      <c r="D340" s="374"/>
      <c r="E340" s="374"/>
    </row>
    <row r="341" spans="1:5" s="300" customFormat="1" ht="14.25" x14ac:dyDescent="0.2">
      <c r="B341" s="345" t="s">
        <v>515</v>
      </c>
      <c r="C341" s="346">
        <v>1040402</v>
      </c>
      <c r="D341" s="346">
        <v>0</v>
      </c>
      <c r="E341" s="346">
        <v>1040402</v>
      </c>
    </row>
    <row r="342" spans="1:5" ht="15" x14ac:dyDescent="0.2">
      <c r="B342" s="348" t="s">
        <v>519</v>
      </c>
      <c r="C342" s="349">
        <v>1040402</v>
      </c>
      <c r="D342" s="349">
        <v>0</v>
      </c>
      <c r="E342" s="349">
        <v>1040402</v>
      </c>
    </row>
    <row r="344" spans="1:5" ht="15.75" customHeight="1" x14ac:dyDescent="0.2">
      <c r="A344" s="372" t="s">
        <v>574</v>
      </c>
      <c r="B344" s="374"/>
      <c r="C344" s="374"/>
      <c r="D344" s="374"/>
      <c r="E344" s="374"/>
    </row>
    <row r="345" spans="1:5" s="300" customFormat="1" ht="14.25" x14ac:dyDescent="0.2">
      <c r="B345" s="345" t="s">
        <v>515</v>
      </c>
      <c r="C345" s="346">
        <v>323343</v>
      </c>
      <c r="D345" s="346">
        <v>0</v>
      </c>
      <c r="E345" s="346">
        <v>323343</v>
      </c>
    </row>
    <row r="346" spans="1:5" ht="15" x14ac:dyDescent="0.2">
      <c r="B346" s="348" t="s">
        <v>519</v>
      </c>
      <c r="C346" s="349">
        <v>323343</v>
      </c>
      <c r="D346" s="349">
        <v>0</v>
      </c>
      <c r="E346" s="349">
        <v>323343</v>
      </c>
    </row>
    <row r="348" spans="1:5" ht="15.75" customHeight="1" x14ac:dyDescent="0.2">
      <c r="A348" s="372" t="s">
        <v>575</v>
      </c>
      <c r="B348" s="374"/>
      <c r="C348" s="374"/>
      <c r="D348" s="374"/>
      <c r="E348" s="374"/>
    </row>
    <row r="349" spans="1:5" s="300" customFormat="1" ht="14.25" x14ac:dyDescent="0.2">
      <c r="B349" s="345" t="s">
        <v>515</v>
      </c>
      <c r="C349" s="346">
        <v>1173757</v>
      </c>
      <c r="D349" s="346">
        <v>0</v>
      </c>
      <c r="E349" s="346">
        <v>1173757</v>
      </c>
    </row>
    <row r="350" spans="1:5" ht="15" x14ac:dyDescent="0.2">
      <c r="B350" s="348" t="s">
        <v>517</v>
      </c>
      <c r="C350" s="349">
        <v>1166769</v>
      </c>
      <c r="D350" s="349">
        <v>0</v>
      </c>
      <c r="E350" s="349">
        <v>1166769</v>
      </c>
    </row>
    <row r="351" spans="1:5" ht="15" x14ac:dyDescent="0.2">
      <c r="B351" s="348" t="s">
        <v>519</v>
      </c>
      <c r="C351" s="349">
        <v>6988</v>
      </c>
      <c r="D351" s="349">
        <v>0</v>
      </c>
      <c r="E351" s="349">
        <v>6988</v>
      </c>
    </row>
    <row r="353" spans="1:5" ht="15.75" customHeight="1" x14ac:dyDescent="0.2">
      <c r="A353" s="372" t="s">
        <v>576</v>
      </c>
      <c r="B353" s="374"/>
      <c r="C353" s="374"/>
      <c r="D353" s="374"/>
      <c r="E353" s="374"/>
    </row>
    <row r="354" spans="1:5" s="300" customFormat="1" ht="14.25" x14ac:dyDescent="0.2">
      <c r="B354" s="345" t="s">
        <v>515</v>
      </c>
      <c r="C354" s="346">
        <v>669475</v>
      </c>
      <c r="D354" s="346">
        <v>0</v>
      </c>
      <c r="E354" s="346">
        <v>669475</v>
      </c>
    </row>
    <row r="355" spans="1:5" ht="15" x14ac:dyDescent="0.2">
      <c r="B355" s="348" t="s">
        <v>517</v>
      </c>
      <c r="C355" s="349">
        <v>497874</v>
      </c>
      <c r="D355" s="349">
        <v>-22152</v>
      </c>
      <c r="E355" s="349">
        <v>475722</v>
      </c>
    </row>
    <row r="356" spans="1:5" ht="15" x14ac:dyDescent="0.2">
      <c r="B356" s="348" t="s">
        <v>519</v>
      </c>
      <c r="C356" s="349">
        <v>171601</v>
      </c>
      <c r="D356" s="349">
        <v>22152</v>
      </c>
      <c r="E356" s="349">
        <v>193753</v>
      </c>
    </row>
    <row r="358" spans="1:5" ht="15.75" customHeight="1" x14ac:dyDescent="0.2">
      <c r="A358" s="372" t="s">
        <v>577</v>
      </c>
      <c r="B358" s="374"/>
      <c r="C358" s="374"/>
      <c r="D358" s="374"/>
      <c r="E358" s="374"/>
    </row>
    <row r="359" spans="1:5" s="300" customFormat="1" ht="14.25" x14ac:dyDescent="0.2">
      <c r="B359" s="345" t="s">
        <v>515</v>
      </c>
      <c r="C359" s="346">
        <v>743413</v>
      </c>
      <c r="D359" s="346">
        <v>0</v>
      </c>
      <c r="E359" s="346">
        <v>743413</v>
      </c>
    </row>
    <row r="360" spans="1:5" ht="15" x14ac:dyDescent="0.2">
      <c r="B360" s="348" t="s">
        <v>517</v>
      </c>
      <c r="C360" s="349">
        <v>516977</v>
      </c>
      <c r="D360" s="349">
        <v>-796</v>
      </c>
      <c r="E360" s="349">
        <v>516181</v>
      </c>
    </row>
    <row r="361" spans="1:5" ht="15" x14ac:dyDescent="0.2">
      <c r="B361" s="348" t="s">
        <v>519</v>
      </c>
      <c r="C361" s="349">
        <v>226436</v>
      </c>
      <c r="D361" s="349">
        <v>796</v>
      </c>
      <c r="E361" s="349">
        <v>227232</v>
      </c>
    </row>
    <row r="363" spans="1:5" ht="31.5" customHeight="1" x14ac:dyDescent="0.2">
      <c r="A363" s="372" t="s">
        <v>578</v>
      </c>
      <c r="B363" s="374"/>
      <c r="C363" s="374"/>
      <c r="D363" s="374"/>
      <c r="E363" s="374"/>
    </row>
    <row r="364" spans="1:5" s="300" customFormat="1" ht="14.25" x14ac:dyDescent="0.2">
      <c r="B364" s="345" t="s">
        <v>515</v>
      </c>
      <c r="C364" s="346">
        <v>1168900</v>
      </c>
      <c r="D364" s="346">
        <v>0</v>
      </c>
      <c r="E364" s="346">
        <v>1168900</v>
      </c>
    </row>
    <row r="365" spans="1:5" ht="15" x14ac:dyDescent="0.2">
      <c r="B365" s="348" t="s">
        <v>519</v>
      </c>
      <c r="C365" s="349">
        <v>1168900</v>
      </c>
      <c r="D365" s="349">
        <v>0</v>
      </c>
      <c r="E365" s="349">
        <v>1168900</v>
      </c>
    </row>
    <row r="367" spans="1:5" ht="15.75" customHeight="1" x14ac:dyDescent="0.2">
      <c r="A367" s="372" t="s">
        <v>579</v>
      </c>
      <c r="B367" s="374"/>
      <c r="C367" s="374"/>
      <c r="D367" s="374"/>
      <c r="E367" s="374"/>
    </row>
    <row r="368" spans="1:5" s="300" customFormat="1" ht="14.25" x14ac:dyDescent="0.2">
      <c r="B368" s="345" t="s">
        <v>515</v>
      </c>
      <c r="C368" s="346">
        <v>998579</v>
      </c>
      <c r="D368" s="346">
        <v>0</v>
      </c>
      <c r="E368" s="346">
        <v>998579</v>
      </c>
    </row>
    <row r="369" spans="1:5" ht="15" x14ac:dyDescent="0.2">
      <c r="B369" s="348" t="s">
        <v>516</v>
      </c>
      <c r="C369" s="349">
        <v>838493</v>
      </c>
      <c r="D369" s="349">
        <v>0</v>
      </c>
      <c r="E369" s="349">
        <v>838493</v>
      </c>
    </row>
    <row r="370" spans="1:5" ht="15" x14ac:dyDescent="0.2">
      <c r="B370" s="348" t="s">
        <v>517</v>
      </c>
      <c r="C370" s="349">
        <v>96619</v>
      </c>
      <c r="D370" s="349">
        <v>5343</v>
      </c>
      <c r="E370" s="349">
        <v>101962</v>
      </c>
    </row>
    <row r="371" spans="1:5" ht="15" x14ac:dyDescent="0.2">
      <c r="B371" s="348" t="s">
        <v>519</v>
      </c>
      <c r="C371" s="349">
        <v>63467</v>
      </c>
      <c r="D371" s="349">
        <v>-5343</v>
      </c>
      <c r="E371" s="349">
        <v>58124</v>
      </c>
    </row>
    <row r="373" spans="1:5" ht="15.75" customHeight="1" x14ac:dyDescent="0.2">
      <c r="A373" s="372" t="s">
        <v>829</v>
      </c>
      <c r="B373" s="374"/>
      <c r="C373" s="374"/>
      <c r="D373" s="374"/>
      <c r="E373" s="374"/>
    </row>
    <row r="374" spans="1:5" s="300" customFormat="1" ht="14.25" x14ac:dyDescent="0.2">
      <c r="B374" s="345" t="s">
        <v>515</v>
      </c>
      <c r="C374" s="346">
        <v>1311875</v>
      </c>
      <c r="D374" s="346">
        <v>0</v>
      </c>
      <c r="E374" s="346">
        <v>1311875</v>
      </c>
    </row>
    <row r="375" spans="1:5" ht="15" x14ac:dyDescent="0.2">
      <c r="B375" s="348" t="s">
        <v>517</v>
      </c>
      <c r="C375" s="349">
        <v>1076951</v>
      </c>
      <c r="D375" s="349">
        <v>-36703</v>
      </c>
      <c r="E375" s="349">
        <v>1040248</v>
      </c>
    </row>
    <row r="376" spans="1:5" ht="15" x14ac:dyDescent="0.2">
      <c r="B376" s="348" t="s">
        <v>518</v>
      </c>
      <c r="C376" s="349">
        <v>100000</v>
      </c>
      <c r="D376" s="349">
        <v>0</v>
      </c>
      <c r="E376" s="349">
        <v>100000</v>
      </c>
    </row>
    <row r="377" spans="1:5" ht="15" x14ac:dyDescent="0.2">
      <c r="B377" s="348" t="s">
        <v>519</v>
      </c>
      <c r="C377" s="349">
        <v>134924</v>
      </c>
      <c r="D377" s="349">
        <v>36703</v>
      </c>
      <c r="E377" s="349">
        <v>171627</v>
      </c>
    </row>
    <row r="379" spans="1:5" ht="15.75" customHeight="1" x14ac:dyDescent="0.2">
      <c r="A379" s="372" t="s">
        <v>580</v>
      </c>
      <c r="B379" s="374"/>
      <c r="C379" s="374"/>
      <c r="D379" s="374"/>
      <c r="E379" s="374"/>
    </row>
    <row r="380" spans="1:5" s="300" customFormat="1" ht="14.25" x14ac:dyDescent="0.2">
      <c r="B380" s="345" t="s">
        <v>515</v>
      </c>
      <c r="C380" s="346">
        <v>53000</v>
      </c>
      <c r="D380" s="346">
        <v>0</v>
      </c>
      <c r="E380" s="346">
        <v>53000</v>
      </c>
    </row>
    <row r="381" spans="1:5" ht="15" x14ac:dyDescent="0.2">
      <c r="B381" s="348" t="s">
        <v>516</v>
      </c>
      <c r="C381" s="349">
        <v>2000</v>
      </c>
      <c r="D381" s="349">
        <v>0</v>
      </c>
      <c r="E381" s="349">
        <v>2000</v>
      </c>
    </row>
    <row r="382" spans="1:5" ht="15" x14ac:dyDescent="0.2">
      <c r="B382" s="348" t="s">
        <v>517</v>
      </c>
      <c r="C382" s="349">
        <v>23000</v>
      </c>
      <c r="D382" s="349">
        <v>0</v>
      </c>
      <c r="E382" s="349">
        <v>23000</v>
      </c>
    </row>
    <row r="383" spans="1:5" ht="15" x14ac:dyDescent="0.2">
      <c r="B383" s="348" t="s">
        <v>571</v>
      </c>
      <c r="C383" s="349">
        <v>28000</v>
      </c>
      <c r="D383" s="349">
        <v>0</v>
      </c>
      <c r="E383" s="349">
        <v>28000</v>
      </c>
    </row>
    <row r="384" spans="1:5" ht="24" customHeight="1" x14ac:dyDescent="0.2"/>
    <row r="385" spans="1:5" ht="28.5" customHeight="1" x14ac:dyDescent="0.2">
      <c r="A385" s="375" t="s">
        <v>581</v>
      </c>
      <c r="B385" s="376"/>
      <c r="C385" s="376"/>
      <c r="D385" s="376"/>
      <c r="E385" s="376"/>
    </row>
    <row r="386" spans="1:5" ht="15" x14ac:dyDescent="0.2">
      <c r="A386" s="336"/>
      <c r="B386" s="350" t="s">
        <v>515</v>
      </c>
      <c r="C386" s="351">
        <v>3643732</v>
      </c>
      <c r="D386" s="351">
        <v>0</v>
      </c>
      <c r="E386" s="351">
        <v>3643732</v>
      </c>
    </row>
    <row r="387" spans="1:5" ht="15" x14ac:dyDescent="0.2">
      <c r="A387" s="336"/>
      <c r="B387" s="350" t="s">
        <v>516</v>
      </c>
      <c r="C387" s="351">
        <v>1496219</v>
      </c>
      <c r="D387" s="351">
        <v>0</v>
      </c>
      <c r="E387" s="351">
        <v>1496219</v>
      </c>
    </row>
    <row r="388" spans="1:5" ht="15" x14ac:dyDescent="0.2">
      <c r="A388" s="336"/>
      <c r="B388" s="350" t="s">
        <v>517</v>
      </c>
      <c r="C388" s="351">
        <v>1490150</v>
      </c>
      <c r="D388" s="351">
        <v>0</v>
      </c>
      <c r="E388" s="351">
        <v>1490150</v>
      </c>
    </row>
    <row r="389" spans="1:5" ht="15" x14ac:dyDescent="0.2">
      <c r="A389" s="336"/>
      <c r="B389" s="350" t="s">
        <v>518</v>
      </c>
      <c r="C389" s="351">
        <v>564967</v>
      </c>
      <c r="D389" s="351">
        <v>0</v>
      </c>
      <c r="E389" s="351">
        <v>564967</v>
      </c>
    </row>
    <row r="390" spans="1:5" ht="15" x14ac:dyDescent="0.2">
      <c r="A390" s="336"/>
      <c r="B390" s="350" t="s">
        <v>519</v>
      </c>
      <c r="C390" s="351">
        <v>92396</v>
      </c>
      <c r="D390" s="351">
        <v>0</v>
      </c>
      <c r="E390" s="351">
        <v>92396</v>
      </c>
    </row>
    <row r="392" spans="1:5" ht="15.75" customHeight="1" x14ac:dyDescent="0.2">
      <c r="A392" s="372" t="s">
        <v>582</v>
      </c>
      <c r="B392" s="374"/>
      <c r="C392" s="374"/>
      <c r="D392" s="374"/>
      <c r="E392" s="374"/>
    </row>
    <row r="393" spans="1:5" s="300" customFormat="1" ht="14.25" x14ac:dyDescent="0.2">
      <c r="B393" s="345" t="s">
        <v>515</v>
      </c>
      <c r="C393" s="346">
        <v>644686</v>
      </c>
      <c r="D393" s="346">
        <v>0</v>
      </c>
      <c r="E393" s="346">
        <v>644686</v>
      </c>
    </row>
    <row r="394" spans="1:5" ht="15" x14ac:dyDescent="0.2">
      <c r="B394" s="348" t="s">
        <v>516</v>
      </c>
      <c r="C394" s="349">
        <v>322531</v>
      </c>
      <c r="D394" s="349">
        <v>0</v>
      </c>
      <c r="E394" s="349">
        <v>322531</v>
      </c>
    </row>
    <row r="395" spans="1:5" ht="15" x14ac:dyDescent="0.2">
      <c r="B395" s="348" t="s">
        <v>517</v>
      </c>
      <c r="C395" s="349">
        <v>232155</v>
      </c>
      <c r="D395" s="349">
        <v>0</v>
      </c>
      <c r="E395" s="349">
        <v>232155</v>
      </c>
    </row>
    <row r="396" spans="1:5" ht="15" x14ac:dyDescent="0.2">
      <c r="B396" s="348" t="s">
        <v>519</v>
      </c>
      <c r="C396" s="349">
        <v>90000</v>
      </c>
      <c r="D396" s="349">
        <v>0</v>
      </c>
      <c r="E396" s="349">
        <v>90000</v>
      </c>
    </row>
    <row r="398" spans="1:5" ht="15.75" customHeight="1" x14ac:dyDescent="0.2">
      <c r="A398" s="372" t="s">
        <v>583</v>
      </c>
      <c r="B398" s="374"/>
      <c r="C398" s="374"/>
      <c r="D398" s="374"/>
      <c r="E398" s="374"/>
    </row>
    <row r="399" spans="1:5" s="300" customFormat="1" ht="14.25" x14ac:dyDescent="0.2">
      <c r="B399" s="345" t="s">
        <v>515</v>
      </c>
      <c r="C399" s="346">
        <v>666290</v>
      </c>
      <c r="D399" s="346">
        <v>0</v>
      </c>
      <c r="E399" s="346">
        <v>666290</v>
      </c>
    </row>
    <row r="400" spans="1:5" ht="15" x14ac:dyDescent="0.2">
      <c r="B400" s="348" t="s">
        <v>516</v>
      </c>
      <c r="C400" s="349">
        <v>3487</v>
      </c>
      <c r="D400" s="349">
        <v>0</v>
      </c>
      <c r="E400" s="349">
        <v>3487</v>
      </c>
    </row>
    <row r="401" spans="1:5" ht="15" x14ac:dyDescent="0.2">
      <c r="B401" s="348" t="s">
        <v>517</v>
      </c>
      <c r="C401" s="349">
        <v>95440</v>
      </c>
      <c r="D401" s="349">
        <v>0</v>
      </c>
      <c r="E401" s="349">
        <v>95440</v>
      </c>
    </row>
    <row r="402" spans="1:5" ht="15" x14ac:dyDescent="0.2">
      <c r="B402" s="348" t="s">
        <v>518</v>
      </c>
      <c r="C402" s="349">
        <v>564967</v>
      </c>
      <c r="D402" s="349">
        <v>0</v>
      </c>
      <c r="E402" s="349">
        <v>564967</v>
      </c>
    </row>
    <row r="403" spans="1:5" ht="15" x14ac:dyDescent="0.2">
      <c r="B403" s="348" t="s">
        <v>519</v>
      </c>
      <c r="C403" s="349">
        <v>2396</v>
      </c>
      <c r="D403" s="349">
        <v>0</v>
      </c>
      <c r="E403" s="349">
        <v>2396</v>
      </c>
    </row>
    <row r="405" spans="1:5" ht="15.75" customHeight="1" x14ac:dyDescent="0.2">
      <c r="A405" s="372" t="s">
        <v>584</v>
      </c>
      <c r="B405" s="374"/>
      <c r="C405" s="374"/>
      <c r="D405" s="374"/>
      <c r="E405" s="374"/>
    </row>
    <row r="406" spans="1:5" s="300" customFormat="1" ht="14.25" x14ac:dyDescent="0.2">
      <c r="B406" s="345" t="s">
        <v>515</v>
      </c>
      <c r="C406" s="346">
        <v>2332756</v>
      </c>
      <c r="D406" s="346">
        <v>0</v>
      </c>
      <c r="E406" s="346">
        <v>2332756</v>
      </c>
    </row>
    <row r="407" spans="1:5" ht="15" x14ac:dyDescent="0.2">
      <c r="B407" s="348" t="s">
        <v>516</v>
      </c>
      <c r="C407" s="349">
        <v>1170201</v>
      </c>
      <c r="D407" s="349">
        <v>0</v>
      </c>
      <c r="E407" s="349">
        <v>1170201</v>
      </c>
    </row>
    <row r="408" spans="1:5" ht="15" x14ac:dyDescent="0.2">
      <c r="B408" s="348" t="s">
        <v>517</v>
      </c>
      <c r="C408" s="349">
        <v>1162555</v>
      </c>
      <c r="D408" s="349">
        <v>0</v>
      </c>
      <c r="E408" s="349">
        <v>1162555</v>
      </c>
    </row>
    <row r="409" spans="1:5" ht="15" x14ac:dyDescent="0.2">
      <c r="B409" s="348" t="s">
        <v>519</v>
      </c>
      <c r="C409" s="349">
        <v>0</v>
      </c>
      <c r="D409" s="349">
        <v>0</v>
      </c>
      <c r="E409" s="349">
        <v>0</v>
      </c>
    </row>
    <row r="410" spans="1:5" ht="19.5" customHeight="1" x14ac:dyDescent="0.2">
      <c r="B410" s="348"/>
      <c r="C410" s="349"/>
      <c r="D410" s="349"/>
      <c r="E410" s="349"/>
    </row>
    <row r="411" spans="1:5" ht="32.25" customHeight="1" x14ac:dyDescent="0.2">
      <c r="A411" s="375" t="s">
        <v>585</v>
      </c>
      <c r="B411" s="379"/>
      <c r="C411" s="379"/>
      <c r="D411" s="379"/>
      <c r="E411" s="379"/>
    </row>
    <row r="412" spans="1:5" ht="15" x14ac:dyDescent="0.2">
      <c r="A412" s="299"/>
      <c r="B412" s="350" t="s">
        <v>515</v>
      </c>
      <c r="C412" s="351">
        <v>912756</v>
      </c>
      <c r="D412" s="351">
        <v>0</v>
      </c>
      <c r="E412" s="351">
        <v>912756</v>
      </c>
    </row>
    <row r="413" spans="1:5" ht="15" x14ac:dyDescent="0.2">
      <c r="A413" s="299"/>
      <c r="B413" s="350" t="s">
        <v>516</v>
      </c>
      <c r="C413" s="351">
        <v>570275</v>
      </c>
      <c r="D413" s="351">
        <v>0</v>
      </c>
      <c r="E413" s="351">
        <v>570275</v>
      </c>
    </row>
    <row r="414" spans="1:5" ht="15" x14ac:dyDescent="0.2">
      <c r="A414" s="299"/>
      <c r="B414" s="350" t="s">
        <v>517</v>
      </c>
      <c r="C414" s="351">
        <v>145421</v>
      </c>
      <c r="D414" s="351">
        <v>0</v>
      </c>
      <c r="E414" s="351">
        <v>145421</v>
      </c>
    </row>
    <row r="415" spans="1:5" ht="15" x14ac:dyDescent="0.2">
      <c r="A415" s="299"/>
      <c r="B415" s="350" t="s">
        <v>519</v>
      </c>
      <c r="C415" s="351">
        <v>99431</v>
      </c>
      <c r="D415" s="351">
        <v>0</v>
      </c>
      <c r="E415" s="351">
        <v>99431</v>
      </c>
    </row>
    <row r="416" spans="1:5" ht="30" x14ac:dyDescent="0.2">
      <c r="A416" s="299"/>
      <c r="B416" s="350" t="s">
        <v>520</v>
      </c>
      <c r="C416" s="351">
        <v>97629</v>
      </c>
      <c r="D416" s="351">
        <v>0</v>
      </c>
      <c r="E416" s="351">
        <v>97629</v>
      </c>
    </row>
    <row r="418" spans="1:5" ht="15.75" customHeight="1" x14ac:dyDescent="0.2">
      <c r="A418" s="372" t="s">
        <v>586</v>
      </c>
      <c r="B418" s="374"/>
      <c r="C418" s="374"/>
      <c r="D418" s="374"/>
      <c r="E418" s="374"/>
    </row>
    <row r="419" spans="1:5" s="300" customFormat="1" ht="14.25" x14ac:dyDescent="0.2">
      <c r="B419" s="345" t="s">
        <v>515</v>
      </c>
      <c r="C419" s="346">
        <v>808374</v>
      </c>
      <c r="D419" s="346">
        <v>0</v>
      </c>
      <c r="E419" s="346">
        <v>808374</v>
      </c>
    </row>
    <row r="420" spans="1:5" ht="15" x14ac:dyDescent="0.2">
      <c r="B420" s="348" t="s">
        <v>516</v>
      </c>
      <c r="C420" s="349">
        <v>570275</v>
      </c>
      <c r="D420" s="349">
        <v>0</v>
      </c>
      <c r="E420" s="349">
        <v>570275</v>
      </c>
    </row>
    <row r="421" spans="1:5" ht="15" x14ac:dyDescent="0.2">
      <c r="B421" s="348" t="s">
        <v>517</v>
      </c>
      <c r="C421" s="349">
        <v>138668</v>
      </c>
      <c r="D421" s="349">
        <v>0</v>
      </c>
      <c r="E421" s="349">
        <v>138668</v>
      </c>
    </row>
    <row r="422" spans="1:5" ht="15" x14ac:dyDescent="0.2">
      <c r="B422" s="348" t="s">
        <v>519</v>
      </c>
      <c r="C422" s="349">
        <v>99431</v>
      </c>
      <c r="D422" s="349">
        <v>0</v>
      </c>
      <c r="E422" s="349">
        <v>99431</v>
      </c>
    </row>
    <row r="424" spans="1:5" ht="31.5" customHeight="1" x14ac:dyDescent="0.2">
      <c r="A424" s="372" t="s">
        <v>587</v>
      </c>
      <c r="B424" s="374"/>
      <c r="C424" s="374"/>
      <c r="D424" s="374"/>
      <c r="E424" s="374"/>
    </row>
    <row r="425" spans="1:5" s="300" customFormat="1" ht="14.25" x14ac:dyDescent="0.2">
      <c r="B425" s="345" t="s">
        <v>515</v>
      </c>
      <c r="C425" s="346">
        <v>100031</v>
      </c>
      <c r="D425" s="346">
        <v>0</v>
      </c>
      <c r="E425" s="346">
        <v>100031</v>
      </c>
    </row>
    <row r="426" spans="1:5" ht="15" x14ac:dyDescent="0.2">
      <c r="B426" s="348" t="s">
        <v>517</v>
      </c>
      <c r="C426" s="349">
        <v>2402</v>
      </c>
      <c r="D426" s="349">
        <v>0</v>
      </c>
      <c r="E426" s="349">
        <v>2402</v>
      </c>
    </row>
    <row r="427" spans="1:5" ht="30" x14ac:dyDescent="0.2">
      <c r="B427" s="348" t="s">
        <v>520</v>
      </c>
      <c r="C427" s="349">
        <v>97629</v>
      </c>
      <c r="D427" s="349">
        <v>0</v>
      </c>
      <c r="E427" s="349">
        <v>97629</v>
      </c>
    </row>
    <row r="429" spans="1:5" ht="31.5" customHeight="1" x14ac:dyDescent="0.2">
      <c r="A429" s="372" t="s">
        <v>870</v>
      </c>
      <c r="B429" s="374"/>
      <c r="C429" s="374"/>
      <c r="D429" s="374"/>
      <c r="E429" s="374"/>
    </row>
    <row r="430" spans="1:5" s="300" customFormat="1" ht="14.25" x14ac:dyDescent="0.2">
      <c r="B430" s="345" t="s">
        <v>515</v>
      </c>
      <c r="C430" s="346">
        <v>4351</v>
      </c>
      <c r="D430" s="346">
        <v>0</v>
      </c>
      <c r="E430" s="346">
        <v>4351</v>
      </c>
    </row>
    <row r="431" spans="1:5" ht="15" x14ac:dyDescent="0.2">
      <c r="B431" s="348" t="s">
        <v>517</v>
      </c>
      <c r="C431" s="349">
        <v>4351</v>
      </c>
      <c r="D431" s="349">
        <v>0</v>
      </c>
      <c r="E431" s="349">
        <v>4351</v>
      </c>
    </row>
    <row r="432" spans="1:5" ht="30" customHeight="1" x14ac:dyDescent="0.2"/>
    <row r="433" spans="1:5" ht="37.5" customHeight="1" x14ac:dyDescent="0.2">
      <c r="A433" s="375" t="s">
        <v>588</v>
      </c>
      <c r="B433" s="376"/>
      <c r="C433" s="376"/>
      <c r="D433" s="376"/>
      <c r="E433" s="376"/>
    </row>
    <row r="434" spans="1:5" ht="15" x14ac:dyDescent="0.2">
      <c r="A434" s="336"/>
      <c r="B434" s="350" t="s">
        <v>515</v>
      </c>
      <c r="C434" s="351">
        <v>602542</v>
      </c>
      <c r="D434" s="351">
        <v>0</v>
      </c>
      <c r="E434" s="351">
        <v>602542</v>
      </c>
    </row>
    <row r="435" spans="1:5" ht="15" x14ac:dyDescent="0.2">
      <c r="A435" s="336"/>
      <c r="B435" s="350" t="s">
        <v>516</v>
      </c>
      <c r="C435" s="351">
        <v>415678</v>
      </c>
      <c r="D435" s="351">
        <v>0</v>
      </c>
      <c r="E435" s="351">
        <v>415678</v>
      </c>
    </row>
    <row r="436" spans="1:5" ht="15" x14ac:dyDescent="0.2">
      <c r="A436" s="336"/>
      <c r="B436" s="350" t="s">
        <v>517</v>
      </c>
      <c r="C436" s="351">
        <v>109114</v>
      </c>
      <c r="D436" s="351">
        <v>0</v>
      </c>
      <c r="E436" s="351">
        <v>109114</v>
      </c>
    </row>
    <row r="437" spans="1:5" ht="15" x14ac:dyDescent="0.2">
      <c r="A437" s="336"/>
      <c r="B437" s="350" t="s">
        <v>519</v>
      </c>
      <c r="C437" s="351">
        <v>73896</v>
      </c>
      <c r="D437" s="351">
        <v>0</v>
      </c>
      <c r="E437" s="351">
        <v>73896</v>
      </c>
    </row>
    <row r="438" spans="1:5" ht="15" x14ac:dyDescent="0.2">
      <c r="A438" s="336"/>
      <c r="B438" s="350" t="s">
        <v>571</v>
      </c>
      <c r="C438" s="351">
        <v>3854</v>
      </c>
      <c r="D438" s="351">
        <v>0</v>
      </c>
      <c r="E438" s="351">
        <v>3854</v>
      </c>
    </row>
    <row r="440" spans="1:5" ht="15.75" customHeight="1" x14ac:dyDescent="0.2">
      <c r="A440" s="372" t="s">
        <v>589</v>
      </c>
      <c r="B440" s="374"/>
      <c r="C440" s="374"/>
      <c r="D440" s="374"/>
      <c r="E440" s="374"/>
    </row>
    <row r="441" spans="1:5" s="300" customFormat="1" ht="14.25" x14ac:dyDescent="0.2">
      <c r="B441" s="345" t="s">
        <v>515</v>
      </c>
      <c r="C441" s="346">
        <v>602542</v>
      </c>
      <c r="D441" s="346">
        <v>0</v>
      </c>
      <c r="E441" s="346">
        <v>602542</v>
      </c>
    </row>
    <row r="442" spans="1:5" ht="15" x14ac:dyDescent="0.2">
      <c r="B442" s="348" t="s">
        <v>516</v>
      </c>
      <c r="C442" s="349">
        <v>415678</v>
      </c>
      <c r="D442" s="349">
        <v>0</v>
      </c>
      <c r="E442" s="349">
        <v>415678</v>
      </c>
    </row>
    <row r="443" spans="1:5" ht="15" x14ac:dyDescent="0.2">
      <c r="B443" s="348" t="s">
        <v>517</v>
      </c>
      <c r="C443" s="349">
        <v>109114</v>
      </c>
      <c r="D443" s="349">
        <v>0</v>
      </c>
      <c r="E443" s="349">
        <v>109114</v>
      </c>
    </row>
    <row r="444" spans="1:5" ht="15" x14ac:dyDescent="0.2">
      <c r="B444" s="348" t="s">
        <v>519</v>
      </c>
      <c r="C444" s="349">
        <v>73896</v>
      </c>
      <c r="D444" s="349">
        <v>0</v>
      </c>
      <c r="E444" s="349">
        <v>73896</v>
      </c>
    </row>
    <row r="445" spans="1:5" ht="15" x14ac:dyDescent="0.2">
      <c r="B445" s="348" t="s">
        <v>571</v>
      </c>
      <c r="C445" s="349">
        <v>3854</v>
      </c>
      <c r="D445" s="349">
        <v>0</v>
      </c>
      <c r="E445" s="349">
        <v>3854</v>
      </c>
    </row>
    <row r="446" spans="1:5" ht="18.75" customHeight="1" x14ac:dyDescent="0.2"/>
    <row r="447" spans="1:5" ht="29.25" customHeight="1" x14ac:dyDescent="0.2">
      <c r="A447" s="375" t="s">
        <v>590</v>
      </c>
      <c r="B447" s="376"/>
      <c r="C447" s="376"/>
      <c r="D447" s="376"/>
      <c r="E447" s="376"/>
    </row>
    <row r="448" spans="1:5" ht="15" x14ac:dyDescent="0.2">
      <c r="A448" s="336"/>
      <c r="B448" s="350" t="s">
        <v>515</v>
      </c>
      <c r="C448" s="351">
        <v>3087656</v>
      </c>
      <c r="D448" s="351">
        <v>0</v>
      </c>
      <c r="E448" s="351">
        <v>3087656</v>
      </c>
    </row>
    <row r="449" spans="1:5" ht="15" x14ac:dyDescent="0.2">
      <c r="A449" s="336"/>
      <c r="B449" s="350" t="s">
        <v>516</v>
      </c>
      <c r="C449" s="351">
        <v>1640549</v>
      </c>
      <c r="D449" s="351">
        <v>0</v>
      </c>
      <c r="E449" s="351">
        <v>1640549</v>
      </c>
    </row>
    <row r="450" spans="1:5" ht="15" x14ac:dyDescent="0.2">
      <c r="A450" s="336"/>
      <c r="B450" s="350" t="s">
        <v>517</v>
      </c>
      <c r="C450" s="351">
        <v>1187664</v>
      </c>
      <c r="D450" s="351">
        <v>-1336</v>
      </c>
      <c r="E450" s="351">
        <v>1186328</v>
      </c>
    </row>
    <row r="451" spans="1:5" ht="15" x14ac:dyDescent="0.2">
      <c r="A451" s="336"/>
      <c r="B451" s="350" t="s">
        <v>518</v>
      </c>
      <c r="C451" s="351">
        <v>11950</v>
      </c>
      <c r="D451" s="351">
        <v>0</v>
      </c>
      <c r="E451" s="351">
        <v>11950</v>
      </c>
    </row>
    <row r="452" spans="1:5" ht="15" x14ac:dyDescent="0.2">
      <c r="A452" s="336"/>
      <c r="B452" s="350" t="s">
        <v>519</v>
      </c>
      <c r="C452" s="351">
        <v>210483</v>
      </c>
      <c r="D452" s="351">
        <v>1336</v>
      </c>
      <c r="E452" s="351">
        <v>211819</v>
      </c>
    </row>
    <row r="453" spans="1:5" ht="15" x14ac:dyDescent="0.2">
      <c r="A453" s="336"/>
      <c r="B453" s="350" t="s">
        <v>571</v>
      </c>
      <c r="C453" s="351">
        <v>27029</v>
      </c>
      <c r="D453" s="351">
        <v>0</v>
      </c>
      <c r="E453" s="351">
        <v>27029</v>
      </c>
    </row>
    <row r="454" spans="1:5" ht="30" x14ac:dyDescent="0.2">
      <c r="A454" s="336"/>
      <c r="B454" s="350" t="s">
        <v>520</v>
      </c>
      <c r="C454" s="351">
        <v>9981</v>
      </c>
      <c r="D454" s="351">
        <v>0</v>
      </c>
      <c r="E454" s="351">
        <v>9981</v>
      </c>
    </row>
    <row r="456" spans="1:5" ht="15.75" customHeight="1" x14ac:dyDescent="0.2">
      <c r="A456" s="372" t="s">
        <v>591</v>
      </c>
      <c r="B456" s="374"/>
      <c r="C456" s="374"/>
      <c r="D456" s="374"/>
      <c r="E456" s="374"/>
    </row>
    <row r="457" spans="1:5" s="300" customFormat="1" ht="14.25" x14ac:dyDescent="0.2">
      <c r="B457" s="345" t="s">
        <v>515</v>
      </c>
      <c r="C457" s="346">
        <v>1694317</v>
      </c>
      <c r="D457" s="346">
        <v>0</v>
      </c>
      <c r="E457" s="346">
        <v>1694317</v>
      </c>
    </row>
    <row r="458" spans="1:5" ht="15" x14ac:dyDescent="0.2">
      <c r="B458" s="348" t="s">
        <v>516</v>
      </c>
      <c r="C458" s="349">
        <v>971375</v>
      </c>
      <c r="D458" s="349">
        <v>0</v>
      </c>
      <c r="E458" s="349">
        <v>971375</v>
      </c>
    </row>
    <row r="459" spans="1:5" ht="15" x14ac:dyDescent="0.2">
      <c r="B459" s="348" t="s">
        <v>517</v>
      </c>
      <c r="C459" s="349">
        <v>533443</v>
      </c>
      <c r="D459" s="349">
        <v>0</v>
      </c>
      <c r="E459" s="349">
        <v>533443</v>
      </c>
    </row>
    <row r="460" spans="1:5" ht="15" x14ac:dyDescent="0.2">
      <c r="B460" s="348" t="s">
        <v>519</v>
      </c>
      <c r="C460" s="349">
        <v>189499</v>
      </c>
      <c r="D460" s="349">
        <v>0</v>
      </c>
      <c r="E460" s="349">
        <v>189499</v>
      </c>
    </row>
    <row r="462" spans="1:5" ht="15.75" customHeight="1" x14ac:dyDescent="0.2">
      <c r="A462" s="372" t="s">
        <v>592</v>
      </c>
      <c r="B462" s="374"/>
      <c r="C462" s="374"/>
      <c r="D462" s="374"/>
      <c r="E462" s="374"/>
    </row>
    <row r="463" spans="1:5" s="300" customFormat="1" ht="14.25" x14ac:dyDescent="0.2">
      <c r="B463" s="345" t="s">
        <v>515</v>
      </c>
      <c r="C463" s="346">
        <v>700097</v>
      </c>
      <c r="D463" s="346">
        <v>0</v>
      </c>
      <c r="E463" s="346">
        <v>700097</v>
      </c>
    </row>
    <row r="464" spans="1:5" ht="15" x14ac:dyDescent="0.2">
      <c r="B464" s="348" t="s">
        <v>516</v>
      </c>
      <c r="C464" s="349">
        <v>72911</v>
      </c>
      <c r="D464" s="349">
        <v>0</v>
      </c>
      <c r="E464" s="349">
        <v>72911</v>
      </c>
    </row>
    <row r="465" spans="1:5" ht="15" x14ac:dyDescent="0.2">
      <c r="B465" s="348" t="s">
        <v>517</v>
      </c>
      <c r="C465" s="349">
        <v>587157</v>
      </c>
      <c r="D465" s="349">
        <v>0</v>
      </c>
      <c r="E465" s="349">
        <v>587157</v>
      </c>
    </row>
    <row r="466" spans="1:5" ht="15" x14ac:dyDescent="0.2">
      <c r="B466" s="348" t="s">
        <v>519</v>
      </c>
      <c r="C466" s="349">
        <v>13000</v>
      </c>
      <c r="D466" s="349">
        <v>0</v>
      </c>
      <c r="E466" s="349">
        <v>13000</v>
      </c>
    </row>
    <row r="467" spans="1:5" ht="15" x14ac:dyDescent="0.2">
      <c r="B467" s="348" t="s">
        <v>571</v>
      </c>
      <c r="C467" s="349">
        <v>27029</v>
      </c>
      <c r="D467" s="349">
        <v>0</v>
      </c>
      <c r="E467" s="349">
        <v>27029</v>
      </c>
    </row>
    <row r="469" spans="1:5" ht="15.75" customHeight="1" x14ac:dyDescent="0.2">
      <c r="A469" s="372" t="s">
        <v>593</v>
      </c>
      <c r="B469" s="374"/>
      <c r="C469" s="374"/>
      <c r="D469" s="374"/>
      <c r="E469" s="374"/>
    </row>
    <row r="470" spans="1:5" s="300" customFormat="1" ht="14.25" x14ac:dyDescent="0.2">
      <c r="B470" s="345" t="s">
        <v>515</v>
      </c>
      <c r="C470" s="346">
        <v>98712</v>
      </c>
      <c r="D470" s="346">
        <v>0</v>
      </c>
      <c r="E470" s="346">
        <v>98712</v>
      </c>
    </row>
    <row r="471" spans="1:5" ht="15" x14ac:dyDescent="0.2">
      <c r="B471" s="348" t="s">
        <v>516</v>
      </c>
      <c r="C471" s="349">
        <v>96712</v>
      </c>
      <c r="D471" s="349">
        <v>0</v>
      </c>
      <c r="E471" s="349">
        <v>96712</v>
      </c>
    </row>
    <row r="472" spans="1:5" ht="15" x14ac:dyDescent="0.2">
      <c r="B472" s="348" t="s">
        <v>517</v>
      </c>
      <c r="C472" s="349">
        <v>2000</v>
      </c>
      <c r="D472" s="349">
        <v>0</v>
      </c>
      <c r="E472" s="349">
        <v>2000</v>
      </c>
    </row>
    <row r="474" spans="1:5" ht="15.75" customHeight="1" x14ac:dyDescent="0.2">
      <c r="A474" s="372" t="s">
        <v>594</v>
      </c>
      <c r="B474" s="374"/>
      <c r="C474" s="374"/>
      <c r="D474" s="374"/>
      <c r="E474" s="374"/>
    </row>
    <row r="475" spans="1:5" s="300" customFormat="1" ht="14.25" x14ac:dyDescent="0.2">
      <c r="B475" s="345" t="s">
        <v>515</v>
      </c>
      <c r="C475" s="346">
        <v>83253</v>
      </c>
      <c r="D475" s="346">
        <v>0</v>
      </c>
      <c r="E475" s="346">
        <v>83253</v>
      </c>
    </row>
    <row r="476" spans="1:5" ht="15" x14ac:dyDescent="0.2">
      <c r="B476" s="348" t="s">
        <v>516</v>
      </c>
      <c r="C476" s="349">
        <v>75398</v>
      </c>
      <c r="D476" s="349">
        <v>0</v>
      </c>
      <c r="E476" s="349">
        <v>75398</v>
      </c>
    </row>
    <row r="477" spans="1:5" ht="15" x14ac:dyDescent="0.2">
      <c r="B477" s="348" t="s">
        <v>517</v>
      </c>
      <c r="C477" s="349">
        <v>4720</v>
      </c>
      <c r="D477" s="349">
        <v>0</v>
      </c>
      <c r="E477" s="349">
        <v>4720</v>
      </c>
    </row>
    <row r="478" spans="1:5" ht="15" x14ac:dyDescent="0.2">
      <c r="B478" s="348" t="s">
        <v>519</v>
      </c>
      <c r="C478" s="349">
        <v>3135</v>
      </c>
      <c r="D478" s="349">
        <v>0</v>
      </c>
      <c r="E478" s="349">
        <v>3135</v>
      </c>
    </row>
    <row r="480" spans="1:5" ht="15.75" customHeight="1" x14ac:dyDescent="0.2">
      <c r="A480" s="372" t="s">
        <v>595</v>
      </c>
      <c r="B480" s="374"/>
      <c r="C480" s="374"/>
      <c r="D480" s="374"/>
      <c r="E480" s="374"/>
    </row>
    <row r="481" spans="1:5" s="300" customFormat="1" ht="14.25" x14ac:dyDescent="0.2">
      <c r="B481" s="345" t="s">
        <v>515</v>
      </c>
      <c r="C481" s="346">
        <v>21310</v>
      </c>
      <c r="D481" s="346">
        <v>0</v>
      </c>
      <c r="E481" s="346">
        <v>21310</v>
      </c>
    </row>
    <row r="482" spans="1:5" ht="15" x14ac:dyDescent="0.2">
      <c r="B482" s="348" t="s">
        <v>516</v>
      </c>
      <c r="C482" s="349">
        <v>15599</v>
      </c>
      <c r="D482" s="349">
        <v>0</v>
      </c>
      <c r="E482" s="349">
        <v>15599</v>
      </c>
    </row>
    <row r="483" spans="1:5" ht="15" x14ac:dyDescent="0.2">
      <c r="B483" s="348" t="s">
        <v>517</v>
      </c>
      <c r="C483" s="349">
        <v>5711</v>
      </c>
      <c r="D483" s="349">
        <v>0</v>
      </c>
      <c r="E483" s="349">
        <v>5711</v>
      </c>
    </row>
    <row r="485" spans="1:5" ht="15.75" customHeight="1" x14ac:dyDescent="0.2">
      <c r="A485" s="372" t="s">
        <v>596</v>
      </c>
      <c r="B485" s="374"/>
      <c r="C485" s="374"/>
      <c r="D485" s="374"/>
      <c r="E485" s="374"/>
    </row>
    <row r="486" spans="1:5" s="300" customFormat="1" ht="14.25" x14ac:dyDescent="0.2">
      <c r="B486" s="345" t="s">
        <v>515</v>
      </c>
      <c r="C486" s="346">
        <v>458706</v>
      </c>
      <c r="D486" s="346">
        <v>0</v>
      </c>
      <c r="E486" s="346">
        <v>458706</v>
      </c>
    </row>
    <row r="487" spans="1:5" ht="15" x14ac:dyDescent="0.2">
      <c r="B487" s="348" t="s">
        <v>516</v>
      </c>
      <c r="C487" s="349">
        <v>402044</v>
      </c>
      <c r="D487" s="349">
        <v>0</v>
      </c>
      <c r="E487" s="349">
        <v>402044</v>
      </c>
    </row>
    <row r="488" spans="1:5" ht="15" x14ac:dyDescent="0.2">
      <c r="B488" s="348" t="s">
        <v>517</v>
      </c>
      <c r="C488" s="349">
        <v>44982</v>
      </c>
      <c r="D488" s="349">
        <v>-1336</v>
      </c>
      <c r="E488" s="349">
        <v>43646</v>
      </c>
    </row>
    <row r="489" spans="1:5" ht="15" x14ac:dyDescent="0.2">
      <c r="B489" s="348" t="s">
        <v>519</v>
      </c>
      <c r="C489" s="349">
        <v>3849</v>
      </c>
      <c r="D489" s="349">
        <v>1336</v>
      </c>
      <c r="E489" s="349">
        <v>5185</v>
      </c>
    </row>
    <row r="490" spans="1:5" ht="30" x14ac:dyDescent="0.2">
      <c r="B490" s="348" t="s">
        <v>520</v>
      </c>
      <c r="C490" s="349">
        <v>7831</v>
      </c>
      <c r="D490" s="349">
        <v>0</v>
      </c>
      <c r="E490" s="349">
        <v>7831</v>
      </c>
    </row>
    <row r="492" spans="1:5" ht="15.75" customHeight="1" x14ac:dyDescent="0.2">
      <c r="A492" s="372" t="s">
        <v>597</v>
      </c>
      <c r="B492" s="374"/>
      <c r="C492" s="374"/>
      <c r="D492" s="374"/>
      <c r="E492" s="374"/>
    </row>
    <row r="493" spans="1:5" s="300" customFormat="1" ht="14.25" x14ac:dyDescent="0.2">
      <c r="B493" s="345" t="s">
        <v>515</v>
      </c>
      <c r="C493" s="346">
        <v>31261</v>
      </c>
      <c r="D493" s="346">
        <v>0</v>
      </c>
      <c r="E493" s="346">
        <v>31261</v>
      </c>
    </row>
    <row r="494" spans="1:5" ht="15" x14ac:dyDescent="0.2">
      <c r="B494" s="348" t="s">
        <v>516</v>
      </c>
      <c r="C494" s="349">
        <v>6510</v>
      </c>
      <c r="D494" s="349">
        <v>0</v>
      </c>
      <c r="E494" s="349">
        <v>6510</v>
      </c>
    </row>
    <row r="495" spans="1:5" ht="15" x14ac:dyDescent="0.2">
      <c r="B495" s="348" t="s">
        <v>517</v>
      </c>
      <c r="C495" s="349">
        <v>9651</v>
      </c>
      <c r="D495" s="349">
        <v>0</v>
      </c>
      <c r="E495" s="349">
        <v>9651</v>
      </c>
    </row>
    <row r="496" spans="1:5" ht="15" x14ac:dyDescent="0.2">
      <c r="B496" s="348" t="s">
        <v>518</v>
      </c>
      <c r="C496" s="349">
        <v>11950</v>
      </c>
      <c r="D496" s="349">
        <v>0</v>
      </c>
      <c r="E496" s="349">
        <v>11950</v>
      </c>
    </row>
    <row r="497" spans="1:5" ht="15" x14ac:dyDescent="0.2">
      <c r="B497" s="348" t="s">
        <v>519</v>
      </c>
      <c r="C497" s="349">
        <v>1000</v>
      </c>
      <c r="D497" s="349">
        <v>0</v>
      </c>
      <c r="E497" s="349">
        <v>1000</v>
      </c>
    </row>
    <row r="498" spans="1:5" ht="30" x14ac:dyDescent="0.2">
      <c r="B498" s="348" t="s">
        <v>520</v>
      </c>
      <c r="C498" s="349">
        <v>2150</v>
      </c>
      <c r="D498" s="349">
        <v>0</v>
      </c>
      <c r="E498" s="349">
        <v>2150</v>
      </c>
    </row>
    <row r="499" spans="1:5" ht="30.75" customHeight="1" x14ac:dyDescent="0.2"/>
    <row r="500" spans="1:5" ht="31.5" customHeight="1" x14ac:dyDescent="0.2">
      <c r="A500" s="377" t="s">
        <v>830</v>
      </c>
      <c r="B500" s="378"/>
      <c r="C500" s="378"/>
      <c r="D500" s="378"/>
      <c r="E500" s="378"/>
    </row>
    <row r="501" spans="1:5" ht="15" x14ac:dyDescent="0.2">
      <c r="A501" s="352"/>
      <c r="B501" s="353" t="s">
        <v>515</v>
      </c>
      <c r="C501" s="354">
        <v>1375408</v>
      </c>
      <c r="D501" s="354">
        <v>0</v>
      </c>
      <c r="E501" s="354">
        <v>1375408</v>
      </c>
    </row>
    <row r="502" spans="1:5" ht="15" x14ac:dyDescent="0.2">
      <c r="A502" s="352"/>
      <c r="B502" s="353" t="s">
        <v>516</v>
      </c>
      <c r="C502" s="354">
        <v>763530</v>
      </c>
      <c r="D502" s="354">
        <v>0</v>
      </c>
      <c r="E502" s="354">
        <v>763530</v>
      </c>
    </row>
    <row r="503" spans="1:5" ht="15" x14ac:dyDescent="0.2">
      <c r="A503" s="352"/>
      <c r="B503" s="353" t="s">
        <v>517</v>
      </c>
      <c r="C503" s="354">
        <v>520999</v>
      </c>
      <c r="D503" s="354">
        <v>-5459</v>
      </c>
      <c r="E503" s="354">
        <v>515540</v>
      </c>
    </row>
    <row r="504" spans="1:5" ht="15" x14ac:dyDescent="0.2">
      <c r="A504" s="352"/>
      <c r="B504" s="353" t="s">
        <v>519</v>
      </c>
      <c r="C504" s="354">
        <v>25627</v>
      </c>
      <c r="D504" s="354">
        <v>0</v>
      </c>
      <c r="E504" s="354">
        <v>25627</v>
      </c>
    </row>
    <row r="505" spans="1:5" ht="15" x14ac:dyDescent="0.2">
      <c r="A505" s="352"/>
      <c r="B505" s="353" t="s">
        <v>571</v>
      </c>
      <c r="C505" s="354">
        <v>22681</v>
      </c>
      <c r="D505" s="354">
        <v>5459</v>
      </c>
      <c r="E505" s="354">
        <v>28140</v>
      </c>
    </row>
    <row r="506" spans="1:5" ht="30" x14ac:dyDescent="0.2">
      <c r="A506" s="352"/>
      <c r="B506" s="353" t="s">
        <v>520</v>
      </c>
      <c r="C506" s="354">
        <v>42571</v>
      </c>
      <c r="D506" s="354">
        <v>0</v>
      </c>
      <c r="E506" s="354">
        <v>42571</v>
      </c>
    </row>
    <row r="508" spans="1:5" ht="15.75" customHeight="1" x14ac:dyDescent="0.2">
      <c r="A508" s="372" t="s">
        <v>598</v>
      </c>
      <c r="B508" s="374"/>
      <c r="C508" s="374"/>
      <c r="D508" s="374"/>
      <c r="E508" s="374"/>
    </row>
    <row r="509" spans="1:5" s="300" customFormat="1" ht="14.25" x14ac:dyDescent="0.2">
      <c r="B509" s="345" t="s">
        <v>515</v>
      </c>
      <c r="C509" s="346">
        <v>1143057</v>
      </c>
      <c r="D509" s="346">
        <v>0</v>
      </c>
      <c r="E509" s="346">
        <v>1143057</v>
      </c>
    </row>
    <row r="510" spans="1:5" ht="15" x14ac:dyDescent="0.2">
      <c r="B510" s="348" t="s">
        <v>516</v>
      </c>
      <c r="C510" s="349">
        <v>718241</v>
      </c>
      <c r="D510" s="349">
        <v>0</v>
      </c>
      <c r="E510" s="349">
        <v>718241</v>
      </c>
    </row>
    <row r="511" spans="1:5" ht="15" x14ac:dyDescent="0.2">
      <c r="B511" s="348" t="s">
        <v>517</v>
      </c>
      <c r="C511" s="349">
        <v>401954</v>
      </c>
      <c r="D511" s="349">
        <v>-2300</v>
      </c>
      <c r="E511" s="349">
        <v>399654</v>
      </c>
    </row>
    <row r="512" spans="1:5" ht="15" x14ac:dyDescent="0.2">
      <c r="B512" s="348" t="s">
        <v>519</v>
      </c>
      <c r="C512" s="349">
        <v>17462</v>
      </c>
      <c r="D512" s="349">
        <v>0</v>
      </c>
      <c r="E512" s="349">
        <v>17462</v>
      </c>
    </row>
    <row r="513" spans="1:5" ht="15" x14ac:dyDescent="0.2">
      <c r="B513" s="348" t="s">
        <v>571</v>
      </c>
      <c r="C513" s="349">
        <v>5400</v>
      </c>
      <c r="D513" s="349">
        <v>2300</v>
      </c>
      <c r="E513" s="349">
        <v>7700</v>
      </c>
    </row>
    <row r="515" spans="1:5" ht="15.75" customHeight="1" x14ac:dyDescent="0.2">
      <c r="A515" s="372" t="s">
        <v>599</v>
      </c>
      <c r="B515" s="374"/>
      <c r="C515" s="374"/>
      <c r="D515" s="374"/>
      <c r="E515" s="374"/>
    </row>
    <row r="516" spans="1:5" s="300" customFormat="1" ht="14.25" x14ac:dyDescent="0.2">
      <c r="B516" s="345" t="s">
        <v>515</v>
      </c>
      <c r="C516" s="346">
        <v>232351</v>
      </c>
      <c r="D516" s="346">
        <v>0</v>
      </c>
      <c r="E516" s="346">
        <v>232351</v>
      </c>
    </row>
    <row r="517" spans="1:5" ht="15" x14ac:dyDescent="0.2">
      <c r="B517" s="348" t="s">
        <v>516</v>
      </c>
      <c r="C517" s="349">
        <v>45289</v>
      </c>
      <c r="D517" s="349">
        <v>0</v>
      </c>
      <c r="E517" s="349">
        <v>45289</v>
      </c>
    </row>
    <row r="518" spans="1:5" ht="15" x14ac:dyDescent="0.2">
      <c r="B518" s="348" t="s">
        <v>517</v>
      </c>
      <c r="C518" s="349">
        <v>119045</v>
      </c>
      <c r="D518" s="349">
        <v>-3159</v>
      </c>
      <c r="E518" s="349">
        <v>115886</v>
      </c>
    </row>
    <row r="519" spans="1:5" ht="15" x14ac:dyDescent="0.2">
      <c r="B519" s="348" t="s">
        <v>519</v>
      </c>
      <c r="C519" s="349">
        <v>8165</v>
      </c>
      <c r="D519" s="349">
        <v>0</v>
      </c>
      <c r="E519" s="349">
        <v>8165</v>
      </c>
    </row>
    <row r="520" spans="1:5" ht="15" x14ac:dyDescent="0.2">
      <c r="B520" s="348" t="s">
        <v>571</v>
      </c>
      <c r="C520" s="349">
        <v>17281</v>
      </c>
      <c r="D520" s="349">
        <v>3159</v>
      </c>
      <c r="E520" s="349">
        <v>20440</v>
      </c>
    </row>
    <row r="521" spans="1:5" ht="30" x14ac:dyDescent="0.2">
      <c r="B521" s="348" t="s">
        <v>520</v>
      </c>
      <c r="C521" s="349">
        <v>42571</v>
      </c>
      <c r="D521" s="349">
        <v>0</v>
      </c>
      <c r="E521" s="349">
        <v>42571</v>
      </c>
    </row>
    <row r="522" spans="1:5" ht="27" customHeight="1" x14ac:dyDescent="0.2"/>
    <row r="523" spans="1:5" ht="25.5" customHeight="1" x14ac:dyDescent="0.2">
      <c r="A523" s="375" t="s">
        <v>831</v>
      </c>
      <c r="B523" s="376"/>
      <c r="C523" s="376"/>
      <c r="D523" s="376"/>
      <c r="E523" s="376"/>
    </row>
    <row r="524" spans="1:5" ht="15" x14ac:dyDescent="0.2">
      <c r="A524" s="298"/>
      <c r="B524" s="350" t="s">
        <v>515</v>
      </c>
      <c r="C524" s="351">
        <v>32643343</v>
      </c>
      <c r="D524" s="351">
        <v>28432</v>
      </c>
      <c r="E524" s="351">
        <v>32671775</v>
      </c>
    </row>
    <row r="525" spans="1:5" ht="15" x14ac:dyDescent="0.2">
      <c r="A525" s="298"/>
      <c r="B525" s="350" t="s">
        <v>516</v>
      </c>
      <c r="C525" s="351">
        <v>21253171</v>
      </c>
      <c r="D525" s="351">
        <v>28528</v>
      </c>
      <c r="E525" s="351">
        <v>21281699</v>
      </c>
    </row>
    <row r="526" spans="1:5" ht="15" x14ac:dyDescent="0.2">
      <c r="A526" s="298"/>
      <c r="B526" s="350" t="s">
        <v>517</v>
      </c>
      <c r="C526" s="351">
        <v>5219849</v>
      </c>
      <c r="D526" s="351">
        <v>-4555</v>
      </c>
      <c r="E526" s="351">
        <v>5215294</v>
      </c>
    </row>
    <row r="527" spans="1:5" ht="15" x14ac:dyDescent="0.2">
      <c r="A527" s="298"/>
      <c r="B527" s="350" t="s">
        <v>518</v>
      </c>
      <c r="C527" s="351">
        <v>2814845</v>
      </c>
      <c r="D527" s="351">
        <v>0</v>
      </c>
      <c r="E527" s="351">
        <v>2814845</v>
      </c>
    </row>
    <row r="528" spans="1:5" ht="15" x14ac:dyDescent="0.2">
      <c r="A528" s="298"/>
      <c r="B528" s="350" t="s">
        <v>519</v>
      </c>
      <c r="C528" s="351">
        <v>1698862</v>
      </c>
      <c r="D528" s="351">
        <v>4394</v>
      </c>
      <c r="E528" s="351">
        <v>1703256</v>
      </c>
    </row>
    <row r="529" spans="1:5" ht="15" x14ac:dyDescent="0.2">
      <c r="A529" s="298"/>
      <c r="B529" s="350" t="s">
        <v>571</v>
      </c>
      <c r="C529" s="351">
        <v>665406</v>
      </c>
      <c r="D529" s="351">
        <v>0</v>
      </c>
      <c r="E529" s="351">
        <v>665406</v>
      </c>
    </row>
    <row r="530" spans="1:5" ht="30" x14ac:dyDescent="0.2">
      <c r="A530" s="298"/>
      <c r="B530" s="350" t="s">
        <v>520</v>
      </c>
      <c r="C530" s="351">
        <v>991210</v>
      </c>
      <c r="D530" s="351">
        <v>0</v>
      </c>
      <c r="E530" s="351">
        <v>991210</v>
      </c>
    </row>
    <row r="531" spans="1:5" ht="30" x14ac:dyDescent="0.2">
      <c r="A531" s="298"/>
      <c r="B531" s="350" t="s">
        <v>876</v>
      </c>
      <c r="C531" s="351">
        <v>0</v>
      </c>
      <c r="D531" s="351">
        <v>65</v>
      </c>
      <c r="E531" s="351">
        <v>65</v>
      </c>
    </row>
    <row r="533" spans="1:5" ht="15.75" customHeight="1" x14ac:dyDescent="0.2">
      <c r="A533" s="372" t="s">
        <v>600</v>
      </c>
      <c r="B533" s="374"/>
      <c r="C533" s="374"/>
      <c r="D533" s="374"/>
      <c r="E533" s="374"/>
    </row>
    <row r="534" spans="1:5" s="300" customFormat="1" ht="14.25" x14ac:dyDescent="0.2">
      <c r="B534" s="345" t="s">
        <v>515</v>
      </c>
      <c r="C534" s="346">
        <v>990440</v>
      </c>
      <c r="D534" s="346">
        <v>0</v>
      </c>
      <c r="E534" s="346">
        <v>990440</v>
      </c>
    </row>
    <row r="535" spans="1:5" ht="15" x14ac:dyDescent="0.2">
      <c r="B535" s="348" t="s">
        <v>517</v>
      </c>
      <c r="C535" s="349">
        <v>100</v>
      </c>
      <c r="D535" s="349">
        <v>0</v>
      </c>
      <c r="E535" s="349">
        <v>100</v>
      </c>
    </row>
    <row r="536" spans="1:5" ht="30" x14ac:dyDescent="0.2">
      <c r="B536" s="348" t="s">
        <v>520</v>
      </c>
      <c r="C536" s="349">
        <v>990340</v>
      </c>
      <c r="D536" s="349">
        <v>0</v>
      </c>
      <c r="E536" s="349">
        <v>990340</v>
      </c>
    </row>
    <row r="538" spans="1:5" ht="15.75" customHeight="1" x14ac:dyDescent="0.2">
      <c r="A538" s="372" t="s">
        <v>601</v>
      </c>
      <c r="B538" s="374"/>
      <c r="C538" s="374"/>
      <c r="D538" s="374"/>
      <c r="E538" s="374"/>
    </row>
    <row r="539" spans="1:5" s="300" customFormat="1" ht="14.25" x14ac:dyDescent="0.2">
      <c r="B539" s="345" t="s">
        <v>515</v>
      </c>
      <c r="C539" s="346">
        <v>9434452</v>
      </c>
      <c r="D539" s="346">
        <v>0</v>
      </c>
      <c r="E539" s="346">
        <v>9434452</v>
      </c>
    </row>
    <row r="540" spans="1:5" ht="15" x14ac:dyDescent="0.2">
      <c r="B540" s="348" t="s">
        <v>516</v>
      </c>
      <c r="C540" s="349">
        <v>5026469</v>
      </c>
      <c r="D540" s="349">
        <v>96</v>
      </c>
      <c r="E540" s="349">
        <v>5026565</v>
      </c>
    </row>
    <row r="541" spans="1:5" ht="15" x14ac:dyDescent="0.2">
      <c r="B541" s="348" t="s">
        <v>517</v>
      </c>
      <c r="C541" s="349">
        <v>976008</v>
      </c>
      <c r="D541" s="349">
        <v>-908</v>
      </c>
      <c r="E541" s="349">
        <v>975100</v>
      </c>
    </row>
    <row r="542" spans="1:5" ht="15" x14ac:dyDescent="0.2">
      <c r="B542" s="348" t="s">
        <v>518</v>
      </c>
      <c r="C542" s="349">
        <v>2540734</v>
      </c>
      <c r="D542" s="349">
        <v>0</v>
      </c>
      <c r="E542" s="349">
        <v>2540734</v>
      </c>
    </row>
    <row r="543" spans="1:5" ht="15" x14ac:dyDescent="0.2">
      <c r="B543" s="348" t="s">
        <v>519</v>
      </c>
      <c r="C543" s="349">
        <v>891241</v>
      </c>
      <c r="D543" s="349">
        <v>812</v>
      </c>
      <c r="E543" s="349">
        <v>892053</v>
      </c>
    </row>
    <row r="545" spans="1:5" ht="15.75" customHeight="1" x14ac:dyDescent="0.2">
      <c r="A545" s="372" t="s">
        <v>602</v>
      </c>
      <c r="B545" s="374"/>
      <c r="C545" s="374"/>
      <c r="D545" s="374"/>
      <c r="E545" s="374"/>
    </row>
    <row r="546" spans="1:5" s="300" customFormat="1" ht="14.25" x14ac:dyDescent="0.2">
      <c r="B546" s="345" t="s">
        <v>515</v>
      </c>
      <c r="C546" s="346">
        <v>14238738</v>
      </c>
      <c r="D546" s="346">
        <v>23462</v>
      </c>
      <c r="E546" s="346">
        <v>14262200</v>
      </c>
    </row>
    <row r="547" spans="1:5" ht="15" x14ac:dyDescent="0.2">
      <c r="B547" s="348" t="s">
        <v>516</v>
      </c>
      <c r="C547" s="349">
        <v>10853238</v>
      </c>
      <c r="D547" s="349">
        <v>23462</v>
      </c>
      <c r="E547" s="349">
        <v>10876700</v>
      </c>
    </row>
    <row r="548" spans="1:5" ht="15" x14ac:dyDescent="0.2">
      <c r="B548" s="348" t="s">
        <v>517</v>
      </c>
      <c r="C548" s="349">
        <v>2401125</v>
      </c>
      <c r="D548" s="349">
        <v>-865</v>
      </c>
      <c r="E548" s="349">
        <v>2400260</v>
      </c>
    </row>
    <row r="549" spans="1:5" ht="15" x14ac:dyDescent="0.2">
      <c r="B549" s="348" t="s">
        <v>518</v>
      </c>
      <c r="C549" s="349">
        <v>256047</v>
      </c>
      <c r="D549" s="349">
        <v>0</v>
      </c>
      <c r="E549" s="349">
        <v>256047</v>
      </c>
    </row>
    <row r="550" spans="1:5" ht="15" x14ac:dyDescent="0.2">
      <c r="B550" s="348" t="s">
        <v>519</v>
      </c>
      <c r="C550" s="349">
        <v>688428</v>
      </c>
      <c r="D550" s="349">
        <v>800</v>
      </c>
      <c r="E550" s="349">
        <v>689228</v>
      </c>
    </row>
    <row r="551" spans="1:5" ht="15" x14ac:dyDescent="0.2">
      <c r="B551" s="348" t="s">
        <v>571</v>
      </c>
      <c r="C551" s="349">
        <v>39900</v>
      </c>
      <c r="D551" s="349">
        <v>0</v>
      </c>
      <c r="E551" s="349">
        <v>39900</v>
      </c>
    </row>
    <row r="552" spans="1:5" ht="30" x14ac:dyDescent="0.2">
      <c r="B552" s="348" t="s">
        <v>876</v>
      </c>
      <c r="C552" s="349">
        <v>0</v>
      </c>
      <c r="D552" s="349">
        <v>65</v>
      </c>
      <c r="E552" s="349">
        <v>65</v>
      </c>
    </row>
    <row r="554" spans="1:5" ht="15.75" customHeight="1" x14ac:dyDescent="0.2">
      <c r="A554" s="372" t="s">
        <v>796</v>
      </c>
      <c r="B554" s="374"/>
      <c r="C554" s="374"/>
      <c r="D554" s="374"/>
      <c r="E554" s="374"/>
    </row>
    <row r="555" spans="1:5" s="300" customFormat="1" ht="14.25" x14ac:dyDescent="0.2">
      <c r="B555" s="345" t="s">
        <v>515</v>
      </c>
      <c r="C555" s="346">
        <v>2253212</v>
      </c>
      <c r="D555" s="346">
        <v>1959</v>
      </c>
      <c r="E555" s="346">
        <v>2255171</v>
      </c>
    </row>
    <row r="556" spans="1:5" ht="15" x14ac:dyDescent="0.2">
      <c r="B556" s="348" t="s">
        <v>516</v>
      </c>
      <c r="C556" s="349">
        <v>1769691</v>
      </c>
      <c r="D556" s="349">
        <v>1959</v>
      </c>
      <c r="E556" s="349">
        <v>1771650</v>
      </c>
    </row>
    <row r="557" spans="1:5" ht="15" x14ac:dyDescent="0.2">
      <c r="B557" s="348" t="s">
        <v>517</v>
      </c>
      <c r="C557" s="349">
        <v>411957</v>
      </c>
      <c r="D557" s="349">
        <v>-2650</v>
      </c>
      <c r="E557" s="349">
        <v>409307</v>
      </c>
    </row>
    <row r="558" spans="1:5" ht="15" x14ac:dyDescent="0.2">
      <c r="B558" s="348" t="s">
        <v>519</v>
      </c>
      <c r="C558" s="349">
        <v>71564</v>
      </c>
      <c r="D558" s="349">
        <v>2650</v>
      </c>
      <c r="E558" s="349">
        <v>74214</v>
      </c>
    </row>
    <row r="560" spans="1:5" ht="15.75" customHeight="1" x14ac:dyDescent="0.2">
      <c r="A560" s="372" t="s">
        <v>603</v>
      </c>
      <c r="B560" s="374"/>
      <c r="C560" s="374"/>
      <c r="D560" s="374"/>
      <c r="E560" s="374"/>
    </row>
    <row r="561" spans="1:5" s="300" customFormat="1" ht="14.25" x14ac:dyDescent="0.2">
      <c r="B561" s="345" t="s">
        <v>515</v>
      </c>
      <c r="C561" s="346">
        <v>399424</v>
      </c>
      <c r="D561" s="346">
        <v>0</v>
      </c>
      <c r="E561" s="346">
        <v>399424</v>
      </c>
    </row>
    <row r="562" spans="1:5" ht="15" x14ac:dyDescent="0.2">
      <c r="B562" s="348" t="s">
        <v>516</v>
      </c>
      <c r="C562" s="349">
        <v>3273</v>
      </c>
      <c r="D562" s="349">
        <v>0</v>
      </c>
      <c r="E562" s="349">
        <v>3273</v>
      </c>
    </row>
    <row r="563" spans="1:5" ht="15" x14ac:dyDescent="0.2">
      <c r="B563" s="348" t="s">
        <v>517</v>
      </c>
      <c r="C563" s="349">
        <v>378957</v>
      </c>
      <c r="D563" s="349">
        <v>0</v>
      </c>
      <c r="E563" s="349">
        <v>378957</v>
      </c>
    </row>
    <row r="564" spans="1:5" ht="15" x14ac:dyDescent="0.2">
      <c r="B564" s="348" t="s">
        <v>519</v>
      </c>
      <c r="C564" s="349">
        <v>17049</v>
      </c>
      <c r="D564" s="349">
        <v>0</v>
      </c>
      <c r="E564" s="349">
        <v>17049</v>
      </c>
    </row>
    <row r="565" spans="1:5" ht="30" x14ac:dyDescent="0.2">
      <c r="B565" s="348" t="s">
        <v>520</v>
      </c>
      <c r="C565" s="349">
        <v>145</v>
      </c>
      <c r="D565" s="349">
        <v>0</v>
      </c>
      <c r="E565" s="349">
        <v>145</v>
      </c>
    </row>
    <row r="567" spans="1:5" ht="15.75" customHeight="1" x14ac:dyDescent="0.2">
      <c r="A567" s="372" t="s">
        <v>604</v>
      </c>
      <c r="B567" s="374"/>
      <c r="C567" s="374"/>
      <c r="D567" s="374"/>
      <c r="E567" s="374"/>
    </row>
    <row r="568" spans="1:5" s="300" customFormat="1" ht="14.25" x14ac:dyDescent="0.2">
      <c r="B568" s="345" t="s">
        <v>515</v>
      </c>
      <c r="C568" s="346">
        <v>1131928</v>
      </c>
      <c r="D568" s="346">
        <v>3011</v>
      </c>
      <c r="E568" s="346">
        <v>1134939</v>
      </c>
    </row>
    <row r="569" spans="1:5" ht="15" x14ac:dyDescent="0.2">
      <c r="B569" s="348" t="s">
        <v>516</v>
      </c>
      <c r="C569" s="349">
        <v>878958</v>
      </c>
      <c r="D569" s="349">
        <v>3011</v>
      </c>
      <c r="E569" s="349">
        <v>881969</v>
      </c>
    </row>
    <row r="570" spans="1:5" ht="15" x14ac:dyDescent="0.2">
      <c r="B570" s="348" t="s">
        <v>517</v>
      </c>
      <c r="C570" s="349">
        <v>179326</v>
      </c>
      <c r="D570" s="349">
        <v>-132</v>
      </c>
      <c r="E570" s="349">
        <v>179194</v>
      </c>
    </row>
    <row r="571" spans="1:5" ht="15" x14ac:dyDescent="0.2">
      <c r="B571" s="348" t="s">
        <v>519</v>
      </c>
      <c r="C571" s="349">
        <v>3810</v>
      </c>
      <c r="D571" s="349">
        <v>132</v>
      </c>
      <c r="E571" s="349">
        <v>3942</v>
      </c>
    </row>
    <row r="572" spans="1:5" ht="15" x14ac:dyDescent="0.2">
      <c r="B572" s="348" t="s">
        <v>571</v>
      </c>
      <c r="C572" s="349">
        <v>69834</v>
      </c>
      <c r="D572" s="349">
        <v>0</v>
      </c>
      <c r="E572" s="349">
        <v>69834</v>
      </c>
    </row>
    <row r="574" spans="1:5" ht="15.75" customHeight="1" x14ac:dyDescent="0.2">
      <c r="A574" s="372" t="s">
        <v>605</v>
      </c>
      <c r="B574" s="374"/>
      <c r="C574" s="374"/>
      <c r="D574" s="374"/>
      <c r="E574" s="374"/>
    </row>
    <row r="575" spans="1:5" s="300" customFormat="1" ht="14.25" x14ac:dyDescent="0.2">
      <c r="B575" s="345" t="s">
        <v>515</v>
      </c>
      <c r="C575" s="346">
        <v>847912</v>
      </c>
      <c r="D575" s="346">
        <v>0</v>
      </c>
      <c r="E575" s="346">
        <v>847912</v>
      </c>
    </row>
    <row r="576" spans="1:5" ht="15" x14ac:dyDescent="0.2">
      <c r="B576" s="348" t="s">
        <v>516</v>
      </c>
      <c r="C576" s="349">
        <v>340806</v>
      </c>
      <c r="D576" s="349">
        <v>0</v>
      </c>
      <c r="E576" s="349">
        <v>340806</v>
      </c>
    </row>
    <row r="577" spans="1:5" ht="15" x14ac:dyDescent="0.2">
      <c r="B577" s="348" t="s">
        <v>517</v>
      </c>
      <c r="C577" s="349">
        <v>405366</v>
      </c>
      <c r="D577" s="349">
        <v>0</v>
      </c>
      <c r="E577" s="349">
        <v>405366</v>
      </c>
    </row>
    <row r="578" spans="1:5" ht="15" x14ac:dyDescent="0.2">
      <c r="B578" s="348" t="s">
        <v>519</v>
      </c>
      <c r="C578" s="349">
        <v>3000</v>
      </c>
      <c r="D578" s="349">
        <v>0</v>
      </c>
      <c r="E578" s="349">
        <v>3000</v>
      </c>
    </row>
    <row r="579" spans="1:5" ht="15" x14ac:dyDescent="0.2">
      <c r="B579" s="348" t="s">
        <v>571</v>
      </c>
      <c r="C579" s="349">
        <v>98740</v>
      </c>
      <c r="D579" s="349">
        <v>0</v>
      </c>
      <c r="E579" s="349">
        <v>98740</v>
      </c>
    </row>
    <row r="581" spans="1:5" ht="15.75" customHeight="1" x14ac:dyDescent="0.2">
      <c r="A581" s="372" t="s">
        <v>871</v>
      </c>
      <c r="B581" s="374"/>
      <c r="C581" s="374"/>
      <c r="D581" s="374"/>
      <c r="E581" s="374"/>
    </row>
    <row r="582" spans="1:5" s="300" customFormat="1" ht="14.25" x14ac:dyDescent="0.2">
      <c r="B582" s="345" t="s">
        <v>515</v>
      </c>
      <c r="C582" s="346">
        <v>1108049</v>
      </c>
      <c r="D582" s="346">
        <v>0</v>
      </c>
      <c r="E582" s="346">
        <v>1108049</v>
      </c>
    </row>
    <row r="583" spans="1:5" ht="15" x14ac:dyDescent="0.2">
      <c r="B583" s="348" t="s">
        <v>516</v>
      </c>
      <c r="C583" s="349">
        <v>837764</v>
      </c>
      <c r="D583" s="349">
        <v>0</v>
      </c>
      <c r="E583" s="349">
        <v>837764</v>
      </c>
    </row>
    <row r="584" spans="1:5" ht="15" x14ac:dyDescent="0.2">
      <c r="B584" s="348" t="s">
        <v>517</v>
      </c>
      <c r="C584" s="349">
        <v>242119</v>
      </c>
      <c r="D584" s="349">
        <v>0</v>
      </c>
      <c r="E584" s="349">
        <v>242119</v>
      </c>
    </row>
    <row r="585" spans="1:5" ht="15" x14ac:dyDescent="0.2">
      <c r="B585" s="348" t="s">
        <v>518</v>
      </c>
      <c r="C585" s="349">
        <v>17424</v>
      </c>
      <c r="D585" s="349">
        <v>0</v>
      </c>
      <c r="E585" s="349">
        <v>17424</v>
      </c>
    </row>
    <row r="586" spans="1:5" ht="15" x14ac:dyDescent="0.2">
      <c r="B586" s="348" t="s">
        <v>519</v>
      </c>
      <c r="C586" s="349">
        <v>10742</v>
      </c>
      <c r="D586" s="349">
        <v>0</v>
      </c>
      <c r="E586" s="349">
        <v>10742</v>
      </c>
    </row>
    <row r="588" spans="1:5" ht="15.75" customHeight="1" x14ac:dyDescent="0.2">
      <c r="A588" s="372" t="s">
        <v>606</v>
      </c>
      <c r="B588" s="374"/>
      <c r="C588" s="374"/>
      <c r="D588" s="374"/>
      <c r="E588" s="374"/>
    </row>
    <row r="589" spans="1:5" s="300" customFormat="1" ht="14.25" x14ac:dyDescent="0.2">
      <c r="B589" s="345" t="s">
        <v>515</v>
      </c>
      <c r="C589" s="346">
        <v>253813</v>
      </c>
      <c r="D589" s="346">
        <v>0</v>
      </c>
      <c r="E589" s="346">
        <v>253813</v>
      </c>
    </row>
    <row r="590" spans="1:5" ht="15" x14ac:dyDescent="0.2">
      <c r="B590" s="348" t="s">
        <v>516</v>
      </c>
      <c r="C590" s="349">
        <v>205215</v>
      </c>
      <c r="D590" s="349">
        <v>0</v>
      </c>
      <c r="E590" s="349">
        <v>205215</v>
      </c>
    </row>
    <row r="591" spans="1:5" ht="15" x14ac:dyDescent="0.2">
      <c r="B591" s="348" t="s">
        <v>517</v>
      </c>
      <c r="C591" s="349">
        <v>47873</v>
      </c>
      <c r="D591" s="349">
        <v>0</v>
      </c>
      <c r="E591" s="349">
        <v>47873</v>
      </c>
    </row>
    <row r="592" spans="1:5" ht="30" x14ac:dyDescent="0.2">
      <c r="B592" s="348" t="s">
        <v>520</v>
      </c>
      <c r="C592" s="349">
        <v>725</v>
      </c>
      <c r="D592" s="349">
        <v>0</v>
      </c>
      <c r="E592" s="349">
        <v>725</v>
      </c>
    </row>
    <row r="594" spans="1:5" ht="15.75" customHeight="1" x14ac:dyDescent="0.2">
      <c r="A594" s="372" t="s">
        <v>607</v>
      </c>
      <c r="B594" s="374"/>
      <c r="C594" s="374"/>
      <c r="D594" s="374"/>
      <c r="E594" s="374"/>
    </row>
    <row r="595" spans="1:5" s="300" customFormat="1" ht="14.25" x14ac:dyDescent="0.2">
      <c r="B595" s="345" t="s">
        <v>515</v>
      </c>
      <c r="C595" s="346">
        <v>748568</v>
      </c>
      <c r="D595" s="346">
        <v>0</v>
      </c>
      <c r="E595" s="346">
        <v>748568</v>
      </c>
    </row>
    <row r="596" spans="1:5" ht="15" x14ac:dyDescent="0.2">
      <c r="B596" s="348" t="s">
        <v>516</v>
      </c>
      <c r="C596" s="349">
        <v>645522</v>
      </c>
      <c r="D596" s="349">
        <v>0</v>
      </c>
      <c r="E596" s="349">
        <v>645522</v>
      </c>
    </row>
    <row r="597" spans="1:5" ht="15" x14ac:dyDescent="0.2">
      <c r="B597" s="348" t="s">
        <v>517</v>
      </c>
      <c r="C597" s="349">
        <v>95518</v>
      </c>
      <c r="D597" s="349">
        <v>0</v>
      </c>
      <c r="E597" s="349">
        <v>95518</v>
      </c>
    </row>
    <row r="598" spans="1:5" ht="15" x14ac:dyDescent="0.2">
      <c r="B598" s="348" t="s">
        <v>519</v>
      </c>
      <c r="C598" s="349">
        <v>7528</v>
      </c>
      <c r="D598" s="349">
        <v>0</v>
      </c>
      <c r="E598" s="349">
        <v>7528</v>
      </c>
    </row>
    <row r="599" spans="1:5" ht="15" x14ac:dyDescent="0.2">
      <c r="B599" s="348" t="s">
        <v>571</v>
      </c>
      <c r="C599" s="349">
        <v>0</v>
      </c>
      <c r="D599" s="349">
        <v>0</v>
      </c>
      <c r="E599" s="349">
        <v>0</v>
      </c>
    </row>
    <row r="601" spans="1:5" ht="15.75" customHeight="1" x14ac:dyDescent="0.2">
      <c r="A601" s="372" t="s">
        <v>608</v>
      </c>
      <c r="B601" s="374"/>
      <c r="C601" s="374"/>
      <c r="D601" s="374"/>
      <c r="E601" s="374"/>
    </row>
    <row r="602" spans="1:5" s="300" customFormat="1" ht="14.25" x14ac:dyDescent="0.2">
      <c r="B602" s="345" t="s">
        <v>515</v>
      </c>
      <c r="C602" s="346">
        <v>706203</v>
      </c>
      <c r="D602" s="346">
        <v>0</v>
      </c>
      <c r="E602" s="346">
        <v>706203</v>
      </c>
    </row>
    <row r="603" spans="1:5" ht="15" x14ac:dyDescent="0.2">
      <c r="B603" s="348" t="s">
        <v>516</v>
      </c>
      <c r="C603" s="349">
        <v>624548</v>
      </c>
      <c r="D603" s="349">
        <v>0</v>
      </c>
      <c r="E603" s="349">
        <v>624548</v>
      </c>
    </row>
    <row r="604" spans="1:5" ht="15" x14ac:dyDescent="0.2">
      <c r="B604" s="348" t="s">
        <v>517</v>
      </c>
      <c r="C604" s="349">
        <v>75515</v>
      </c>
      <c r="D604" s="349">
        <v>0</v>
      </c>
      <c r="E604" s="349">
        <v>75515</v>
      </c>
    </row>
    <row r="605" spans="1:5" ht="15" x14ac:dyDescent="0.2">
      <c r="B605" s="348" t="s">
        <v>518</v>
      </c>
      <c r="C605" s="349">
        <v>640</v>
      </c>
      <c r="D605" s="349">
        <v>0</v>
      </c>
      <c r="E605" s="349">
        <v>640</v>
      </c>
    </row>
    <row r="606" spans="1:5" ht="15" x14ac:dyDescent="0.2">
      <c r="B606" s="348" t="s">
        <v>519</v>
      </c>
      <c r="C606" s="349">
        <v>5500</v>
      </c>
      <c r="D606" s="349">
        <v>0</v>
      </c>
      <c r="E606" s="349">
        <v>5500</v>
      </c>
    </row>
    <row r="608" spans="1:5" ht="15.75" customHeight="1" x14ac:dyDescent="0.2">
      <c r="A608" s="372" t="s">
        <v>609</v>
      </c>
      <c r="B608" s="374"/>
      <c r="C608" s="374"/>
      <c r="D608" s="374"/>
      <c r="E608" s="374"/>
    </row>
    <row r="609" spans="1:5" s="300" customFormat="1" ht="14.25" x14ac:dyDescent="0.2">
      <c r="B609" s="345" t="s">
        <v>515</v>
      </c>
      <c r="C609" s="346">
        <v>73672</v>
      </c>
      <c r="D609" s="346">
        <v>0</v>
      </c>
      <c r="E609" s="346">
        <v>73672</v>
      </c>
    </row>
    <row r="610" spans="1:5" ht="15" x14ac:dyDescent="0.2">
      <c r="B610" s="348" t="s">
        <v>516</v>
      </c>
      <c r="C610" s="349">
        <v>67687</v>
      </c>
      <c r="D610" s="349">
        <v>0</v>
      </c>
      <c r="E610" s="349">
        <v>67687</v>
      </c>
    </row>
    <row r="611" spans="1:5" ht="15" x14ac:dyDescent="0.2">
      <c r="B611" s="348" t="s">
        <v>517</v>
      </c>
      <c r="C611" s="349">
        <v>5985</v>
      </c>
      <c r="D611" s="349">
        <v>0</v>
      </c>
      <c r="E611" s="349">
        <v>5985</v>
      </c>
    </row>
    <row r="613" spans="1:5" ht="15.75" customHeight="1" x14ac:dyDescent="0.2">
      <c r="A613" s="372" t="s">
        <v>610</v>
      </c>
      <c r="B613" s="374"/>
      <c r="C613" s="374"/>
      <c r="D613" s="374"/>
      <c r="E613" s="374"/>
    </row>
    <row r="614" spans="1:5" s="300" customFormat="1" ht="14.25" x14ac:dyDescent="0.2">
      <c r="B614" s="345" t="s">
        <v>515</v>
      </c>
      <c r="C614" s="346">
        <v>269250</v>
      </c>
      <c r="D614" s="346">
        <v>0</v>
      </c>
      <c r="E614" s="346">
        <v>269250</v>
      </c>
    </row>
    <row r="615" spans="1:5" ht="15" x14ac:dyDescent="0.2">
      <c r="B615" s="348" t="s">
        <v>571</v>
      </c>
      <c r="C615" s="349">
        <v>269250</v>
      </c>
      <c r="D615" s="349">
        <v>0</v>
      </c>
      <c r="E615" s="349">
        <v>269250</v>
      </c>
    </row>
    <row r="617" spans="1:5" ht="15.75" customHeight="1" x14ac:dyDescent="0.2">
      <c r="A617" s="372" t="s">
        <v>832</v>
      </c>
      <c r="B617" s="374"/>
      <c r="C617" s="374"/>
      <c r="D617" s="374"/>
      <c r="E617" s="374"/>
    </row>
    <row r="618" spans="1:5" s="300" customFormat="1" ht="14.25" x14ac:dyDescent="0.2">
      <c r="B618" s="345" t="s">
        <v>515</v>
      </c>
      <c r="C618" s="346">
        <v>187682</v>
      </c>
      <c r="D618" s="346">
        <v>0</v>
      </c>
      <c r="E618" s="346">
        <v>187682</v>
      </c>
    </row>
    <row r="619" spans="1:5" ht="15" x14ac:dyDescent="0.2">
      <c r="B619" s="348" t="s">
        <v>571</v>
      </c>
      <c r="C619" s="349">
        <v>187682</v>
      </c>
      <c r="D619" s="349">
        <v>0</v>
      </c>
      <c r="E619" s="349">
        <v>187682</v>
      </c>
    </row>
    <row r="620" spans="1:5" ht="27" customHeight="1" x14ac:dyDescent="0.2"/>
    <row r="621" spans="1:5" ht="27.75" customHeight="1" x14ac:dyDescent="0.2">
      <c r="A621" s="375" t="s">
        <v>833</v>
      </c>
      <c r="B621" s="376"/>
      <c r="C621" s="376"/>
      <c r="D621" s="376"/>
      <c r="E621" s="376"/>
    </row>
    <row r="622" spans="1:5" ht="15" x14ac:dyDescent="0.2">
      <c r="A622" s="298"/>
      <c r="B622" s="350" t="s">
        <v>515</v>
      </c>
      <c r="C622" s="351">
        <v>195125</v>
      </c>
      <c r="D622" s="351">
        <v>171</v>
      </c>
      <c r="E622" s="351">
        <v>195296</v>
      </c>
    </row>
    <row r="623" spans="1:5" ht="15" x14ac:dyDescent="0.2">
      <c r="A623" s="298"/>
      <c r="B623" s="350" t="s">
        <v>516</v>
      </c>
      <c r="C623" s="351">
        <v>171754</v>
      </c>
      <c r="D623" s="351">
        <v>0</v>
      </c>
      <c r="E623" s="351">
        <v>171754</v>
      </c>
    </row>
    <row r="624" spans="1:5" ht="15" x14ac:dyDescent="0.2">
      <c r="A624" s="298"/>
      <c r="B624" s="350" t="s">
        <v>517</v>
      </c>
      <c r="C624" s="351">
        <v>23371</v>
      </c>
      <c r="D624" s="351">
        <v>171</v>
      </c>
      <c r="E624" s="351">
        <v>23542</v>
      </c>
    </row>
    <row r="626" spans="1:5" ht="15.75" customHeight="1" x14ac:dyDescent="0.2">
      <c r="A626" s="372" t="s">
        <v>611</v>
      </c>
      <c r="B626" s="374"/>
      <c r="C626" s="374"/>
      <c r="D626" s="374"/>
      <c r="E626" s="374"/>
    </row>
    <row r="627" spans="1:5" s="300" customFormat="1" ht="14.25" x14ac:dyDescent="0.2">
      <c r="B627" s="345" t="s">
        <v>515</v>
      </c>
      <c r="C627" s="346">
        <v>195125</v>
      </c>
      <c r="D627" s="346">
        <v>171</v>
      </c>
      <c r="E627" s="346">
        <v>195296</v>
      </c>
    </row>
    <row r="628" spans="1:5" ht="15" x14ac:dyDescent="0.2">
      <c r="B628" s="348" t="s">
        <v>516</v>
      </c>
      <c r="C628" s="349">
        <v>171754</v>
      </c>
      <c r="D628" s="349">
        <v>0</v>
      </c>
      <c r="E628" s="349">
        <v>171754</v>
      </c>
    </row>
    <row r="629" spans="1:5" ht="15" x14ac:dyDescent="0.2">
      <c r="B629" s="348" t="s">
        <v>517</v>
      </c>
      <c r="C629" s="349">
        <v>23371</v>
      </c>
      <c r="D629" s="349">
        <v>171</v>
      </c>
      <c r="E629" s="349">
        <v>23542</v>
      </c>
    </row>
    <row r="630" spans="1:5" ht="23.25" customHeight="1" x14ac:dyDescent="0.2"/>
    <row r="631" spans="1:5" ht="26.25" customHeight="1" x14ac:dyDescent="0.2">
      <c r="A631" s="375" t="s">
        <v>834</v>
      </c>
      <c r="B631" s="376"/>
      <c r="C631" s="376"/>
      <c r="D631" s="376"/>
      <c r="E631" s="376"/>
    </row>
    <row r="632" spans="1:5" ht="15" x14ac:dyDescent="0.2">
      <c r="A632" s="298"/>
      <c r="B632" s="350" t="s">
        <v>515</v>
      </c>
      <c r="C632" s="351">
        <v>5093725</v>
      </c>
      <c r="D632" s="351">
        <v>-2127</v>
      </c>
      <c r="E632" s="351">
        <v>5091598</v>
      </c>
    </row>
    <row r="633" spans="1:5" ht="15" x14ac:dyDescent="0.2">
      <c r="A633" s="298"/>
      <c r="B633" s="350" t="s">
        <v>516</v>
      </c>
      <c r="C633" s="351">
        <v>1939397</v>
      </c>
      <c r="D633" s="351">
        <v>2576</v>
      </c>
      <c r="E633" s="351">
        <v>1941973</v>
      </c>
    </row>
    <row r="634" spans="1:5" ht="15" x14ac:dyDescent="0.2">
      <c r="A634" s="298"/>
      <c r="B634" s="350" t="s">
        <v>517</v>
      </c>
      <c r="C634" s="351">
        <v>385017</v>
      </c>
      <c r="D634" s="351">
        <v>-4000</v>
      </c>
      <c r="E634" s="351">
        <v>381017</v>
      </c>
    </row>
    <row r="635" spans="1:5" ht="15" x14ac:dyDescent="0.2">
      <c r="A635" s="298"/>
      <c r="B635" s="350" t="s">
        <v>518</v>
      </c>
      <c r="C635" s="351">
        <v>928</v>
      </c>
      <c r="D635" s="351">
        <v>0</v>
      </c>
      <c r="E635" s="351">
        <v>928</v>
      </c>
    </row>
    <row r="636" spans="1:5" ht="15" x14ac:dyDescent="0.2">
      <c r="A636" s="298"/>
      <c r="B636" s="350" t="s">
        <v>519</v>
      </c>
      <c r="C636" s="351">
        <v>10195</v>
      </c>
      <c r="D636" s="351">
        <v>0</v>
      </c>
      <c r="E636" s="351">
        <v>10195</v>
      </c>
    </row>
    <row r="637" spans="1:5" ht="15" x14ac:dyDescent="0.2">
      <c r="A637" s="298"/>
      <c r="B637" s="350" t="s">
        <v>571</v>
      </c>
      <c r="C637" s="351">
        <v>2102901</v>
      </c>
      <c r="D637" s="351">
        <v>32157</v>
      </c>
      <c r="E637" s="351">
        <v>2135058</v>
      </c>
    </row>
    <row r="638" spans="1:5" ht="30" x14ac:dyDescent="0.2">
      <c r="A638" s="298"/>
      <c r="B638" s="350" t="s">
        <v>520</v>
      </c>
      <c r="C638" s="351">
        <v>655287</v>
      </c>
      <c r="D638" s="351">
        <v>-32860</v>
      </c>
      <c r="E638" s="351">
        <v>622427</v>
      </c>
    </row>
    <row r="640" spans="1:5" ht="15.75" customHeight="1" x14ac:dyDescent="0.2">
      <c r="A640" s="372" t="s">
        <v>612</v>
      </c>
      <c r="B640" s="374"/>
      <c r="C640" s="374"/>
      <c r="D640" s="374"/>
      <c r="E640" s="374"/>
    </row>
    <row r="641" spans="1:5" s="300" customFormat="1" ht="14.25" x14ac:dyDescent="0.2">
      <c r="B641" s="345" t="s">
        <v>515</v>
      </c>
      <c r="C641" s="346">
        <v>650157</v>
      </c>
      <c r="D641" s="346">
        <v>-32300</v>
      </c>
      <c r="E641" s="346">
        <v>617857</v>
      </c>
    </row>
    <row r="642" spans="1:5" ht="30" x14ac:dyDescent="0.2">
      <c r="B642" s="348" t="s">
        <v>520</v>
      </c>
      <c r="C642" s="349">
        <v>650157</v>
      </c>
      <c r="D642" s="349">
        <v>-32300</v>
      </c>
      <c r="E642" s="349">
        <v>617857</v>
      </c>
    </row>
    <row r="644" spans="1:5" ht="15.75" customHeight="1" x14ac:dyDescent="0.2">
      <c r="A644" s="372" t="s">
        <v>613</v>
      </c>
      <c r="B644" s="374"/>
      <c r="C644" s="374"/>
      <c r="D644" s="374"/>
      <c r="E644" s="374"/>
    </row>
    <row r="645" spans="1:5" s="300" customFormat="1" ht="14.25" x14ac:dyDescent="0.2">
      <c r="B645" s="345" t="s">
        <v>515</v>
      </c>
      <c r="C645" s="346">
        <v>72600</v>
      </c>
      <c r="D645" s="346">
        <v>0</v>
      </c>
      <c r="E645" s="346">
        <v>72600</v>
      </c>
    </row>
    <row r="646" spans="1:5" ht="15" x14ac:dyDescent="0.2">
      <c r="B646" s="348" t="s">
        <v>571</v>
      </c>
      <c r="C646" s="349">
        <v>72600</v>
      </c>
      <c r="D646" s="349">
        <v>0</v>
      </c>
      <c r="E646" s="349">
        <v>72600</v>
      </c>
    </row>
    <row r="648" spans="1:5" ht="15.75" customHeight="1" x14ac:dyDescent="0.2">
      <c r="A648" s="372" t="s">
        <v>614</v>
      </c>
      <c r="B648" s="374"/>
      <c r="C648" s="374"/>
      <c r="D648" s="374"/>
      <c r="E648" s="374"/>
    </row>
    <row r="649" spans="1:5" s="300" customFormat="1" ht="14.25" x14ac:dyDescent="0.2">
      <c r="B649" s="345" t="s">
        <v>515</v>
      </c>
      <c r="C649" s="346">
        <v>12400</v>
      </c>
      <c r="D649" s="346">
        <v>0</v>
      </c>
      <c r="E649" s="346">
        <v>12400</v>
      </c>
    </row>
    <row r="650" spans="1:5" ht="15" x14ac:dyDescent="0.2">
      <c r="B650" s="348" t="s">
        <v>571</v>
      </c>
      <c r="C650" s="349">
        <v>12400</v>
      </c>
      <c r="D650" s="349">
        <v>0</v>
      </c>
      <c r="E650" s="349">
        <v>12400</v>
      </c>
    </row>
    <row r="652" spans="1:5" ht="15.75" customHeight="1" x14ac:dyDescent="0.2">
      <c r="A652" s="372" t="s">
        <v>615</v>
      </c>
      <c r="B652" s="374"/>
      <c r="C652" s="374"/>
      <c r="D652" s="374"/>
      <c r="E652" s="374"/>
    </row>
    <row r="653" spans="1:5" s="300" customFormat="1" ht="14.25" x14ac:dyDescent="0.2">
      <c r="B653" s="345" t="s">
        <v>515</v>
      </c>
      <c r="C653" s="346">
        <v>32500</v>
      </c>
      <c r="D653" s="346">
        <v>0</v>
      </c>
      <c r="E653" s="346">
        <v>32500</v>
      </c>
    </row>
    <row r="654" spans="1:5" ht="15" x14ac:dyDescent="0.2">
      <c r="B654" s="348" t="s">
        <v>571</v>
      </c>
      <c r="C654" s="349">
        <v>32500</v>
      </c>
      <c r="D654" s="349">
        <v>0</v>
      </c>
      <c r="E654" s="349">
        <v>32500</v>
      </c>
    </row>
    <row r="656" spans="1:5" ht="15.75" customHeight="1" x14ac:dyDescent="0.2">
      <c r="A656" s="372" t="s">
        <v>616</v>
      </c>
      <c r="B656" s="374"/>
      <c r="C656" s="374"/>
      <c r="D656" s="374"/>
      <c r="E656" s="374"/>
    </row>
    <row r="657" spans="1:5" s="300" customFormat="1" ht="14.25" x14ac:dyDescent="0.2">
      <c r="B657" s="345" t="s">
        <v>515</v>
      </c>
      <c r="C657" s="346">
        <v>4750</v>
      </c>
      <c r="D657" s="346">
        <v>0</v>
      </c>
      <c r="E657" s="346">
        <v>4750</v>
      </c>
    </row>
    <row r="658" spans="1:5" ht="15" x14ac:dyDescent="0.2">
      <c r="B658" s="348" t="s">
        <v>516</v>
      </c>
      <c r="C658" s="349">
        <v>187</v>
      </c>
      <c r="D658" s="349">
        <v>0</v>
      </c>
      <c r="E658" s="349">
        <v>187</v>
      </c>
    </row>
    <row r="659" spans="1:5" ht="15" x14ac:dyDescent="0.2">
      <c r="B659" s="348" t="s">
        <v>517</v>
      </c>
      <c r="C659" s="349">
        <v>4563</v>
      </c>
      <c r="D659" s="349">
        <v>0</v>
      </c>
      <c r="E659" s="349">
        <v>4563</v>
      </c>
    </row>
    <row r="661" spans="1:5" ht="15.75" customHeight="1" x14ac:dyDescent="0.2">
      <c r="A661" s="372" t="s">
        <v>617</v>
      </c>
      <c r="B661" s="374"/>
      <c r="C661" s="374"/>
      <c r="D661" s="374"/>
      <c r="E661" s="374"/>
    </row>
    <row r="662" spans="1:5" s="300" customFormat="1" ht="14.25" x14ac:dyDescent="0.2">
      <c r="B662" s="345" t="s">
        <v>515</v>
      </c>
      <c r="C662" s="346">
        <v>473222</v>
      </c>
      <c r="D662" s="346">
        <v>0</v>
      </c>
      <c r="E662" s="346">
        <v>473222</v>
      </c>
    </row>
    <row r="663" spans="1:5" ht="15" x14ac:dyDescent="0.2">
      <c r="B663" s="348" t="s">
        <v>516</v>
      </c>
      <c r="C663" s="349">
        <v>318913</v>
      </c>
      <c r="D663" s="349">
        <v>0</v>
      </c>
      <c r="E663" s="349">
        <v>318913</v>
      </c>
    </row>
    <row r="664" spans="1:5" ht="15" x14ac:dyDescent="0.2">
      <c r="B664" s="348" t="s">
        <v>517</v>
      </c>
      <c r="C664" s="349">
        <v>7110</v>
      </c>
      <c r="D664" s="349">
        <v>0</v>
      </c>
      <c r="E664" s="349">
        <v>7110</v>
      </c>
    </row>
    <row r="665" spans="1:5" ht="15" x14ac:dyDescent="0.2">
      <c r="B665" s="348" t="s">
        <v>571</v>
      </c>
      <c r="C665" s="349">
        <v>147199</v>
      </c>
      <c r="D665" s="349">
        <v>0</v>
      </c>
      <c r="E665" s="349">
        <v>147199</v>
      </c>
    </row>
    <row r="667" spans="1:5" ht="15.75" customHeight="1" x14ac:dyDescent="0.2">
      <c r="A667" s="372" t="s">
        <v>618</v>
      </c>
      <c r="B667" s="374"/>
      <c r="C667" s="374"/>
      <c r="D667" s="374"/>
      <c r="E667" s="374"/>
    </row>
    <row r="668" spans="1:5" s="300" customFormat="1" ht="14.25" x14ac:dyDescent="0.2">
      <c r="B668" s="345" t="s">
        <v>515</v>
      </c>
      <c r="C668" s="346">
        <v>93264</v>
      </c>
      <c r="D668" s="346">
        <v>0</v>
      </c>
      <c r="E668" s="346">
        <v>93264</v>
      </c>
    </row>
    <row r="669" spans="1:5" ht="15" x14ac:dyDescent="0.2">
      <c r="B669" s="348" t="s">
        <v>516</v>
      </c>
      <c r="C669" s="349">
        <v>74291</v>
      </c>
      <c r="D669" s="349">
        <v>0</v>
      </c>
      <c r="E669" s="349">
        <v>74291</v>
      </c>
    </row>
    <row r="670" spans="1:5" ht="15" x14ac:dyDescent="0.2">
      <c r="B670" s="348" t="s">
        <v>517</v>
      </c>
      <c r="C670" s="349">
        <v>18973</v>
      </c>
      <c r="D670" s="349">
        <v>0</v>
      </c>
      <c r="E670" s="349">
        <v>18973</v>
      </c>
    </row>
    <row r="672" spans="1:5" ht="15.75" customHeight="1" x14ac:dyDescent="0.2">
      <c r="A672" s="372" t="s">
        <v>619</v>
      </c>
      <c r="B672" s="374"/>
      <c r="C672" s="374"/>
      <c r="D672" s="374"/>
      <c r="E672" s="374"/>
    </row>
    <row r="673" spans="1:5" s="300" customFormat="1" ht="14.25" x14ac:dyDescent="0.2">
      <c r="B673" s="345" t="s">
        <v>515</v>
      </c>
      <c r="C673" s="346">
        <v>88426</v>
      </c>
      <c r="D673" s="346">
        <v>0</v>
      </c>
      <c r="E673" s="346">
        <v>88426</v>
      </c>
    </row>
    <row r="674" spans="1:5" ht="15" x14ac:dyDescent="0.2">
      <c r="B674" s="348" t="s">
        <v>516</v>
      </c>
      <c r="C674" s="349">
        <v>70312</v>
      </c>
      <c r="D674" s="349">
        <v>0</v>
      </c>
      <c r="E674" s="349">
        <v>70312</v>
      </c>
    </row>
    <row r="675" spans="1:5" ht="15" x14ac:dyDescent="0.2">
      <c r="B675" s="348" t="s">
        <v>517</v>
      </c>
      <c r="C675" s="349">
        <v>18114</v>
      </c>
      <c r="D675" s="349">
        <v>0</v>
      </c>
      <c r="E675" s="349">
        <v>18114</v>
      </c>
    </row>
    <row r="677" spans="1:5" ht="15.75" customHeight="1" x14ac:dyDescent="0.2">
      <c r="A677" s="372" t="s">
        <v>620</v>
      </c>
      <c r="B677" s="374"/>
      <c r="C677" s="374"/>
      <c r="D677" s="374"/>
      <c r="E677" s="374"/>
    </row>
    <row r="678" spans="1:5" s="300" customFormat="1" ht="14.25" x14ac:dyDescent="0.2">
      <c r="B678" s="345" t="s">
        <v>515</v>
      </c>
      <c r="C678" s="346">
        <v>67806</v>
      </c>
      <c r="D678" s="346">
        <v>0</v>
      </c>
      <c r="E678" s="346">
        <v>67806</v>
      </c>
    </row>
    <row r="679" spans="1:5" ht="15" x14ac:dyDescent="0.2">
      <c r="B679" s="348" t="s">
        <v>516</v>
      </c>
      <c r="C679" s="349">
        <v>45928</v>
      </c>
      <c r="D679" s="349">
        <v>0</v>
      </c>
      <c r="E679" s="349">
        <v>45928</v>
      </c>
    </row>
    <row r="680" spans="1:5" ht="15" x14ac:dyDescent="0.2">
      <c r="B680" s="348" t="s">
        <v>517</v>
      </c>
      <c r="C680" s="349">
        <v>21878</v>
      </c>
      <c r="D680" s="349">
        <v>0</v>
      </c>
      <c r="E680" s="349">
        <v>21878</v>
      </c>
    </row>
    <row r="682" spans="1:5" ht="15.75" customHeight="1" x14ac:dyDescent="0.2">
      <c r="A682" s="372" t="s">
        <v>621</v>
      </c>
      <c r="B682" s="374"/>
      <c r="C682" s="374"/>
      <c r="D682" s="374"/>
      <c r="E682" s="374"/>
    </row>
    <row r="683" spans="1:5" s="300" customFormat="1" ht="14.25" x14ac:dyDescent="0.2">
      <c r="B683" s="345" t="s">
        <v>515</v>
      </c>
      <c r="C683" s="346">
        <v>117176</v>
      </c>
      <c r="D683" s="346">
        <v>0</v>
      </c>
      <c r="E683" s="346">
        <v>117176</v>
      </c>
    </row>
    <row r="684" spans="1:5" ht="15" x14ac:dyDescent="0.2">
      <c r="B684" s="348" t="s">
        <v>516</v>
      </c>
      <c r="C684" s="349">
        <v>89491</v>
      </c>
      <c r="D684" s="349">
        <v>0</v>
      </c>
      <c r="E684" s="349">
        <v>89491</v>
      </c>
    </row>
    <row r="685" spans="1:5" ht="15" x14ac:dyDescent="0.2">
      <c r="B685" s="348" t="s">
        <v>517</v>
      </c>
      <c r="C685" s="349">
        <v>26640</v>
      </c>
      <c r="D685" s="349">
        <v>0</v>
      </c>
      <c r="E685" s="349">
        <v>26640</v>
      </c>
    </row>
    <row r="686" spans="1:5" ht="15" x14ac:dyDescent="0.2">
      <c r="B686" s="348" t="s">
        <v>519</v>
      </c>
      <c r="C686" s="349">
        <v>1045</v>
      </c>
      <c r="D686" s="349">
        <v>0</v>
      </c>
      <c r="E686" s="349">
        <v>1045</v>
      </c>
    </row>
    <row r="688" spans="1:5" ht="31.5" customHeight="1" x14ac:dyDescent="0.2">
      <c r="A688" s="372" t="s">
        <v>797</v>
      </c>
      <c r="B688" s="374"/>
      <c r="C688" s="374"/>
      <c r="D688" s="374"/>
      <c r="E688" s="374"/>
    </row>
    <row r="689" spans="1:5" s="300" customFormat="1" ht="14.25" x14ac:dyDescent="0.2">
      <c r="B689" s="345" t="s">
        <v>515</v>
      </c>
      <c r="C689" s="346">
        <v>146523</v>
      </c>
      <c r="D689" s="346">
        <v>0</v>
      </c>
      <c r="E689" s="346">
        <v>146523</v>
      </c>
    </row>
    <row r="690" spans="1:5" ht="15" x14ac:dyDescent="0.2">
      <c r="B690" s="348" t="s">
        <v>516</v>
      </c>
      <c r="C690" s="349">
        <v>23935</v>
      </c>
      <c r="D690" s="349">
        <v>703</v>
      </c>
      <c r="E690" s="349">
        <v>24638</v>
      </c>
    </row>
    <row r="691" spans="1:5" ht="15" x14ac:dyDescent="0.2">
      <c r="B691" s="348" t="s">
        <v>517</v>
      </c>
      <c r="C691" s="349">
        <v>5019</v>
      </c>
      <c r="D691" s="349">
        <v>0</v>
      </c>
      <c r="E691" s="349">
        <v>5019</v>
      </c>
    </row>
    <row r="692" spans="1:5" ht="15" x14ac:dyDescent="0.2">
      <c r="B692" s="348" t="s">
        <v>571</v>
      </c>
      <c r="C692" s="349">
        <v>114791</v>
      </c>
      <c r="D692" s="349">
        <v>0</v>
      </c>
      <c r="E692" s="349">
        <v>114791</v>
      </c>
    </row>
    <row r="693" spans="1:5" ht="30" x14ac:dyDescent="0.2">
      <c r="B693" s="348" t="s">
        <v>520</v>
      </c>
      <c r="C693" s="349">
        <v>2778</v>
      </c>
      <c r="D693" s="349">
        <v>-703</v>
      </c>
      <c r="E693" s="349">
        <v>2075</v>
      </c>
    </row>
    <row r="695" spans="1:5" ht="15.75" customHeight="1" x14ac:dyDescent="0.2">
      <c r="A695" s="372" t="s">
        <v>622</v>
      </c>
      <c r="B695" s="374"/>
      <c r="C695" s="374"/>
      <c r="D695" s="374"/>
      <c r="E695" s="374"/>
    </row>
    <row r="696" spans="1:5" s="300" customFormat="1" ht="14.25" x14ac:dyDescent="0.2">
      <c r="B696" s="345" t="s">
        <v>515</v>
      </c>
      <c r="C696" s="346">
        <v>239291</v>
      </c>
      <c r="D696" s="346">
        <v>0</v>
      </c>
      <c r="E696" s="346">
        <v>239291</v>
      </c>
    </row>
    <row r="697" spans="1:5" ht="15" x14ac:dyDescent="0.2">
      <c r="B697" s="348" t="s">
        <v>516</v>
      </c>
      <c r="C697" s="349">
        <v>95245</v>
      </c>
      <c r="D697" s="349">
        <v>0</v>
      </c>
      <c r="E697" s="349">
        <v>95245</v>
      </c>
    </row>
    <row r="698" spans="1:5" ht="15" x14ac:dyDescent="0.2">
      <c r="B698" s="348" t="s">
        <v>517</v>
      </c>
      <c r="C698" s="349">
        <v>9822</v>
      </c>
      <c r="D698" s="349">
        <v>0</v>
      </c>
      <c r="E698" s="349">
        <v>9822</v>
      </c>
    </row>
    <row r="699" spans="1:5" ht="15" x14ac:dyDescent="0.2">
      <c r="B699" s="348" t="s">
        <v>571</v>
      </c>
      <c r="C699" s="349">
        <v>134224</v>
      </c>
      <c r="D699" s="349">
        <v>0</v>
      </c>
      <c r="E699" s="349">
        <v>134224</v>
      </c>
    </row>
    <row r="701" spans="1:5" ht="15.75" customHeight="1" x14ac:dyDescent="0.2">
      <c r="A701" s="372" t="s">
        <v>623</v>
      </c>
      <c r="B701" s="374"/>
      <c r="C701" s="374"/>
      <c r="D701" s="374"/>
      <c r="E701" s="374"/>
    </row>
    <row r="702" spans="1:5" s="300" customFormat="1" ht="14.25" x14ac:dyDescent="0.2">
      <c r="B702" s="345" t="s">
        <v>515</v>
      </c>
      <c r="C702" s="346">
        <v>289996</v>
      </c>
      <c r="D702" s="346">
        <v>0</v>
      </c>
      <c r="E702" s="346">
        <v>289996</v>
      </c>
    </row>
    <row r="703" spans="1:5" ht="15" x14ac:dyDescent="0.2">
      <c r="B703" s="348" t="s">
        <v>571</v>
      </c>
      <c r="C703" s="349">
        <v>289996</v>
      </c>
      <c r="D703" s="349">
        <v>0</v>
      </c>
      <c r="E703" s="349">
        <v>289996</v>
      </c>
    </row>
    <row r="705" spans="1:5" ht="15.75" customHeight="1" x14ac:dyDescent="0.2">
      <c r="A705" s="372" t="s">
        <v>624</v>
      </c>
      <c r="B705" s="374"/>
      <c r="C705" s="374"/>
      <c r="D705" s="374"/>
      <c r="E705" s="374"/>
    </row>
    <row r="706" spans="1:5" s="300" customFormat="1" ht="14.25" x14ac:dyDescent="0.2">
      <c r="B706" s="345" t="s">
        <v>515</v>
      </c>
      <c r="C706" s="346">
        <v>855917</v>
      </c>
      <c r="D706" s="346">
        <v>24173</v>
      </c>
      <c r="E706" s="346">
        <v>880090</v>
      </c>
    </row>
    <row r="707" spans="1:5" ht="15" x14ac:dyDescent="0.2">
      <c r="B707" s="348" t="s">
        <v>516</v>
      </c>
      <c r="C707" s="349">
        <v>8629</v>
      </c>
      <c r="D707" s="349">
        <v>1873</v>
      </c>
      <c r="E707" s="349">
        <v>10502</v>
      </c>
    </row>
    <row r="708" spans="1:5" ht="15" x14ac:dyDescent="0.2">
      <c r="B708" s="348" t="s">
        <v>571</v>
      </c>
      <c r="C708" s="349">
        <v>845036</v>
      </c>
      <c r="D708" s="349">
        <v>22157</v>
      </c>
      <c r="E708" s="349">
        <v>867193</v>
      </c>
    </row>
    <row r="709" spans="1:5" ht="30" x14ac:dyDescent="0.2">
      <c r="B709" s="348" t="s">
        <v>520</v>
      </c>
      <c r="C709" s="349">
        <v>2252</v>
      </c>
      <c r="D709" s="349">
        <v>143</v>
      </c>
      <c r="E709" s="349">
        <v>2395</v>
      </c>
    </row>
    <row r="711" spans="1:5" ht="15.75" customHeight="1" x14ac:dyDescent="0.2">
      <c r="A711" s="372" t="s">
        <v>625</v>
      </c>
      <c r="B711" s="374"/>
      <c r="C711" s="374"/>
      <c r="D711" s="374"/>
      <c r="E711" s="374"/>
    </row>
    <row r="712" spans="1:5" s="300" customFormat="1" ht="14.25" x14ac:dyDescent="0.2">
      <c r="B712" s="345" t="s">
        <v>515</v>
      </c>
      <c r="C712" s="346">
        <v>335040</v>
      </c>
      <c r="D712" s="346">
        <v>0</v>
      </c>
      <c r="E712" s="346">
        <v>335040</v>
      </c>
    </row>
    <row r="713" spans="1:5" ht="15" x14ac:dyDescent="0.2">
      <c r="B713" s="348" t="s">
        <v>571</v>
      </c>
      <c r="C713" s="349">
        <v>335040</v>
      </c>
      <c r="D713" s="349">
        <v>0</v>
      </c>
      <c r="E713" s="349">
        <v>335040</v>
      </c>
    </row>
    <row r="715" spans="1:5" ht="15.75" customHeight="1" x14ac:dyDescent="0.2">
      <c r="A715" s="372" t="s">
        <v>626</v>
      </c>
      <c r="B715" s="374"/>
      <c r="C715" s="374"/>
      <c r="D715" s="374"/>
      <c r="E715" s="374"/>
    </row>
    <row r="716" spans="1:5" s="300" customFormat="1" ht="14.25" x14ac:dyDescent="0.2">
      <c r="B716" s="345" t="s">
        <v>515</v>
      </c>
      <c r="C716" s="346">
        <v>9175</v>
      </c>
      <c r="D716" s="346">
        <v>0</v>
      </c>
      <c r="E716" s="346">
        <v>9175</v>
      </c>
    </row>
    <row r="717" spans="1:5" ht="15" x14ac:dyDescent="0.2">
      <c r="B717" s="348" t="s">
        <v>517</v>
      </c>
      <c r="C717" s="349">
        <v>1890</v>
      </c>
      <c r="D717" s="349">
        <v>0</v>
      </c>
      <c r="E717" s="349">
        <v>1890</v>
      </c>
    </row>
    <row r="718" spans="1:5" ht="15" x14ac:dyDescent="0.2">
      <c r="B718" s="348" t="s">
        <v>571</v>
      </c>
      <c r="C718" s="349">
        <v>7285</v>
      </c>
      <c r="D718" s="349">
        <v>0</v>
      </c>
      <c r="E718" s="349">
        <v>7285</v>
      </c>
    </row>
    <row r="720" spans="1:5" ht="31.5" customHeight="1" x14ac:dyDescent="0.2">
      <c r="A720" s="372" t="s">
        <v>627</v>
      </c>
      <c r="B720" s="374"/>
      <c r="C720" s="374"/>
      <c r="D720" s="374"/>
      <c r="E720" s="374"/>
    </row>
    <row r="721" spans="1:5" s="300" customFormat="1" ht="14.25" x14ac:dyDescent="0.2">
      <c r="B721" s="345" t="s">
        <v>515</v>
      </c>
      <c r="C721" s="346">
        <v>61399</v>
      </c>
      <c r="D721" s="346">
        <v>0</v>
      </c>
      <c r="E721" s="346">
        <v>61399</v>
      </c>
    </row>
    <row r="722" spans="1:5" ht="15" x14ac:dyDescent="0.2">
      <c r="B722" s="348" t="s">
        <v>571</v>
      </c>
      <c r="C722" s="349">
        <v>61399</v>
      </c>
      <c r="D722" s="349">
        <v>0</v>
      </c>
      <c r="E722" s="349">
        <v>61399</v>
      </c>
    </row>
    <row r="724" spans="1:5" ht="15.75" customHeight="1" x14ac:dyDescent="0.2">
      <c r="A724" s="372" t="s">
        <v>628</v>
      </c>
      <c r="B724" s="374"/>
      <c r="C724" s="374"/>
      <c r="D724" s="374"/>
      <c r="E724" s="374"/>
    </row>
    <row r="725" spans="1:5" s="300" customFormat="1" ht="14.25" x14ac:dyDescent="0.2">
      <c r="B725" s="345" t="s">
        <v>515</v>
      </c>
      <c r="C725" s="346">
        <v>92135</v>
      </c>
      <c r="D725" s="346">
        <v>0</v>
      </c>
      <c r="E725" s="346">
        <v>92135</v>
      </c>
    </row>
    <row r="726" spans="1:5" ht="15" x14ac:dyDescent="0.2">
      <c r="B726" s="348" t="s">
        <v>516</v>
      </c>
      <c r="C726" s="349">
        <v>51894</v>
      </c>
      <c r="D726" s="349">
        <v>0</v>
      </c>
      <c r="E726" s="349">
        <v>51894</v>
      </c>
    </row>
    <row r="727" spans="1:5" ht="15" x14ac:dyDescent="0.2">
      <c r="B727" s="348" t="s">
        <v>517</v>
      </c>
      <c r="C727" s="349">
        <v>40241</v>
      </c>
      <c r="D727" s="349">
        <v>0</v>
      </c>
      <c r="E727" s="349">
        <v>40241</v>
      </c>
    </row>
    <row r="729" spans="1:5" ht="15.75" customHeight="1" x14ac:dyDescent="0.2">
      <c r="A729" s="372" t="s">
        <v>629</v>
      </c>
      <c r="B729" s="374"/>
      <c r="C729" s="374"/>
      <c r="D729" s="374"/>
      <c r="E729" s="374"/>
    </row>
    <row r="730" spans="1:5" s="300" customFormat="1" ht="14.25" x14ac:dyDescent="0.2">
      <c r="B730" s="345" t="s">
        <v>515</v>
      </c>
      <c r="C730" s="346">
        <v>15673</v>
      </c>
      <c r="D730" s="346">
        <v>0</v>
      </c>
      <c r="E730" s="346">
        <v>15673</v>
      </c>
    </row>
    <row r="731" spans="1:5" ht="15" x14ac:dyDescent="0.2">
      <c r="B731" s="348" t="s">
        <v>516</v>
      </c>
      <c r="C731" s="349">
        <v>8280</v>
      </c>
      <c r="D731" s="349">
        <v>0</v>
      </c>
      <c r="E731" s="349">
        <v>8280</v>
      </c>
    </row>
    <row r="732" spans="1:5" ht="15" x14ac:dyDescent="0.2">
      <c r="B732" s="348" t="s">
        <v>517</v>
      </c>
      <c r="C732" s="349">
        <v>7393</v>
      </c>
      <c r="D732" s="349">
        <v>0</v>
      </c>
      <c r="E732" s="349">
        <v>7393</v>
      </c>
    </row>
    <row r="734" spans="1:5" ht="15.75" customHeight="1" x14ac:dyDescent="0.2">
      <c r="A734" s="372" t="s">
        <v>630</v>
      </c>
      <c r="B734" s="374"/>
      <c r="C734" s="374"/>
      <c r="D734" s="374"/>
      <c r="E734" s="374"/>
    </row>
    <row r="735" spans="1:5" s="300" customFormat="1" ht="14.25" x14ac:dyDescent="0.2">
      <c r="B735" s="345" t="s">
        <v>515</v>
      </c>
      <c r="C735" s="346">
        <v>233154</v>
      </c>
      <c r="D735" s="346">
        <v>-4000</v>
      </c>
      <c r="E735" s="346">
        <v>229154</v>
      </c>
    </row>
    <row r="736" spans="1:5" ht="15" x14ac:dyDescent="0.2">
      <c r="B736" s="348" t="s">
        <v>516</v>
      </c>
      <c r="C736" s="349">
        <v>179787</v>
      </c>
      <c r="D736" s="349">
        <v>0</v>
      </c>
      <c r="E736" s="349">
        <v>179787</v>
      </c>
    </row>
    <row r="737" spans="1:5" ht="15" x14ac:dyDescent="0.2">
      <c r="B737" s="348" t="s">
        <v>517</v>
      </c>
      <c r="C737" s="349">
        <v>53136</v>
      </c>
      <c r="D737" s="349">
        <v>-4000</v>
      </c>
      <c r="E737" s="349">
        <v>49136</v>
      </c>
    </row>
    <row r="738" spans="1:5" ht="15" x14ac:dyDescent="0.2">
      <c r="B738" s="348" t="s">
        <v>571</v>
      </c>
      <c r="C738" s="349">
        <v>231</v>
      </c>
      <c r="D738" s="349">
        <v>0</v>
      </c>
      <c r="E738" s="349">
        <v>231</v>
      </c>
    </row>
    <row r="740" spans="1:5" ht="15.75" customHeight="1" x14ac:dyDescent="0.2">
      <c r="A740" s="372" t="s">
        <v>631</v>
      </c>
      <c r="B740" s="374"/>
      <c r="C740" s="374"/>
      <c r="D740" s="374"/>
      <c r="E740" s="374"/>
    </row>
    <row r="741" spans="1:5" s="300" customFormat="1" ht="14.25" x14ac:dyDescent="0.2">
      <c r="B741" s="345" t="s">
        <v>515</v>
      </c>
      <c r="C741" s="346">
        <v>1127601</v>
      </c>
      <c r="D741" s="346">
        <v>0</v>
      </c>
      <c r="E741" s="346">
        <v>1127601</v>
      </c>
    </row>
    <row r="742" spans="1:5" ht="15" x14ac:dyDescent="0.2">
      <c r="B742" s="348" t="s">
        <v>516</v>
      </c>
      <c r="C742" s="349">
        <v>972505</v>
      </c>
      <c r="D742" s="349">
        <v>0</v>
      </c>
      <c r="E742" s="349">
        <v>972505</v>
      </c>
    </row>
    <row r="743" spans="1:5" ht="15" x14ac:dyDescent="0.2">
      <c r="B743" s="348" t="s">
        <v>517</v>
      </c>
      <c r="C743" s="349">
        <v>144918</v>
      </c>
      <c r="D743" s="349">
        <v>0</v>
      </c>
      <c r="E743" s="349">
        <v>144918</v>
      </c>
    </row>
    <row r="744" spans="1:5" ht="15" x14ac:dyDescent="0.2">
      <c r="B744" s="348" t="s">
        <v>518</v>
      </c>
      <c r="C744" s="349">
        <v>928</v>
      </c>
      <c r="D744" s="349">
        <v>0</v>
      </c>
      <c r="E744" s="349">
        <v>928</v>
      </c>
    </row>
    <row r="745" spans="1:5" ht="15" x14ac:dyDescent="0.2">
      <c r="B745" s="348" t="s">
        <v>519</v>
      </c>
      <c r="C745" s="349">
        <v>9150</v>
      </c>
      <c r="D745" s="349">
        <v>0</v>
      </c>
      <c r="E745" s="349">
        <v>9150</v>
      </c>
    </row>
    <row r="746" spans="1:5" ht="30" x14ac:dyDescent="0.2">
      <c r="B746" s="348" t="s">
        <v>520</v>
      </c>
      <c r="C746" s="349">
        <v>100</v>
      </c>
      <c r="D746" s="349">
        <v>0</v>
      </c>
      <c r="E746" s="349">
        <v>100</v>
      </c>
    </row>
    <row r="748" spans="1:5" ht="15.75" customHeight="1" x14ac:dyDescent="0.2">
      <c r="A748" s="372" t="s">
        <v>632</v>
      </c>
      <c r="B748" s="374"/>
      <c r="C748" s="374"/>
      <c r="D748" s="374"/>
      <c r="E748" s="374"/>
    </row>
    <row r="749" spans="1:5" s="300" customFormat="1" ht="14.25" x14ac:dyDescent="0.2">
      <c r="B749" s="345" t="s">
        <v>515</v>
      </c>
      <c r="C749" s="346">
        <v>75520</v>
      </c>
      <c r="D749" s="346">
        <v>10000</v>
      </c>
      <c r="E749" s="346">
        <v>85520</v>
      </c>
    </row>
    <row r="750" spans="1:5" ht="15" x14ac:dyDescent="0.2">
      <c r="B750" s="348" t="s">
        <v>517</v>
      </c>
      <c r="C750" s="349">
        <v>25320</v>
      </c>
      <c r="D750" s="349">
        <v>0</v>
      </c>
      <c r="E750" s="349">
        <v>25320</v>
      </c>
    </row>
    <row r="751" spans="1:5" ht="15" x14ac:dyDescent="0.2">
      <c r="B751" s="348" t="s">
        <v>571</v>
      </c>
      <c r="C751" s="349">
        <v>50200</v>
      </c>
      <c r="D751" s="349">
        <v>10000</v>
      </c>
      <c r="E751" s="349">
        <v>60200</v>
      </c>
    </row>
    <row r="752" spans="1:5" ht="23.25" customHeight="1" x14ac:dyDescent="0.2"/>
    <row r="753" spans="1:5" ht="31.5" customHeight="1" x14ac:dyDescent="0.2">
      <c r="A753" s="375" t="s">
        <v>835</v>
      </c>
      <c r="B753" s="376"/>
      <c r="C753" s="376"/>
      <c r="D753" s="376"/>
      <c r="E753" s="376"/>
    </row>
    <row r="754" spans="1:5" ht="15" x14ac:dyDescent="0.2">
      <c r="A754" s="336"/>
      <c r="B754" s="350" t="s">
        <v>515</v>
      </c>
      <c r="C754" s="351">
        <v>8907198</v>
      </c>
      <c r="D754" s="351">
        <v>-171</v>
      </c>
      <c r="E754" s="351">
        <v>8907027</v>
      </c>
    </row>
    <row r="755" spans="1:5" ht="15" x14ac:dyDescent="0.2">
      <c r="A755" s="336"/>
      <c r="B755" s="350" t="s">
        <v>633</v>
      </c>
      <c r="C755" s="351">
        <v>7830519</v>
      </c>
      <c r="D755" s="351">
        <v>0</v>
      </c>
      <c r="E755" s="351">
        <v>7830519</v>
      </c>
    </row>
    <row r="756" spans="1:5" ht="30" x14ac:dyDescent="0.2">
      <c r="A756" s="336"/>
      <c r="B756" s="350" t="s">
        <v>634</v>
      </c>
      <c r="C756" s="351">
        <v>851258</v>
      </c>
      <c r="D756" s="351">
        <v>0</v>
      </c>
      <c r="E756" s="351">
        <v>851258</v>
      </c>
    </row>
    <row r="757" spans="1:5" ht="15" x14ac:dyDescent="0.2">
      <c r="A757" s="336"/>
      <c r="B757" s="350" t="s">
        <v>635</v>
      </c>
      <c r="C757" s="351">
        <v>225421</v>
      </c>
      <c r="D757" s="351">
        <v>-171</v>
      </c>
      <c r="E757" s="351">
        <v>225250</v>
      </c>
    </row>
    <row r="759" spans="1:5" ht="15.75" customHeight="1" x14ac:dyDescent="0.2">
      <c r="A759" s="372" t="s">
        <v>636</v>
      </c>
      <c r="B759" s="374"/>
      <c r="C759" s="374"/>
      <c r="D759" s="374"/>
      <c r="E759" s="374"/>
    </row>
    <row r="760" spans="1:5" ht="15" x14ac:dyDescent="0.2">
      <c r="B760" s="348" t="s">
        <v>633</v>
      </c>
      <c r="C760" s="349">
        <v>7830519</v>
      </c>
      <c r="D760" s="349">
        <v>0</v>
      </c>
      <c r="E760" s="349">
        <v>7830519</v>
      </c>
    </row>
    <row r="762" spans="1:5" ht="15.75" customHeight="1" x14ac:dyDescent="0.2">
      <c r="A762" s="372" t="s">
        <v>637</v>
      </c>
      <c r="B762" s="374"/>
      <c r="C762" s="374"/>
      <c r="D762" s="374"/>
      <c r="E762" s="374"/>
    </row>
    <row r="763" spans="1:5" ht="15" x14ac:dyDescent="0.2">
      <c r="B763" s="348" t="s">
        <v>634</v>
      </c>
      <c r="C763" s="349">
        <v>851258</v>
      </c>
      <c r="D763" s="349">
        <v>0</v>
      </c>
      <c r="E763" s="349">
        <v>851258</v>
      </c>
    </row>
    <row r="764" spans="1:5" ht="30" customHeight="1" x14ac:dyDescent="0.2"/>
    <row r="765" spans="1:5" ht="15.75" customHeight="1" x14ac:dyDescent="0.2">
      <c r="A765" s="372" t="s">
        <v>638</v>
      </c>
      <c r="B765" s="373"/>
      <c r="C765" s="373"/>
      <c r="D765" s="373"/>
      <c r="E765" s="373"/>
    </row>
    <row r="766" spans="1:5" ht="14.25" x14ac:dyDescent="0.2">
      <c r="A766" s="300"/>
      <c r="B766" s="345" t="s">
        <v>515</v>
      </c>
      <c r="C766" s="346">
        <v>110262317</v>
      </c>
      <c r="D766" s="346">
        <v>11304</v>
      </c>
      <c r="E766" s="346">
        <v>110273621</v>
      </c>
    </row>
    <row r="767" spans="1:5" ht="14.25" x14ac:dyDescent="0.2">
      <c r="A767" s="300"/>
      <c r="B767" s="345" t="s">
        <v>516</v>
      </c>
      <c r="C767" s="346">
        <v>36851912</v>
      </c>
      <c r="D767" s="346">
        <v>31104</v>
      </c>
      <c r="E767" s="346">
        <v>36883016</v>
      </c>
    </row>
    <row r="768" spans="1:5" ht="14.25" x14ac:dyDescent="0.2">
      <c r="A768" s="300"/>
      <c r="B768" s="345" t="s">
        <v>517</v>
      </c>
      <c r="C768" s="346">
        <v>17501570</v>
      </c>
      <c r="D768" s="346">
        <v>-63097</v>
      </c>
      <c r="E768" s="346">
        <v>17438473</v>
      </c>
    </row>
    <row r="769" spans="1:5" ht="14.25" x14ac:dyDescent="0.2">
      <c r="A769" s="300"/>
      <c r="B769" s="345" t="s">
        <v>518</v>
      </c>
      <c r="C769" s="346">
        <v>7683875</v>
      </c>
      <c r="D769" s="346">
        <v>-7384</v>
      </c>
      <c r="E769" s="346">
        <v>7676491</v>
      </c>
    </row>
    <row r="770" spans="1:5" ht="14.25" x14ac:dyDescent="0.2">
      <c r="A770" s="300"/>
      <c r="B770" s="345" t="s">
        <v>795</v>
      </c>
      <c r="C770" s="346">
        <v>50600</v>
      </c>
      <c r="D770" s="346">
        <v>0</v>
      </c>
      <c r="E770" s="346">
        <v>50600</v>
      </c>
    </row>
    <row r="771" spans="1:5" ht="14.25" x14ac:dyDescent="0.2">
      <c r="A771" s="300"/>
      <c r="B771" s="345" t="s">
        <v>519</v>
      </c>
      <c r="C771" s="346">
        <v>33223138</v>
      </c>
      <c r="D771" s="346">
        <v>41235</v>
      </c>
      <c r="E771" s="346">
        <v>33264373</v>
      </c>
    </row>
    <row r="772" spans="1:5" ht="14.25" x14ac:dyDescent="0.2">
      <c r="A772" s="300"/>
      <c r="B772" s="345" t="s">
        <v>571</v>
      </c>
      <c r="C772" s="346">
        <v>2857226</v>
      </c>
      <c r="D772" s="346">
        <v>37616</v>
      </c>
      <c r="E772" s="346">
        <v>2894842</v>
      </c>
    </row>
    <row r="773" spans="1:5" ht="28.5" x14ac:dyDescent="0.2">
      <c r="A773" s="300"/>
      <c r="B773" s="345" t="s">
        <v>520</v>
      </c>
      <c r="C773" s="346">
        <v>3186798</v>
      </c>
      <c r="D773" s="346">
        <v>-28064</v>
      </c>
      <c r="E773" s="346">
        <v>3158734</v>
      </c>
    </row>
    <row r="774" spans="1:5" ht="28.5" x14ac:dyDescent="0.2">
      <c r="A774" s="300"/>
      <c r="B774" s="345" t="s">
        <v>876</v>
      </c>
      <c r="C774" s="346">
        <v>0</v>
      </c>
      <c r="D774" s="346">
        <v>65</v>
      </c>
      <c r="E774" s="346">
        <v>65</v>
      </c>
    </row>
    <row r="775" spans="1:5" ht="14.25" x14ac:dyDescent="0.2">
      <c r="A775" s="300"/>
      <c r="B775" s="345" t="s">
        <v>633</v>
      </c>
      <c r="C775" s="346">
        <v>7830519</v>
      </c>
      <c r="D775" s="346">
        <v>0</v>
      </c>
      <c r="E775" s="346">
        <v>7830519</v>
      </c>
    </row>
    <row r="776" spans="1:5" ht="28.5" x14ac:dyDescent="0.2">
      <c r="A776" s="300"/>
      <c r="B776" s="345" t="s">
        <v>634</v>
      </c>
      <c r="C776" s="346">
        <v>851258</v>
      </c>
      <c r="D776" s="346">
        <v>0</v>
      </c>
      <c r="E776" s="346">
        <v>851258</v>
      </c>
    </row>
    <row r="777" spans="1:5" ht="14.25" x14ac:dyDescent="0.2">
      <c r="A777" s="300"/>
      <c r="B777" s="345" t="s">
        <v>635</v>
      </c>
      <c r="C777" s="346">
        <v>225421</v>
      </c>
      <c r="D777" s="346">
        <v>-171</v>
      </c>
      <c r="E777" s="346">
        <v>225250</v>
      </c>
    </row>
    <row r="778" spans="1:5" x14ac:dyDescent="0.2">
      <c r="E778" s="347"/>
    </row>
    <row r="782" spans="1:5" ht="18.75" x14ac:dyDescent="0.2">
      <c r="A782" s="15" t="s">
        <v>102</v>
      </c>
      <c r="B782" s="16"/>
      <c r="C782" s="15"/>
      <c r="D782" s="15"/>
      <c r="E782" s="15" t="s">
        <v>103</v>
      </c>
    </row>
    <row r="783" spans="1:5" x14ac:dyDescent="0.2">
      <c r="C783" s="339"/>
      <c r="D783" s="339"/>
      <c r="E783" s="339"/>
    </row>
  </sheetData>
  <mergeCells count="145">
    <mergeCell ref="C3:E3"/>
    <mergeCell ref="C4:E4"/>
    <mergeCell ref="A6:E6"/>
    <mergeCell ref="A7:B7"/>
    <mergeCell ref="A52:E52"/>
    <mergeCell ref="A48:E48"/>
    <mergeCell ref="A42:E42"/>
    <mergeCell ref="A37:E37"/>
    <mergeCell ref="A33:E33"/>
    <mergeCell ref="A28:E28"/>
    <mergeCell ref="A23:E23"/>
    <mergeCell ref="A17:E17"/>
    <mergeCell ref="A8:E8"/>
    <mergeCell ref="A95:E95"/>
    <mergeCell ref="A90:E90"/>
    <mergeCell ref="A85:E85"/>
    <mergeCell ref="A77:E77"/>
    <mergeCell ref="A72:E72"/>
    <mergeCell ref="A68:E68"/>
    <mergeCell ref="A64:E64"/>
    <mergeCell ref="A60:E60"/>
    <mergeCell ref="A56:E56"/>
    <mergeCell ref="A144:E144"/>
    <mergeCell ref="A140:E140"/>
    <mergeCell ref="A132:E132"/>
    <mergeCell ref="A127:E127"/>
    <mergeCell ref="A121:E121"/>
    <mergeCell ref="A117:E117"/>
    <mergeCell ref="A112:E112"/>
    <mergeCell ref="A105:E105"/>
    <mergeCell ref="A99:E99"/>
    <mergeCell ref="A184:E184"/>
    <mergeCell ref="A179:E179"/>
    <mergeCell ref="A175:E175"/>
    <mergeCell ref="A170:E170"/>
    <mergeCell ref="A166:E166"/>
    <mergeCell ref="A162:E162"/>
    <mergeCell ref="A157:E157"/>
    <mergeCell ref="A153:E153"/>
    <mergeCell ref="A148:E148"/>
    <mergeCell ref="A226:E226"/>
    <mergeCell ref="A222:E222"/>
    <mergeCell ref="A218:E218"/>
    <mergeCell ref="A214:E214"/>
    <mergeCell ref="A210:E210"/>
    <mergeCell ref="A205:E205"/>
    <mergeCell ref="A201:E201"/>
    <mergeCell ref="A194:E194"/>
    <mergeCell ref="A190:E190"/>
    <mergeCell ref="A263:E263"/>
    <mergeCell ref="A259:E259"/>
    <mergeCell ref="A255:E255"/>
    <mergeCell ref="A251:E251"/>
    <mergeCell ref="A247:E247"/>
    <mergeCell ref="A243:E243"/>
    <mergeCell ref="A239:E239"/>
    <mergeCell ref="A235:E235"/>
    <mergeCell ref="A230:E230"/>
    <mergeCell ref="A314:E314"/>
    <mergeCell ref="A310:E310"/>
    <mergeCell ref="A305:E305"/>
    <mergeCell ref="A299:E299"/>
    <mergeCell ref="A293:E293"/>
    <mergeCell ref="A286:E286"/>
    <mergeCell ref="A279:E279"/>
    <mergeCell ref="A273:E273"/>
    <mergeCell ref="A267:E267"/>
    <mergeCell ref="A363:E363"/>
    <mergeCell ref="A358:E358"/>
    <mergeCell ref="A353:E353"/>
    <mergeCell ref="A348:E348"/>
    <mergeCell ref="A344:E344"/>
    <mergeCell ref="A340:E340"/>
    <mergeCell ref="A334:E334"/>
    <mergeCell ref="A326:E326"/>
    <mergeCell ref="A320:E320"/>
    <mergeCell ref="A418:E418"/>
    <mergeCell ref="A411:E411"/>
    <mergeCell ref="A405:E405"/>
    <mergeCell ref="A398:E398"/>
    <mergeCell ref="A392:E392"/>
    <mergeCell ref="A385:E385"/>
    <mergeCell ref="A379:E379"/>
    <mergeCell ref="A373:E373"/>
    <mergeCell ref="A367:E367"/>
    <mergeCell ref="A474:E474"/>
    <mergeCell ref="A469:E469"/>
    <mergeCell ref="A462:E462"/>
    <mergeCell ref="A456:E456"/>
    <mergeCell ref="A447:E447"/>
    <mergeCell ref="A440:E440"/>
    <mergeCell ref="A433:E433"/>
    <mergeCell ref="A429:E429"/>
    <mergeCell ref="A424:E424"/>
    <mergeCell ref="A538:E538"/>
    <mergeCell ref="A533:E533"/>
    <mergeCell ref="A523:E523"/>
    <mergeCell ref="A515:E515"/>
    <mergeCell ref="A508:E508"/>
    <mergeCell ref="A500:E500"/>
    <mergeCell ref="A492:E492"/>
    <mergeCell ref="A485:E485"/>
    <mergeCell ref="A480:E480"/>
    <mergeCell ref="A601:E601"/>
    <mergeCell ref="A594:E594"/>
    <mergeCell ref="A588:E588"/>
    <mergeCell ref="A581:E581"/>
    <mergeCell ref="A574:E574"/>
    <mergeCell ref="A567:E567"/>
    <mergeCell ref="A560:E560"/>
    <mergeCell ref="A554:E554"/>
    <mergeCell ref="A545:E545"/>
    <mergeCell ref="A648:E648"/>
    <mergeCell ref="A644:E644"/>
    <mergeCell ref="A640:E640"/>
    <mergeCell ref="A631:E631"/>
    <mergeCell ref="A626:E626"/>
    <mergeCell ref="A621:E621"/>
    <mergeCell ref="A617:E617"/>
    <mergeCell ref="A613:E613"/>
    <mergeCell ref="A608:E608"/>
    <mergeCell ref="A1:B1"/>
    <mergeCell ref="A765:E765"/>
    <mergeCell ref="A762:E762"/>
    <mergeCell ref="A759:E759"/>
    <mergeCell ref="A753:E753"/>
    <mergeCell ref="A748:E748"/>
    <mergeCell ref="A740:E740"/>
    <mergeCell ref="A734:E734"/>
    <mergeCell ref="A729:E729"/>
    <mergeCell ref="A724:E724"/>
    <mergeCell ref="A720:E720"/>
    <mergeCell ref="A715:E715"/>
    <mergeCell ref="A711:E711"/>
    <mergeCell ref="A705:E705"/>
    <mergeCell ref="A701:E701"/>
    <mergeCell ref="A695:E695"/>
    <mergeCell ref="A688:E688"/>
    <mergeCell ref="A682:E682"/>
    <mergeCell ref="A677:E677"/>
    <mergeCell ref="A672:E672"/>
    <mergeCell ref="A667:E667"/>
    <mergeCell ref="A661:E661"/>
    <mergeCell ref="A656:E656"/>
    <mergeCell ref="A652:E652"/>
  </mergeCells>
  <pageMargins left="0.78740157480314965" right="0.78740157480314965" top="0.78740157480314965" bottom="0.39370078740157483" header="0.19685039370078741" footer="0.19685039370078741"/>
  <pageSetup paperSize="9" scale="79" fitToHeight="0" pageOrder="overThenDown" orientation="portrait" r:id="rId1"/>
  <headerFooter>
    <oddFooter>&amp;R&amp;P</oddFooter>
  </headerFooter>
  <rowBreaks count="5" manualBreakCount="5">
    <brk id="55" max="16383" man="1"/>
    <brk id="165" max="16383" man="1"/>
    <brk id="285" max="16383" man="1"/>
    <brk id="339" max="16383" man="1"/>
    <brk id="7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3"/>
  <sheetViews>
    <sheetView tabSelected="1" zoomScale="90" zoomScaleNormal="90" workbookViewId="0">
      <pane xSplit="7" ySplit="6" topLeftCell="H34" activePane="bottomRight" state="frozen"/>
      <selection pane="topRight" activeCell="H1" sqref="H1"/>
      <selection pane="bottomLeft" activeCell="A7" sqref="A7"/>
      <selection pane="bottomRight" activeCell="M2" sqref="M2"/>
    </sheetView>
  </sheetViews>
  <sheetFormatPr defaultRowHeight="12.75" x14ac:dyDescent="0.2"/>
  <cols>
    <col min="1" max="1" width="3.28515625" style="179" customWidth="1"/>
    <col min="2" max="2" width="10.140625" style="184" customWidth="1"/>
    <col min="3" max="3" width="42.140625" style="185" customWidth="1"/>
    <col min="4" max="4" width="4.140625" style="185" customWidth="1"/>
    <col min="5" max="5" width="12.7109375" style="185" customWidth="1"/>
    <col min="6" max="6" width="10.42578125" style="179" customWidth="1"/>
    <col min="7" max="7" width="11" style="179" customWidth="1"/>
    <col min="8" max="11" width="11.140625" style="179" customWidth="1"/>
    <col min="12" max="13" width="10.85546875" style="179" customWidth="1"/>
    <col min="14" max="14" width="11" style="179" customWidth="1"/>
    <col min="15" max="15" width="12.28515625" style="179" customWidth="1"/>
    <col min="16" max="19" width="11.140625" style="179" customWidth="1"/>
    <col min="20" max="23" width="11.7109375" style="179" customWidth="1"/>
    <col min="24" max="24" width="13.140625" style="179" customWidth="1"/>
    <col min="25" max="16384" width="9.140625" style="179"/>
  </cols>
  <sheetData>
    <row r="1" spans="1:24" x14ac:dyDescent="0.2">
      <c r="B1" s="180"/>
      <c r="C1" s="181"/>
      <c r="D1" s="181"/>
      <c r="E1" s="181"/>
      <c r="F1" s="182"/>
      <c r="G1" s="182"/>
      <c r="H1" s="183"/>
      <c r="K1" s="121" t="s">
        <v>640</v>
      </c>
    </row>
    <row r="2" spans="1:24" ht="15" x14ac:dyDescent="0.25">
      <c r="B2" s="180"/>
      <c r="C2" s="181"/>
      <c r="D2" s="181"/>
      <c r="E2" s="181"/>
      <c r="F2" s="182"/>
      <c r="G2" s="182"/>
      <c r="H2" s="183"/>
      <c r="K2" s="122" t="s">
        <v>883</v>
      </c>
    </row>
    <row r="3" spans="1:24" ht="15" x14ac:dyDescent="0.25">
      <c r="K3" s="122" t="s">
        <v>884</v>
      </c>
    </row>
    <row r="4" spans="1:24" ht="18" customHeight="1" x14ac:dyDescent="0.25">
      <c r="A4" s="404" t="s">
        <v>766</v>
      </c>
      <c r="B4" s="404"/>
      <c r="C4" s="404"/>
      <c r="D4" s="404"/>
      <c r="E4" s="404"/>
      <c r="F4" s="404"/>
      <c r="G4" s="404"/>
      <c r="H4" s="404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</row>
    <row r="5" spans="1:24" s="185" customFormat="1" ht="12.75" customHeight="1" x14ac:dyDescent="0.25">
      <c r="A5" s="405" t="s">
        <v>641</v>
      </c>
      <c r="B5" s="407" t="s">
        <v>642</v>
      </c>
      <c r="C5" s="409" t="s">
        <v>643</v>
      </c>
      <c r="D5" s="187"/>
      <c r="E5" s="187" t="s">
        <v>644</v>
      </c>
      <c r="F5" s="187" t="s">
        <v>645</v>
      </c>
      <c r="G5" s="187" t="s">
        <v>646</v>
      </c>
      <c r="H5" s="188"/>
      <c r="I5" s="188"/>
      <c r="J5" s="188"/>
      <c r="K5" s="188"/>
      <c r="L5" s="188"/>
      <c r="M5" s="188"/>
      <c r="N5" s="188"/>
      <c r="O5" s="188"/>
      <c r="P5" s="188"/>
      <c r="Q5" s="189"/>
      <c r="R5" s="189"/>
      <c r="S5" s="189"/>
      <c r="T5" s="189"/>
      <c r="U5" s="189"/>
      <c r="V5" s="189"/>
      <c r="W5" s="189"/>
      <c r="X5" s="190" t="s">
        <v>647</v>
      </c>
    </row>
    <row r="6" spans="1:24" s="185" customFormat="1" x14ac:dyDescent="0.25">
      <c r="A6" s="406"/>
      <c r="B6" s="408"/>
      <c r="C6" s="410"/>
      <c r="D6" s="191"/>
      <c r="E6" s="191" t="s">
        <v>648</v>
      </c>
      <c r="F6" s="191" t="s">
        <v>649</v>
      </c>
      <c r="G6" s="191" t="s">
        <v>10</v>
      </c>
      <c r="H6" s="191">
        <v>2020</v>
      </c>
      <c r="I6" s="191">
        <f t="shared" ref="I6:V6" si="0">SUM(H6+1)</f>
        <v>2021</v>
      </c>
      <c r="J6" s="191">
        <f t="shared" si="0"/>
        <v>2022</v>
      </c>
      <c r="K6" s="191">
        <f t="shared" si="0"/>
        <v>2023</v>
      </c>
      <c r="L6" s="191">
        <f t="shared" si="0"/>
        <v>2024</v>
      </c>
      <c r="M6" s="191">
        <f t="shared" si="0"/>
        <v>2025</v>
      </c>
      <c r="N6" s="191">
        <f t="shared" si="0"/>
        <v>2026</v>
      </c>
      <c r="O6" s="191">
        <f t="shared" si="0"/>
        <v>2027</v>
      </c>
      <c r="P6" s="191">
        <f t="shared" si="0"/>
        <v>2028</v>
      </c>
      <c r="Q6" s="191">
        <f t="shared" si="0"/>
        <v>2029</v>
      </c>
      <c r="R6" s="191">
        <f t="shared" si="0"/>
        <v>2030</v>
      </c>
      <c r="S6" s="191">
        <f t="shared" si="0"/>
        <v>2031</v>
      </c>
      <c r="T6" s="191">
        <f t="shared" si="0"/>
        <v>2032</v>
      </c>
      <c r="U6" s="191">
        <f t="shared" si="0"/>
        <v>2033</v>
      </c>
      <c r="V6" s="191">
        <f t="shared" si="0"/>
        <v>2034</v>
      </c>
      <c r="W6" s="192" t="s">
        <v>813</v>
      </c>
      <c r="X6" s="193" t="s">
        <v>650</v>
      </c>
    </row>
    <row r="7" spans="1:24" s="184" customFormat="1" ht="12.75" customHeight="1" x14ac:dyDescent="0.2">
      <c r="A7" s="411">
        <v>1</v>
      </c>
      <c r="B7" s="301" t="s">
        <v>651</v>
      </c>
      <c r="C7" s="413" t="s">
        <v>652</v>
      </c>
      <c r="D7" s="413">
        <v>648</v>
      </c>
      <c r="E7" s="415">
        <v>45201391.5</v>
      </c>
      <c r="F7" s="417" t="s">
        <v>653</v>
      </c>
      <c r="G7" s="304" t="s">
        <v>654</v>
      </c>
      <c r="H7" s="280">
        <v>5489516</v>
      </c>
      <c r="I7" s="280">
        <v>5307920</v>
      </c>
      <c r="J7" s="280">
        <v>4563372</v>
      </c>
      <c r="K7" s="280">
        <v>4178496</v>
      </c>
      <c r="L7" s="280">
        <v>3888532</v>
      </c>
      <c r="M7" s="280">
        <v>3795232</v>
      </c>
      <c r="N7" s="280">
        <v>3470364</v>
      </c>
      <c r="O7" s="280">
        <v>1653540</v>
      </c>
      <c r="P7" s="280">
        <v>1134524</v>
      </c>
      <c r="Q7" s="280">
        <v>936532</v>
      </c>
      <c r="R7" s="280">
        <v>747604</v>
      </c>
      <c r="S7" s="280">
        <v>747604</v>
      </c>
      <c r="T7" s="280">
        <v>747604</v>
      </c>
      <c r="U7" s="280">
        <v>725552</v>
      </c>
      <c r="V7" s="281">
        <v>269152</v>
      </c>
      <c r="W7" s="281">
        <v>0</v>
      </c>
      <c r="X7" s="123">
        <f t="shared" ref="X7:X38" si="1">SUM(H7:W7)</f>
        <v>37655544</v>
      </c>
    </row>
    <row r="8" spans="1:24" s="184" customFormat="1" x14ac:dyDescent="0.2">
      <c r="A8" s="412"/>
      <c r="B8" s="124" t="s">
        <v>655</v>
      </c>
      <c r="C8" s="414"/>
      <c r="D8" s="414"/>
      <c r="E8" s="416"/>
      <c r="F8" s="418"/>
      <c r="G8" s="125">
        <v>2.5000000000000001E-3</v>
      </c>
      <c r="H8" s="278">
        <v>93055.4</v>
      </c>
      <c r="I8" s="283">
        <v>87120</v>
      </c>
      <c r="J8" s="283">
        <v>79680</v>
      </c>
      <c r="K8" s="283">
        <v>65920</v>
      </c>
      <c r="L8" s="283">
        <v>53485</v>
      </c>
      <c r="M8" s="283">
        <v>41515</v>
      </c>
      <c r="N8" s="283">
        <v>30165</v>
      </c>
      <c r="O8" s="283">
        <v>20710</v>
      </c>
      <c r="P8" s="283">
        <v>15750</v>
      </c>
      <c r="Q8" s="283">
        <v>12295</v>
      </c>
      <c r="R8" s="283">
        <v>9530</v>
      </c>
      <c r="S8" s="283">
        <v>7225</v>
      </c>
      <c r="T8" s="283">
        <v>4965</v>
      </c>
      <c r="U8" s="283">
        <v>2690</v>
      </c>
      <c r="V8" s="284">
        <f>770</f>
        <v>770</v>
      </c>
      <c r="W8" s="284">
        <f>50-5</f>
        <v>45</v>
      </c>
      <c r="X8" s="126">
        <f t="shared" si="1"/>
        <v>524920.4</v>
      </c>
    </row>
    <row r="9" spans="1:24" s="184" customFormat="1" ht="12.75" customHeight="1" x14ac:dyDescent="0.2">
      <c r="A9" s="419">
        <v>2</v>
      </c>
      <c r="B9" s="127" t="s">
        <v>651</v>
      </c>
      <c r="C9" s="421" t="s">
        <v>656</v>
      </c>
      <c r="D9" s="423">
        <v>628</v>
      </c>
      <c r="E9" s="425">
        <v>119421</v>
      </c>
      <c r="F9" s="427" t="s">
        <v>657</v>
      </c>
      <c r="G9" s="305" t="s">
        <v>654</v>
      </c>
      <c r="H9" s="306">
        <v>6728</v>
      </c>
      <c r="I9" s="306">
        <v>6728</v>
      </c>
      <c r="J9" s="306">
        <v>6728</v>
      </c>
      <c r="K9" s="306">
        <v>6728</v>
      </c>
      <c r="L9" s="306">
        <v>6728</v>
      </c>
      <c r="M9" s="306">
        <v>6728</v>
      </c>
      <c r="N9" s="306">
        <v>6728</v>
      </c>
      <c r="O9" s="128">
        <v>6728</v>
      </c>
      <c r="P9" s="306">
        <v>6728</v>
      </c>
      <c r="Q9" s="306">
        <v>6728</v>
      </c>
      <c r="R9" s="306">
        <v>6728</v>
      </c>
      <c r="S9" s="306">
        <v>6728</v>
      </c>
      <c r="T9" s="306">
        <v>6728</v>
      </c>
      <c r="U9" s="307">
        <v>6728</v>
      </c>
      <c r="V9" s="307">
        <v>6728</v>
      </c>
      <c r="W9" s="307">
        <v>1682</v>
      </c>
      <c r="X9" s="123">
        <f t="shared" si="1"/>
        <v>102602</v>
      </c>
    </row>
    <row r="10" spans="1:24" s="184" customFormat="1" x14ac:dyDescent="0.2">
      <c r="A10" s="420"/>
      <c r="B10" s="129" t="s">
        <v>658</v>
      </c>
      <c r="C10" s="422"/>
      <c r="D10" s="424"/>
      <c r="E10" s="426"/>
      <c r="F10" s="424"/>
      <c r="G10" s="125">
        <v>2.5000000000000001E-3</v>
      </c>
      <c r="H10" s="308">
        <v>257.68</v>
      </c>
      <c r="I10" s="286">
        <v>280</v>
      </c>
      <c r="J10" s="286">
        <v>270</v>
      </c>
      <c r="K10" s="286">
        <v>250</v>
      </c>
      <c r="L10" s="286">
        <v>230</v>
      </c>
      <c r="M10" s="286">
        <v>210</v>
      </c>
      <c r="N10" s="286">
        <v>190</v>
      </c>
      <c r="O10" s="130">
        <v>170</v>
      </c>
      <c r="P10" s="286">
        <v>150</v>
      </c>
      <c r="Q10" s="286">
        <v>125</v>
      </c>
      <c r="R10" s="286">
        <v>105</v>
      </c>
      <c r="S10" s="286">
        <v>85</v>
      </c>
      <c r="T10" s="286">
        <v>65</v>
      </c>
      <c r="U10" s="309">
        <v>45</v>
      </c>
      <c r="V10" s="309">
        <v>25</v>
      </c>
      <c r="W10" s="309">
        <v>5</v>
      </c>
      <c r="X10" s="126">
        <f t="shared" si="1"/>
        <v>2462.6800000000003</v>
      </c>
    </row>
    <row r="11" spans="1:24" s="184" customFormat="1" ht="12.75" customHeight="1" x14ac:dyDescent="0.2">
      <c r="A11" s="390">
        <v>3</v>
      </c>
      <c r="B11" s="302" t="s">
        <v>651</v>
      </c>
      <c r="C11" s="428" t="s">
        <v>659</v>
      </c>
      <c r="D11" s="396">
        <v>629</v>
      </c>
      <c r="E11" s="394">
        <v>463710</v>
      </c>
      <c r="F11" s="396" t="s">
        <v>660</v>
      </c>
      <c r="G11" s="310" t="s">
        <v>654</v>
      </c>
      <c r="H11" s="311">
        <v>25412</v>
      </c>
      <c r="I11" s="311">
        <v>25412</v>
      </c>
      <c r="J11" s="311">
        <v>25412</v>
      </c>
      <c r="K11" s="311">
        <v>25412</v>
      </c>
      <c r="L11" s="311">
        <v>25412</v>
      </c>
      <c r="M11" s="311">
        <v>25412</v>
      </c>
      <c r="N11" s="311">
        <v>25412</v>
      </c>
      <c r="O11" s="131">
        <v>25412</v>
      </c>
      <c r="P11" s="311">
        <v>25412</v>
      </c>
      <c r="Q11" s="311">
        <v>25412</v>
      </c>
      <c r="R11" s="311">
        <v>25412</v>
      </c>
      <c r="S11" s="311">
        <v>25412</v>
      </c>
      <c r="T11" s="311">
        <v>25412</v>
      </c>
      <c r="U11" s="312">
        <v>25412</v>
      </c>
      <c r="V11" s="312">
        <v>25412</v>
      </c>
      <c r="W11" s="312">
        <v>6353</v>
      </c>
      <c r="X11" s="123">
        <f t="shared" si="1"/>
        <v>387533</v>
      </c>
    </row>
    <row r="12" spans="1:24" s="184" customFormat="1" x14ac:dyDescent="0.2">
      <c r="A12" s="391"/>
      <c r="B12" s="303" t="s">
        <v>661</v>
      </c>
      <c r="C12" s="429"/>
      <c r="D12" s="397"/>
      <c r="E12" s="395"/>
      <c r="F12" s="397"/>
      <c r="G12" s="125">
        <v>2.5000000000000001E-3</v>
      </c>
      <c r="H12" s="313">
        <v>973.25</v>
      </c>
      <c r="I12" s="287">
        <v>1045</v>
      </c>
      <c r="J12" s="287">
        <v>1015</v>
      </c>
      <c r="K12" s="287">
        <v>935</v>
      </c>
      <c r="L12" s="287">
        <v>865</v>
      </c>
      <c r="M12" s="287">
        <v>785</v>
      </c>
      <c r="N12" s="287">
        <v>705</v>
      </c>
      <c r="O12" s="132">
        <v>630</v>
      </c>
      <c r="P12" s="287">
        <v>555</v>
      </c>
      <c r="Q12" s="287">
        <v>475</v>
      </c>
      <c r="R12" s="287">
        <v>395</v>
      </c>
      <c r="S12" s="287">
        <v>320</v>
      </c>
      <c r="T12" s="287">
        <v>240</v>
      </c>
      <c r="U12" s="314">
        <v>165</v>
      </c>
      <c r="V12" s="314">
        <v>85</v>
      </c>
      <c r="W12" s="314">
        <v>15</v>
      </c>
      <c r="X12" s="126">
        <f t="shared" si="1"/>
        <v>9203.25</v>
      </c>
    </row>
    <row r="13" spans="1:24" s="194" customFormat="1" ht="12.75" customHeight="1" x14ac:dyDescent="0.2">
      <c r="A13" s="419">
        <v>4</v>
      </c>
      <c r="B13" s="127" t="s">
        <v>651</v>
      </c>
      <c r="C13" s="421" t="s">
        <v>662</v>
      </c>
      <c r="D13" s="421">
        <v>630</v>
      </c>
      <c r="E13" s="425">
        <v>162998</v>
      </c>
      <c r="F13" s="423" t="s">
        <v>663</v>
      </c>
      <c r="G13" s="305" t="s">
        <v>654</v>
      </c>
      <c r="H13" s="133">
        <v>6950.39</v>
      </c>
      <c r="I13" s="134">
        <v>6976</v>
      </c>
      <c r="J13" s="134">
        <v>6976</v>
      </c>
      <c r="K13" s="134">
        <v>6976</v>
      </c>
      <c r="L13" s="134">
        <v>6976</v>
      </c>
      <c r="M13" s="134">
        <v>6976</v>
      </c>
      <c r="N13" s="134">
        <v>6976</v>
      </c>
      <c r="O13" s="134">
        <v>6976</v>
      </c>
      <c r="P13" s="134">
        <v>6976</v>
      </c>
      <c r="Q13" s="134">
        <v>6976</v>
      </c>
      <c r="R13" s="134">
        <v>6976</v>
      </c>
      <c r="S13" s="134">
        <v>6976</v>
      </c>
      <c r="T13" s="134">
        <v>6976</v>
      </c>
      <c r="U13" s="134">
        <v>6976</v>
      </c>
      <c r="V13" s="134">
        <v>6976</v>
      </c>
      <c r="W13" s="134">
        <v>3488</v>
      </c>
      <c r="X13" s="123">
        <f t="shared" si="1"/>
        <v>108102.39</v>
      </c>
    </row>
    <row r="14" spans="1:24" s="184" customFormat="1" x14ac:dyDescent="0.2">
      <c r="A14" s="420"/>
      <c r="B14" s="129" t="s">
        <v>664</v>
      </c>
      <c r="C14" s="422"/>
      <c r="D14" s="422"/>
      <c r="E14" s="426"/>
      <c r="F14" s="424"/>
      <c r="G14" s="125">
        <v>2.5000000000000001E-3</v>
      </c>
      <c r="H14" s="308">
        <v>270.79000000000002</v>
      </c>
      <c r="I14" s="135">
        <v>280</v>
      </c>
      <c r="J14" s="135">
        <v>285</v>
      </c>
      <c r="K14" s="135">
        <v>265</v>
      </c>
      <c r="L14" s="135">
        <v>245</v>
      </c>
      <c r="M14" s="135">
        <v>220</v>
      </c>
      <c r="N14" s="135">
        <v>200</v>
      </c>
      <c r="O14" s="135">
        <v>180</v>
      </c>
      <c r="P14" s="135">
        <v>160</v>
      </c>
      <c r="Q14" s="135">
        <v>135</v>
      </c>
      <c r="R14" s="135">
        <v>115</v>
      </c>
      <c r="S14" s="135">
        <v>95</v>
      </c>
      <c r="T14" s="135">
        <v>75</v>
      </c>
      <c r="U14" s="136">
        <v>50</v>
      </c>
      <c r="V14" s="136">
        <v>30</v>
      </c>
      <c r="W14" s="136">
        <v>10</v>
      </c>
      <c r="X14" s="126">
        <f t="shared" si="1"/>
        <v>2615.79</v>
      </c>
    </row>
    <row r="15" spans="1:24" s="184" customFormat="1" ht="12.75" customHeight="1" x14ac:dyDescent="0.2">
      <c r="A15" s="390">
        <v>5</v>
      </c>
      <c r="B15" s="302" t="s">
        <v>665</v>
      </c>
      <c r="C15" s="428" t="s">
        <v>666</v>
      </c>
      <c r="D15" s="428">
        <v>631</v>
      </c>
      <c r="E15" s="394">
        <f>89504-0.24</f>
        <v>89503.76</v>
      </c>
      <c r="F15" s="396" t="s">
        <v>667</v>
      </c>
      <c r="G15" s="310" t="s">
        <v>654</v>
      </c>
      <c r="H15" s="137">
        <v>5116</v>
      </c>
      <c r="I15" s="137">
        <v>5116</v>
      </c>
      <c r="J15" s="137">
        <v>5116</v>
      </c>
      <c r="K15" s="137">
        <v>5116</v>
      </c>
      <c r="L15" s="137">
        <v>5116</v>
      </c>
      <c r="M15" s="137">
        <v>5116</v>
      </c>
      <c r="N15" s="137">
        <v>5116</v>
      </c>
      <c r="O15" s="137">
        <v>5116</v>
      </c>
      <c r="P15" s="137">
        <v>5116</v>
      </c>
      <c r="Q15" s="137">
        <v>5116</v>
      </c>
      <c r="R15" s="137">
        <v>5116</v>
      </c>
      <c r="S15" s="137">
        <v>5116</v>
      </c>
      <c r="T15" s="137">
        <v>5116</v>
      </c>
      <c r="U15" s="138">
        <f>5116</f>
        <v>5116</v>
      </c>
      <c r="V15" s="138">
        <v>5116</v>
      </c>
      <c r="W15" s="138">
        <v>2557.7600000000002</v>
      </c>
      <c r="X15" s="123">
        <f t="shared" si="1"/>
        <v>79297.759999999995</v>
      </c>
    </row>
    <row r="16" spans="1:24" s="184" customFormat="1" x14ac:dyDescent="0.2">
      <c r="A16" s="391"/>
      <c r="B16" s="303" t="s">
        <v>668</v>
      </c>
      <c r="C16" s="429"/>
      <c r="D16" s="429"/>
      <c r="E16" s="395"/>
      <c r="F16" s="397"/>
      <c r="G16" s="125">
        <v>2.5000000000000001E-3</v>
      </c>
      <c r="H16" s="313">
        <v>199.18</v>
      </c>
      <c r="I16" s="139">
        <v>205</v>
      </c>
      <c r="J16" s="139">
        <v>210</v>
      </c>
      <c r="K16" s="139">
        <v>195</v>
      </c>
      <c r="L16" s="139">
        <v>180</v>
      </c>
      <c r="M16" s="139">
        <v>165</v>
      </c>
      <c r="N16" s="139">
        <v>150</v>
      </c>
      <c r="O16" s="139">
        <v>130</v>
      </c>
      <c r="P16" s="139">
        <v>115</v>
      </c>
      <c r="Q16" s="139">
        <v>100</v>
      </c>
      <c r="R16" s="139">
        <v>85</v>
      </c>
      <c r="S16" s="139">
        <v>70</v>
      </c>
      <c r="T16" s="139">
        <v>55</v>
      </c>
      <c r="U16" s="140">
        <v>40</v>
      </c>
      <c r="V16" s="140">
        <v>25</v>
      </c>
      <c r="W16" s="140">
        <v>5</v>
      </c>
      <c r="X16" s="126">
        <f t="shared" si="1"/>
        <v>1929.18</v>
      </c>
    </row>
    <row r="17" spans="1:24" s="184" customFormat="1" ht="16.5" customHeight="1" x14ac:dyDescent="0.2">
      <c r="A17" s="419">
        <v>6</v>
      </c>
      <c r="B17" s="302" t="s">
        <v>651</v>
      </c>
      <c r="C17" s="421" t="s">
        <v>669</v>
      </c>
      <c r="D17" s="421">
        <v>632</v>
      </c>
      <c r="E17" s="425">
        <v>1331708.19</v>
      </c>
      <c r="F17" s="423" t="s">
        <v>670</v>
      </c>
      <c r="G17" s="310" t="s">
        <v>654</v>
      </c>
      <c r="H17" s="306">
        <v>4000</v>
      </c>
      <c r="I17" s="306">
        <v>4000</v>
      </c>
      <c r="J17" s="306">
        <v>20000</v>
      </c>
      <c r="K17" s="306">
        <v>20000</v>
      </c>
      <c r="L17" s="306">
        <v>20000</v>
      </c>
      <c r="M17" s="306">
        <v>20000</v>
      </c>
      <c r="N17" s="306">
        <v>50000</v>
      </c>
      <c r="O17" s="128">
        <v>79000</v>
      </c>
      <c r="P17" s="306">
        <v>79000</v>
      </c>
      <c r="Q17" s="306">
        <v>79000</v>
      </c>
      <c r="R17" s="306">
        <v>79000</v>
      </c>
      <c r="S17" s="306">
        <v>79000</v>
      </c>
      <c r="T17" s="315">
        <v>79000</v>
      </c>
      <c r="U17" s="316">
        <f>79000</f>
        <v>79000</v>
      </c>
      <c r="V17" s="316">
        <v>79000</v>
      </c>
      <c r="W17" s="316">
        <v>59250</v>
      </c>
      <c r="X17" s="123">
        <f t="shared" si="1"/>
        <v>829250</v>
      </c>
    </row>
    <row r="18" spans="1:24" s="184" customFormat="1" ht="16.5" customHeight="1" x14ac:dyDescent="0.2">
      <c r="A18" s="420"/>
      <c r="B18" s="303" t="s">
        <v>671</v>
      </c>
      <c r="C18" s="422"/>
      <c r="D18" s="422"/>
      <c r="E18" s="426"/>
      <c r="F18" s="424"/>
      <c r="G18" s="125">
        <v>2.5000000000000001E-3</v>
      </c>
      <c r="H18" s="308">
        <v>2105.84</v>
      </c>
      <c r="I18" s="286">
        <v>2200</v>
      </c>
      <c r="J18" s="286">
        <v>2490</v>
      </c>
      <c r="K18" s="286">
        <v>2430</v>
      </c>
      <c r="L18" s="286">
        <v>2375</v>
      </c>
      <c r="M18" s="286">
        <v>2310</v>
      </c>
      <c r="N18" s="286">
        <v>2230</v>
      </c>
      <c r="O18" s="130">
        <v>2065</v>
      </c>
      <c r="P18" s="286">
        <v>1835</v>
      </c>
      <c r="Q18" s="286">
        <v>1585</v>
      </c>
      <c r="R18" s="286">
        <v>1345</v>
      </c>
      <c r="S18" s="286">
        <v>1105</v>
      </c>
      <c r="T18" s="286">
        <v>870</v>
      </c>
      <c r="U18" s="309">
        <v>625</v>
      </c>
      <c r="V18" s="309">
        <v>385</v>
      </c>
      <c r="W18" s="309">
        <v>145</v>
      </c>
      <c r="X18" s="126">
        <f t="shared" si="1"/>
        <v>26100.84</v>
      </c>
    </row>
    <row r="19" spans="1:24" s="184" customFormat="1" ht="12.75" customHeight="1" x14ac:dyDescent="0.2">
      <c r="A19" s="390">
        <v>7</v>
      </c>
      <c r="B19" s="127" t="s">
        <v>651</v>
      </c>
      <c r="C19" s="430" t="s">
        <v>416</v>
      </c>
      <c r="D19" s="428">
        <v>633</v>
      </c>
      <c r="E19" s="431">
        <f>8339124-3412924+1558975</f>
        <v>6485175</v>
      </c>
      <c r="F19" s="396" t="s">
        <v>672</v>
      </c>
      <c r="G19" s="310" t="s">
        <v>654</v>
      </c>
      <c r="H19" s="317">
        <f>351497.79+750.21</f>
        <v>352248</v>
      </c>
      <c r="I19" s="141">
        <v>1000</v>
      </c>
      <c r="J19" s="141">
        <v>5000</v>
      </c>
      <c r="K19" s="141">
        <v>5000</v>
      </c>
      <c r="L19" s="141">
        <v>8000</v>
      </c>
      <c r="M19" s="141">
        <v>20000</v>
      </c>
      <c r="N19" s="141">
        <v>60000</v>
      </c>
      <c r="O19" s="141">
        <v>238000</v>
      </c>
      <c r="P19" s="141">
        <v>238000</v>
      </c>
      <c r="Q19" s="141">
        <v>304544</v>
      </c>
      <c r="R19" s="141">
        <v>304544</v>
      </c>
      <c r="S19" s="141">
        <v>304544</v>
      </c>
      <c r="T19" s="141">
        <v>304544</v>
      </c>
      <c r="U19" s="141">
        <v>304544</v>
      </c>
      <c r="V19" s="141">
        <v>304544</v>
      </c>
      <c r="W19" s="141">
        <v>3730663</v>
      </c>
      <c r="X19" s="123">
        <f t="shared" si="1"/>
        <v>6485175</v>
      </c>
    </row>
    <row r="20" spans="1:24" s="184" customFormat="1" ht="15" customHeight="1" x14ac:dyDescent="0.2">
      <c r="A20" s="391"/>
      <c r="B20" s="303" t="s">
        <v>673</v>
      </c>
      <c r="C20" s="393"/>
      <c r="D20" s="429"/>
      <c r="E20" s="432"/>
      <c r="F20" s="397"/>
      <c r="G20" s="125">
        <v>2.5000000000000001E-3</v>
      </c>
      <c r="H20" s="318">
        <v>16048.48</v>
      </c>
      <c r="I20" s="142">
        <v>17105</v>
      </c>
      <c r="J20" s="142">
        <v>18650</v>
      </c>
      <c r="K20" s="142">
        <v>18635</v>
      </c>
      <c r="L20" s="142">
        <v>18670</v>
      </c>
      <c r="M20" s="142">
        <v>18590</v>
      </c>
      <c r="N20" s="142">
        <v>18505</v>
      </c>
      <c r="O20" s="142">
        <v>18215</v>
      </c>
      <c r="P20" s="142">
        <v>17570</v>
      </c>
      <c r="Q20" s="142">
        <v>16755</v>
      </c>
      <c r="R20" s="142">
        <v>15840</v>
      </c>
      <c r="S20" s="142">
        <v>14910</v>
      </c>
      <c r="T20" s="142">
        <v>14025</v>
      </c>
      <c r="U20" s="142">
        <v>13060</v>
      </c>
      <c r="V20" s="142">
        <v>12135</v>
      </c>
      <c r="W20" s="142">
        <v>73535</v>
      </c>
      <c r="X20" s="126">
        <f t="shared" si="1"/>
        <v>322248.48</v>
      </c>
    </row>
    <row r="21" spans="1:24" s="184" customFormat="1" ht="12.75" customHeight="1" x14ac:dyDescent="0.2">
      <c r="A21" s="419">
        <v>8</v>
      </c>
      <c r="B21" s="127" t="s">
        <v>651</v>
      </c>
      <c r="C21" s="430" t="s">
        <v>674</v>
      </c>
      <c r="D21" s="428">
        <v>634</v>
      </c>
      <c r="E21" s="394">
        <f>206622-0.62</f>
        <v>206621.38</v>
      </c>
      <c r="F21" s="396" t="s">
        <v>675</v>
      </c>
      <c r="G21" s="310" t="s">
        <v>654</v>
      </c>
      <c r="H21" s="141">
        <v>1000</v>
      </c>
      <c r="I21" s="141">
        <v>1000</v>
      </c>
      <c r="J21" s="141">
        <v>13640</v>
      </c>
      <c r="K21" s="141">
        <v>13640</v>
      </c>
      <c r="L21" s="141">
        <v>13640</v>
      </c>
      <c r="M21" s="141">
        <v>13640</v>
      </c>
      <c r="N21" s="141">
        <v>13640</v>
      </c>
      <c r="O21" s="141">
        <v>13640</v>
      </c>
      <c r="P21" s="141">
        <v>13640</v>
      </c>
      <c r="Q21" s="141">
        <v>13640</v>
      </c>
      <c r="R21" s="141">
        <v>13640</v>
      </c>
      <c r="S21" s="141">
        <v>13640</v>
      </c>
      <c r="T21" s="141">
        <v>13640</v>
      </c>
      <c r="U21" s="143">
        <v>13640</v>
      </c>
      <c r="V21" s="143">
        <v>13640</v>
      </c>
      <c r="W21" s="147">
        <f>27302-0.62</f>
        <v>27301.38</v>
      </c>
      <c r="X21" s="123">
        <f t="shared" si="1"/>
        <v>206621.38</v>
      </c>
    </row>
    <row r="22" spans="1:24" s="184" customFormat="1" x14ac:dyDescent="0.2">
      <c r="A22" s="420"/>
      <c r="B22" s="303" t="s">
        <v>676</v>
      </c>
      <c r="C22" s="393"/>
      <c r="D22" s="429"/>
      <c r="E22" s="395"/>
      <c r="F22" s="397"/>
      <c r="G22" s="125">
        <v>2.5000000000000001E-3</v>
      </c>
      <c r="H22" s="318">
        <v>524.59</v>
      </c>
      <c r="I22" s="142">
        <v>575</v>
      </c>
      <c r="J22" s="142">
        <v>615</v>
      </c>
      <c r="K22" s="142">
        <v>575</v>
      </c>
      <c r="L22" s="142">
        <v>535</v>
      </c>
      <c r="M22" s="142">
        <v>495</v>
      </c>
      <c r="N22" s="142">
        <v>455</v>
      </c>
      <c r="O22" s="142">
        <v>410</v>
      </c>
      <c r="P22" s="142">
        <v>370</v>
      </c>
      <c r="Q22" s="142">
        <v>330</v>
      </c>
      <c r="R22" s="142">
        <v>285</v>
      </c>
      <c r="S22" s="142">
        <v>245</v>
      </c>
      <c r="T22" s="142">
        <v>205</v>
      </c>
      <c r="U22" s="144">
        <v>160</v>
      </c>
      <c r="V22" s="144">
        <v>120</v>
      </c>
      <c r="W22" s="144">
        <v>115</v>
      </c>
      <c r="X22" s="126">
        <f t="shared" si="1"/>
        <v>6014.59</v>
      </c>
    </row>
    <row r="23" spans="1:24" s="184" customFormat="1" ht="12.75" customHeight="1" x14ac:dyDescent="0.2">
      <c r="A23" s="390">
        <v>9</v>
      </c>
      <c r="B23" s="127" t="s">
        <v>651</v>
      </c>
      <c r="C23" s="392" t="s">
        <v>677</v>
      </c>
      <c r="D23" s="428">
        <v>635</v>
      </c>
      <c r="E23" s="433">
        <v>307624.96000000002</v>
      </c>
      <c r="F23" s="396" t="s">
        <v>678</v>
      </c>
      <c r="G23" s="310" t="s">
        <v>654</v>
      </c>
      <c r="H23" s="319">
        <v>750</v>
      </c>
      <c r="I23" s="319">
        <v>1000</v>
      </c>
      <c r="J23" s="319">
        <v>5000</v>
      </c>
      <c r="K23" s="319">
        <v>5000</v>
      </c>
      <c r="L23" s="319">
        <v>10000</v>
      </c>
      <c r="M23" s="319">
        <v>23824</v>
      </c>
      <c r="N23" s="319">
        <v>23824</v>
      </c>
      <c r="O23" s="145">
        <v>23824</v>
      </c>
      <c r="P23" s="319">
        <v>23824</v>
      </c>
      <c r="Q23" s="319">
        <v>23824</v>
      </c>
      <c r="R23" s="319">
        <v>23824</v>
      </c>
      <c r="S23" s="319">
        <v>23824</v>
      </c>
      <c r="T23" s="311">
        <v>23824</v>
      </c>
      <c r="U23" s="311">
        <f>23824</f>
        <v>23824</v>
      </c>
      <c r="V23" s="311">
        <v>23824</v>
      </c>
      <c r="W23" s="311">
        <v>47634.96</v>
      </c>
      <c r="X23" s="123">
        <f t="shared" si="1"/>
        <v>307624.96000000002</v>
      </c>
    </row>
    <row r="24" spans="1:24" s="184" customFormat="1" x14ac:dyDescent="0.2">
      <c r="A24" s="391"/>
      <c r="B24" s="303" t="s">
        <v>679</v>
      </c>
      <c r="C24" s="393"/>
      <c r="D24" s="429"/>
      <c r="E24" s="434"/>
      <c r="F24" s="397"/>
      <c r="G24" s="125">
        <v>2.5000000000000001E-3</v>
      </c>
      <c r="H24" s="313">
        <v>781.58</v>
      </c>
      <c r="I24" s="287">
        <v>860</v>
      </c>
      <c r="J24" s="287">
        <v>930</v>
      </c>
      <c r="K24" s="287">
        <v>915</v>
      </c>
      <c r="L24" s="287">
        <v>900</v>
      </c>
      <c r="M24" s="287">
        <v>860</v>
      </c>
      <c r="N24" s="287">
        <v>790</v>
      </c>
      <c r="O24" s="132">
        <v>715</v>
      </c>
      <c r="P24" s="287">
        <v>645</v>
      </c>
      <c r="Q24" s="287">
        <v>570</v>
      </c>
      <c r="R24" s="287">
        <v>500</v>
      </c>
      <c r="S24" s="287">
        <v>425</v>
      </c>
      <c r="T24" s="287">
        <v>355</v>
      </c>
      <c r="U24" s="287">
        <v>280</v>
      </c>
      <c r="V24" s="287">
        <v>210</v>
      </c>
      <c r="W24" s="287">
        <v>200</v>
      </c>
      <c r="X24" s="126">
        <f t="shared" si="1"/>
        <v>9936.58</v>
      </c>
    </row>
    <row r="25" spans="1:24" s="184" customFormat="1" ht="12.75" customHeight="1" x14ac:dyDescent="0.2">
      <c r="A25" s="419">
        <v>10</v>
      </c>
      <c r="B25" s="127" t="s">
        <v>651</v>
      </c>
      <c r="C25" s="392" t="s">
        <v>680</v>
      </c>
      <c r="D25" s="428">
        <v>636</v>
      </c>
      <c r="E25" s="433">
        <v>69989</v>
      </c>
      <c r="F25" s="396" t="s">
        <v>678</v>
      </c>
      <c r="G25" s="310" t="s">
        <v>654</v>
      </c>
      <c r="H25" s="319">
        <v>1000</v>
      </c>
      <c r="I25" s="319">
        <v>1000</v>
      </c>
      <c r="J25" s="319">
        <v>1000</v>
      </c>
      <c r="K25" s="319">
        <v>2000</v>
      </c>
      <c r="L25" s="319">
        <v>2000</v>
      </c>
      <c r="M25" s="319">
        <v>5000</v>
      </c>
      <c r="N25" s="319">
        <v>5272</v>
      </c>
      <c r="O25" s="145">
        <v>5272</v>
      </c>
      <c r="P25" s="319">
        <v>5272</v>
      </c>
      <c r="Q25" s="319">
        <v>5272</v>
      </c>
      <c r="R25" s="319">
        <v>5272</v>
      </c>
      <c r="S25" s="319">
        <v>5272</v>
      </c>
      <c r="T25" s="319">
        <v>5272</v>
      </c>
      <c r="U25" s="319">
        <v>5272</v>
      </c>
      <c r="V25" s="319">
        <v>5272</v>
      </c>
      <c r="W25" s="319">
        <v>10541</v>
      </c>
      <c r="X25" s="123">
        <f t="shared" si="1"/>
        <v>69989</v>
      </c>
    </row>
    <row r="26" spans="1:24" s="184" customFormat="1" x14ac:dyDescent="0.2">
      <c r="A26" s="420"/>
      <c r="B26" s="303" t="s">
        <v>681</v>
      </c>
      <c r="C26" s="393"/>
      <c r="D26" s="429"/>
      <c r="E26" s="434"/>
      <c r="F26" s="397"/>
      <c r="G26" s="125">
        <v>2.5000000000000001E-3</v>
      </c>
      <c r="H26" s="313">
        <v>177.32</v>
      </c>
      <c r="I26" s="287">
        <v>195</v>
      </c>
      <c r="J26" s="287">
        <v>210</v>
      </c>
      <c r="K26" s="287">
        <v>205</v>
      </c>
      <c r="L26" s="287">
        <v>200</v>
      </c>
      <c r="M26" s="287">
        <v>190</v>
      </c>
      <c r="N26" s="287">
        <v>175</v>
      </c>
      <c r="O26" s="132">
        <v>160</v>
      </c>
      <c r="P26" s="287">
        <v>145</v>
      </c>
      <c r="Q26" s="287">
        <v>130</v>
      </c>
      <c r="R26" s="287">
        <v>110</v>
      </c>
      <c r="S26" s="287">
        <v>95</v>
      </c>
      <c r="T26" s="287">
        <v>80</v>
      </c>
      <c r="U26" s="287">
        <v>65</v>
      </c>
      <c r="V26" s="287">
        <v>50</v>
      </c>
      <c r="W26" s="287">
        <f>45-5</f>
        <v>40</v>
      </c>
      <c r="X26" s="126">
        <f t="shared" si="1"/>
        <v>2227.3199999999997</v>
      </c>
    </row>
    <row r="27" spans="1:24" s="184" customFormat="1" ht="12.75" customHeight="1" x14ac:dyDescent="0.2">
      <c r="A27" s="411">
        <v>11</v>
      </c>
      <c r="B27" s="302" t="s">
        <v>651</v>
      </c>
      <c r="C27" s="392" t="s">
        <v>682</v>
      </c>
      <c r="D27" s="392">
        <v>637</v>
      </c>
      <c r="E27" s="394">
        <v>212555.77</v>
      </c>
      <c r="F27" s="396" t="s">
        <v>683</v>
      </c>
      <c r="G27" s="304" t="s">
        <v>654</v>
      </c>
      <c r="H27" s="141">
        <v>750</v>
      </c>
      <c r="I27" s="141">
        <v>1000</v>
      </c>
      <c r="J27" s="141">
        <v>1000</v>
      </c>
      <c r="K27" s="141">
        <v>2000</v>
      </c>
      <c r="L27" s="141">
        <v>2000</v>
      </c>
      <c r="M27" s="141">
        <v>2000</v>
      </c>
      <c r="N27" s="141">
        <v>5000</v>
      </c>
      <c r="O27" s="141">
        <v>19920</v>
      </c>
      <c r="P27" s="141">
        <v>19920</v>
      </c>
      <c r="Q27" s="141">
        <v>19920</v>
      </c>
      <c r="R27" s="141">
        <v>19920</v>
      </c>
      <c r="S27" s="141">
        <v>19920</v>
      </c>
      <c r="T27" s="146">
        <v>19920</v>
      </c>
      <c r="U27" s="147">
        <v>19920</v>
      </c>
      <c r="V27" s="147">
        <v>19920</v>
      </c>
      <c r="W27" s="147">
        <v>39445.769999999997</v>
      </c>
      <c r="X27" s="123">
        <f t="shared" si="1"/>
        <v>212555.77</v>
      </c>
    </row>
    <row r="28" spans="1:24" s="184" customFormat="1" x14ac:dyDescent="0.2">
      <c r="A28" s="412"/>
      <c r="B28" s="303" t="s">
        <v>684</v>
      </c>
      <c r="C28" s="393"/>
      <c r="D28" s="393"/>
      <c r="E28" s="395"/>
      <c r="F28" s="397"/>
      <c r="G28" s="125">
        <v>2.5000000000000001E-3</v>
      </c>
      <c r="H28" s="318">
        <v>540.04999999999995</v>
      </c>
      <c r="I28" s="142">
        <v>565</v>
      </c>
      <c r="J28" s="142">
        <v>645</v>
      </c>
      <c r="K28" s="142">
        <v>640</v>
      </c>
      <c r="L28" s="142">
        <v>635</v>
      </c>
      <c r="M28" s="142">
        <v>630</v>
      </c>
      <c r="N28" s="142">
        <v>620</v>
      </c>
      <c r="O28" s="142">
        <v>595</v>
      </c>
      <c r="P28" s="142">
        <v>540</v>
      </c>
      <c r="Q28" s="142">
        <v>475</v>
      </c>
      <c r="R28" s="142">
        <v>415</v>
      </c>
      <c r="S28" s="142">
        <v>355</v>
      </c>
      <c r="T28" s="142">
        <v>295</v>
      </c>
      <c r="U28" s="144">
        <v>235</v>
      </c>
      <c r="V28" s="144">
        <v>175</v>
      </c>
      <c r="W28" s="144">
        <v>165</v>
      </c>
      <c r="X28" s="126">
        <f t="shared" si="1"/>
        <v>7525.05</v>
      </c>
    </row>
    <row r="29" spans="1:24" s="195" customFormat="1" ht="18" customHeight="1" x14ac:dyDescent="0.2">
      <c r="A29" s="419">
        <v>12</v>
      </c>
      <c r="B29" s="302" t="s">
        <v>651</v>
      </c>
      <c r="C29" s="392" t="s">
        <v>685</v>
      </c>
      <c r="D29" s="392">
        <v>638</v>
      </c>
      <c r="E29" s="394">
        <v>1496459</v>
      </c>
      <c r="F29" s="396" t="s">
        <v>686</v>
      </c>
      <c r="G29" s="304" t="s">
        <v>654</v>
      </c>
      <c r="H29" s="141">
        <v>750</v>
      </c>
      <c r="I29" s="141">
        <v>1000</v>
      </c>
      <c r="J29" s="141">
        <v>3000</v>
      </c>
      <c r="K29" s="141">
        <v>5000</v>
      </c>
      <c r="L29" s="141">
        <v>5000</v>
      </c>
      <c r="M29" s="141">
        <v>10000</v>
      </c>
      <c r="N29" s="141">
        <v>20000</v>
      </c>
      <c r="O29" s="141">
        <v>50000</v>
      </c>
      <c r="P29" s="141">
        <v>50000</v>
      </c>
      <c r="Q29" s="141">
        <v>50000</v>
      </c>
      <c r="R29" s="141">
        <v>69458</v>
      </c>
      <c r="S29" s="141">
        <v>75944</v>
      </c>
      <c r="T29" s="146">
        <v>75944</v>
      </c>
      <c r="U29" s="147">
        <f>75944</f>
        <v>75944</v>
      </c>
      <c r="V29" s="147">
        <v>75944</v>
      </c>
      <c r="W29" s="147">
        <v>928475</v>
      </c>
      <c r="X29" s="123">
        <f t="shared" si="1"/>
        <v>1496459</v>
      </c>
    </row>
    <row r="30" spans="1:24" s="195" customFormat="1" ht="18" customHeight="1" x14ac:dyDescent="0.2">
      <c r="A30" s="420"/>
      <c r="B30" s="303" t="s">
        <v>687</v>
      </c>
      <c r="C30" s="393"/>
      <c r="D30" s="393"/>
      <c r="E30" s="395"/>
      <c r="F30" s="397"/>
      <c r="G30" s="125">
        <v>2.5000000000000001E-3</v>
      </c>
      <c r="H30" s="318">
        <v>3803.31</v>
      </c>
      <c r="I30" s="142">
        <f>4550-565</f>
        <v>3985</v>
      </c>
      <c r="J30" s="142">
        <v>4545</v>
      </c>
      <c r="K30" s="142">
        <v>4535</v>
      </c>
      <c r="L30" s="142">
        <v>4535</v>
      </c>
      <c r="M30" s="142">
        <v>4505</v>
      </c>
      <c r="N30" s="142">
        <v>4470</v>
      </c>
      <c r="O30" s="142">
        <v>4390</v>
      </c>
      <c r="P30" s="142">
        <v>4255</v>
      </c>
      <c r="Q30" s="142">
        <v>4090</v>
      </c>
      <c r="R30" s="142">
        <v>3930</v>
      </c>
      <c r="S30" s="142">
        <v>3715</v>
      </c>
      <c r="T30" s="142">
        <v>3495</v>
      </c>
      <c r="U30" s="144">
        <v>3255</v>
      </c>
      <c r="V30" s="144">
        <v>3020</v>
      </c>
      <c r="W30" s="144">
        <v>18270</v>
      </c>
      <c r="X30" s="126">
        <f t="shared" si="1"/>
        <v>78798.31</v>
      </c>
    </row>
    <row r="31" spans="1:24" s="195" customFormat="1" ht="12.75" customHeight="1" x14ac:dyDescent="0.2">
      <c r="A31" s="390">
        <v>13</v>
      </c>
      <c r="B31" s="302" t="s">
        <v>651</v>
      </c>
      <c r="C31" s="392" t="s">
        <v>688</v>
      </c>
      <c r="D31" s="392">
        <v>639</v>
      </c>
      <c r="E31" s="394">
        <v>520249</v>
      </c>
      <c r="F31" s="396" t="s">
        <v>689</v>
      </c>
      <c r="G31" s="304" t="s">
        <v>654</v>
      </c>
      <c r="H31" s="141">
        <v>300</v>
      </c>
      <c r="I31" s="141">
        <v>1000</v>
      </c>
      <c r="J31" s="141">
        <v>2000</v>
      </c>
      <c r="K31" s="141">
        <v>2000</v>
      </c>
      <c r="L31" s="141">
        <v>5000</v>
      </c>
      <c r="M31" s="141">
        <v>5000</v>
      </c>
      <c r="N31" s="141">
        <v>10000</v>
      </c>
      <c r="O31" s="141">
        <v>45000</v>
      </c>
      <c r="P31" s="141">
        <v>45000</v>
      </c>
      <c r="Q31" s="141">
        <v>45000</v>
      </c>
      <c r="R31" s="141">
        <v>45000</v>
      </c>
      <c r="S31" s="141">
        <v>45000</v>
      </c>
      <c r="T31" s="146">
        <v>45000</v>
      </c>
      <c r="U31" s="147">
        <v>45000</v>
      </c>
      <c r="V31" s="147">
        <v>45000</v>
      </c>
      <c r="W31" s="147">
        <v>134949</v>
      </c>
      <c r="X31" s="123">
        <f t="shared" si="1"/>
        <v>520249</v>
      </c>
    </row>
    <row r="32" spans="1:24" s="195" customFormat="1" x14ac:dyDescent="0.2">
      <c r="A32" s="391"/>
      <c r="B32" s="303" t="s">
        <v>690</v>
      </c>
      <c r="C32" s="393"/>
      <c r="D32" s="393"/>
      <c r="E32" s="395"/>
      <c r="F32" s="397"/>
      <c r="G32" s="125">
        <v>2.5000000000000001E-3</v>
      </c>
      <c r="H32" s="318">
        <v>1322.22</v>
      </c>
      <c r="I32" s="142">
        <f>1585-200</f>
        <v>1385</v>
      </c>
      <c r="J32" s="142">
        <v>1580</v>
      </c>
      <c r="K32" s="142">
        <v>1575</v>
      </c>
      <c r="L32" s="142">
        <v>1570</v>
      </c>
      <c r="M32" s="142">
        <v>1550</v>
      </c>
      <c r="N32" s="142">
        <v>1535</v>
      </c>
      <c r="O32" s="142">
        <v>1480</v>
      </c>
      <c r="P32" s="142">
        <v>1355</v>
      </c>
      <c r="Q32" s="142">
        <v>1215</v>
      </c>
      <c r="R32" s="142">
        <v>1075</v>
      </c>
      <c r="S32" s="142">
        <v>940</v>
      </c>
      <c r="T32" s="142">
        <v>805</v>
      </c>
      <c r="U32" s="144">
        <v>665</v>
      </c>
      <c r="V32" s="144">
        <v>530</v>
      </c>
      <c r="W32" s="144">
        <f>750-5</f>
        <v>745</v>
      </c>
      <c r="X32" s="126">
        <f t="shared" si="1"/>
        <v>19327.22</v>
      </c>
    </row>
    <row r="33" spans="1:24" s="184" customFormat="1" ht="12.75" customHeight="1" x14ac:dyDescent="0.2">
      <c r="A33" s="419">
        <v>14</v>
      </c>
      <c r="B33" s="302" t="s">
        <v>651</v>
      </c>
      <c r="C33" s="392" t="s">
        <v>691</v>
      </c>
      <c r="D33" s="392">
        <v>640</v>
      </c>
      <c r="E33" s="394">
        <f>409900-0.21</f>
        <v>409899.79</v>
      </c>
      <c r="F33" s="396" t="s">
        <v>692</v>
      </c>
      <c r="G33" s="304" t="s">
        <v>654</v>
      </c>
      <c r="H33" s="141">
        <v>300</v>
      </c>
      <c r="I33" s="141">
        <v>1000</v>
      </c>
      <c r="J33" s="141">
        <v>2000</v>
      </c>
      <c r="K33" s="141">
        <v>2000</v>
      </c>
      <c r="L33" s="141">
        <v>5000</v>
      </c>
      <c r="M33" s="141">
        <v>5000</v>
      </c>
      <c r="N33" s="141">
        <v>10000</v>
      </c>
      <c r="O33" s="141">
        <v>34964</v>
      </c>
      <c r="P33" s="141">
        <v>34964</v>
      </c>
      <c r="Q33" s="141">
        <v>34964</v>
      </c>
      <c r="R33" s="141">
        <v>34964</v>
      </c>
      <c r="S33" s="141">
        <v>34964</v>
      </c>
      <c r="T33" s="146">
        <v>34964</v>
      </c>
      <c r="U33" s="147">
        <v>34964</v>
      </c>
      <c r="V33" s="147">
        <v>34964</v>
      </c>
      <c r="W33" s="147">
        <f>104888-0.21</f>
        <v>104887.79</v>
      </c>
      <c r="X33" s="123">
        <f t="shared" si="1"/>
        <v>409899.79</v>
      </c>
    </row>
    <row r="34" spans="1:24" s="184" customFormat="1" x14ac:dyDescent="0.2">
      <c r="A34" s="420"/>
      <c r="B34" s="303" t="s">
        <v>693</v>
      </c>
      <c r="C34" s="393"/>
      <c r="D34" s="393"/>
      <c r="E34" s="395"/>
      <c r="F34" s="397"/>
      <c r="G34" s="125">
        <v>2.5000000000000001E-3</v>
      </c>
      <c r="H34" s="318">
        <v>1041.75</v>
      </c>
      <c r="I34" s="142">
        <v>1040</v>
      </c>
      <c r="J34" s="142">
        <v>1245</v>
      </c>
      <c r="K34" s="142">
        <v>1240</v>
      </c>
      <c r="L34" s="142">
        <v>1235</v>
      </c>
      <c r="M34" s="142">
        <v>1215</v>
      </c>
      <c r="N34" s="142">
        <v>1195</v>
      </c>
      <c r="O34" s="142">
        <v>1150</v>
      </c>
      <c r="P34" s="142">
        <v>1055</v>
      </c>
      <c r="Q34" s="142">
        <v>945</v>
      </c>
      <c r="R34" s="142">
        <v>835</v>
      </c>
      <c r="S34" s="142">
        <v>730</v>
      </c>
      <c r="T34" s="142">
        <v>625</v>
      </c>
      <c r="U34" s="144">
        <v>520</v>
      </c>
      <c r="V34" s="144">
        <v>410</v>
      </c>
      <c r="W34" s="144">
        <f>600-5</f>
        <v>595</v>
      </c>
      <c r="X34" s="126">
        <f t="shared" si="1"/>
        <v>15076.75</v>
      </c>
    </row>
    <row r="35" spans="1:24" s="184" customFormat="1" ht="17.25" customHeight="1" x14ac:dyDescent="0.2">
      <c r="A35" s="390">
        <v>15</v>
      </c>
      <c r="B35" s="302" t="s">
        <v>651</v>
      </c>
      <c r="C35" s="435" t="s">
        <v>694</v>
      </c>
      <c r="D35" s="392">
        <v>641</v>
      </c>
      <c r="E35" s="394">
        <f>157928-30001.8</f>
        <v>127926.2</v>
      </c>
      <c r="F35" s="396" t="s">
        <v>695</v>
      </c>
      <c r="G35" s="304" t="s">
        <v>654</v>
      </c>
      <c r="H35" s="356">
        <f>38592+2347.04+1005.87</f>
        <v>41944.91</v>
      </c>
      <c r="I35" s="319">
        <v>38592</v>
      </c>
      <c r="J35" s="311">
        <f>38592.2-2347.04-1005.87</f>
        <v>35239.289999999994</v>
      </c>
      <c r="K35" s="319"/>
      <c r="L35" s="319"/>
      <c r="M35" s="319"/>
      <c r="N35" s="319"/>
      <c r="O35" s="145"/>
      <c r="P35" s="319"/>
      <c r="Q35" s="319"/>
      <c r="R35" s="319"/>
      <c r="S35" s="319"/>
      <c r="T35" s="319"/>
      <c r="U35" s="320"/>
      <c r="V35" s="320"/>
      <c r="W35" s="320"/>
      <c r="X35" s="123">
        <f t="shared" si="1"/>
        <v>115776.2</v>
      </c>
    </row>
    <row r="36" spans="1:24" s="184" customFormat="1" ht="17.25" customHeight="1" x14ac:dyDescent="0.2">
      <c r="A36" s="391"/>
      <c r="B36" s="303" t="s">
        <v>696</v>
      </c>
      <c r="C36" s="436"/>
      <c r="D36" s="393"/>
      <c r="E36" s="395"/>
      <c r="F36" s="397"/>
      <c r="G36" s="125">
        <v>2.5000000000000001E-3</v>
      </c>
      <c r="H36" s="313">
        <v>276.49</v>
      </c>
      <c r="I36" s="287">
        <f>220-10</f>
        <v>210</v>
      </c>
      <c r="J36" s="287">
        <f>100</f>
        <v>100</v>
      </c>
      <c r="K36" s="287"/>
      <c r="L36" s="287"/>
      <c r="M36" s="287"/>
      <c r="N36" s="287"/>
      <c r="O36" s="132"/>
      <c r="P36" s="287"/>
      <c r="Q36" s="287"/>
      <c r="R36" s="287"/>
      <c r="S36" s="287"/>
      <c r="T36" s="287"/>
      <c r="U36" s="314"/>
      <c r="V36" s="314"/>
      <c r="W36" s="314"/>
      <c r="X36" s="126">
        <f t="shared" si="1"/>
        <v>586.49</v>
      </c>
    </row>
    <row r="37" spans="1:24" s="184" customFormat="1" ht="12.75" customHeight="1" x14ac:dyDescent="0.2">
      <c r="A37" s="419">
        <v>16</v>
      </c>
      <c r="B37" s="302" t="s">
        <v>651</v>
      </c>
      <c r="C37" s="435" t="s">
        <v>697</v>
      </c>
      <c r="D37" s="392">
        <v>642</v>
      </c>
      <c r="E37" s="394">
        <f>231313-0.12</f>
        <v>231312.88</v>
      </c>
      <c r="F37" s="396" t="s">
        <v>698</v>
      </c>
      <c r="G37" s="304" t="s">
        <v>654</v>
      </c>
      <c r="H37" s="319">
        <v>0</v>
      </c>
      <c r="I37" s="319">
        <v>6000</v>
      </c>
      <c r="J37" s="319">
        <v>6000</v>
      </c>
      <c r="K37" s="319">
        <v>14620</v>
      </c>
      <c r="L37" s="319">
        <v>14620</v>
      </c>
      <c r="M37" s="319">
        <v>14620</v>
      </c>
      <c r="N37" s="319">
        <v>14620</v>
      </c>
      <c r="O37" s="280">
        <v>14620</v>
      </c>
      <c r="P37" s="319">
        <v>14620</v>
      </c>
      <c r="Q37" s="319">
        <v>14620</v>
      </c>
      <c r="R37" s="319">
        <v>14620</v>
      </c>
      <c r="S37" s="319">
        <v>14620</v>
      </c>
      <c r="T37" s="319">
        <v>14620</v>
      </c>
      <c r="U37" s="319">
        <f>14620</f>
        <v>14620</v>
      </c>
      <c r="V37" s="319">
        <v>14620</v>
      </c>
      <c r="W37" s="311">
        <f>43873-0.12</f>
        <v>43872.88</v>
      </c>
      <c r="X37" s="123">
        <f t="shared" si="1"/>
        <v>231312.88</v>
      </c>
    </row>
    <row r="38" spans="1:24" s="184" customFormat="1" ht="15" customHeight="1" x14ac:dyDescent="0.2">
      <c r="A38" s="420"/>
      <c r="B38" s="303" t="s">
        <v>699</v>
      </c>
      <c r="C38" s="436"/>
      <c r="D38" s="393"/>
      <c r="E38" s="395"/>
      <c r="F38" s="397"/>
      <c r="G38" s="125">
        <v>2.5000000000000001E-3</v>
      </c>
      <c r="H38" s="313">
        <v>587.91999999999996</v>
      </c>
      <c r="I38" s="287">
        <v>700</v>
      </c>
      <c r="J38" s="287">
        <v>685</v>
      </c>
      <c r="K38" s="287">
        <v>660</v>
      </c>
      <c r="L38" s="287">
        <v>620</v>
      </c>
      <c r="M38" s="287">
        <v>575</v>
      </c>
      <c r="N38" s="287">
        <v>530</v>
      </c>
      <c r="O38" s="283">
        <v>485</v>
      </c>
      <c r="P38" s="287">
        <v>440</v>
      </c>
      <c r="Q38" s="287">
        <v>395</v>
      </c>
      <c r="R38" s="287">
        <v>350</v>
      </c>
      <c r="S38" s="287">
        <v>305</v>
      </c>
      <c r="T38" s="287">
        <v>265</v>
      </c>
      <c r="U38" s="287">
        <v>220</v>
      </c>
      <c r="V38" s="287">
        <v>175</v>
      </c>
      <c r="W38" s="287">
        <v>250</v>
      </c>
      <c r="X38" s="126">
        <f t="shared" si="1"/>
        <v>7242.92</v>
      </c>
    </row>
    <row r="39" spans="1:24" s="184" customFormat="1" ht="15.75" customHeight="1" x14ac:dyDescent="0.2">
      <c r="A39" s="390">
        <v>17</v>
      </c>
      <c r="B39" s="302" t="s">
        <v>651</v>
      </c>
      <c r="C39" s="435" t="s">
        <v>700</v>
      </c>
      <c r="D39" s="392">
        <v>643</v>
      </c>
      <c r="E39" s="394">
        <f>65353+64222+85311-80000-1794.36</f>
        <v>133091.64000000001</v>
      </c>
      <c r="F39" s="396" t="s">
        <v>701</v>
      </c>
      <c r="G39" s="304" t="s">
        <v>654</v>
      </c>
      <c r="H39" s="279">
        <f>29319.12+12565.33</f>
        <v>41884.449999999997</v>
      </c>
      <c r="I39" s="285">
        <v>500.19</v>
      </c>
      <c r="J39" s="280">
        <v>1000</v>
      </c>
      <c r="K39" s="280">
        <v>2000</v>
      </c>
      <c r="L39" s="280">
        <v>21928</v>
      </c>
      <c r="M39" s="280">
        <v>21928</v>
      </c>
      <c r="N39" s="280">
        <v>21928</v>
      </c>
      <c r="O39" s="285">
        <v>21923</v>
      </c>
      <c r="P39" s="319"/>
      <c r="Q39" s="319"/>
      <c r="R39" s="319"/>
      <c r="S39" s="319"/>
      <c r="T39" s="319"/>
      <c r="U39" s="320"/>
      <c r="V39" s="320"/>
      <c r="W39" s="320"/>
      <c r="X39" s="123">
        <f t="shared" ref="X39:X70" si="2">SUM(H39:W39)</f>
        <v>133091.64000000001</v>
      </c>
    </row>
    <row r="40" spans="1:24" s="184" customFormat="1" ht="15.75" customHeight="1" x14ac:dyDescent="0.2">
      <c r="A40" s="391"/>
      <c r="B40" s="303" t="s">
        <v>702</v>
      </c>
      <c r="C40" s="436"/>
      <c r="D40" s="393"/>
      <c r="E40" s="395"/>
      <c r="F40" s="397"/>
      <c r="G40" s="125">
        <v>2.5000000000000001E-3</v>
      </c>
      <c r="H40" s="278">
        <v>262.94</v>
      </c>
      <c r="I40" s="283">
        <v>280</v>
      </c>
      <c r="J40" s="283">
        <v>280</v>
      </c>
      <c r="K40" s="283">
        <v>275</v>
      </c>
      <c r="L40" s="283">
        <v>255</v>
      </c>
      <c r="M40" s="283">
        <v>190</v>
      </c>
      <c r="N40" s="283">
        <v>125</v>
      </c>
      <c r="O40" s="283">
        <v>60</v>
      </c>
      <c r="P40" s="287"/>
      <c r="Q40" s="287"/>
      <c r="R40" s="287"/>
      <c r="S40" s="287"/>
      <c r="T40" s="287"/>
      <c r="U40" s="314"/>
      <c r="V40" s="314"/>
      <c r="W40" s="314"/>
      <c r="X40" s="126">
        <f t="shared" si="2"/>
        <v>1727.94</v>
      </c>
    </row>
    <row r="41" spans="1:24" s="184" customFormat="1" ht="12.75" customHeight="1" x14ac:dyDescent="0.2">
      <c r="A41" s="419">
        <v>18</v>
      </c>
      <c r="B41" s="302" t="s">
        <v>651</v>
      </c>
      <c r="C41" s="392" t="s">
        <v>703</v>
      </c>
      <c r="D41" s="392">
        <v>644</v>
      </c>
      <c r="E41" s="394">
        <f>1188567-257831-28891.82</f>
        <v>901844.18</v>
      </c>
      <c r="F41" s="396" t="s">
        <v>704</v>
      </c>
      <c r="G41" s="304" t="s">
        <v>654</v>
      </c>
      <c r="H41" s="279">
        <v>84667.68</v>
      </c>
      <c r="I41" s="285">
        <v>374.5</v>
      </c>
      <c r="J41" s="280">
        <v>1000</v>
      </c>
      <c r="K41" s="280">
        <v>2000</v>
      </c>
      <c r="L41" s="280">
        <v>6000</v>
      </c>
      <c r="M41" s="280">
        <v>10000</v>
      </c>
      <c r="N41" s="280">
        <v>16000</v>
      </c>
      <c r="O41" s="281">
        <v>36800</v>
      </c>
      <c r="P41" s="281">
        <v>36800</v>
      </c>
      <c r="Q41" s="281">
        <v>36800</v>
      </c>
      <c r="R41" s="281">
        <v>36800</v>
      </c>
      <c r="S41" s="281">
        <v>36800</v>
      </c>
      <c r="T41" s="281">
        <v>36800</v>
      </c>
      <c r="U41" s="281">
        <v>36800</v>
      </c>
      <c r="V41" s="281">
        <v>36800</v>
      </c>
      <c r="W41" s="281">
        <v>487402</v>
      </c>
      <c r="X41" s="123">
        <f t="shared" si="2"/>
        <v>901844.17999999993</v>
      </c>
    </row>
    <row r="42" spans="1:24" s="184" customFormat="1" x14ac:dyDescent="0.2">
      <c r="A42" s="420"/>
      <c r="B42" s="124" t="s">
        <v>705</v>
      </c>
      <c r="C42" s="393"/>
      <c r="D42" s="393"/>
      <c r="E42" s="395"/>
      <c r="F42" s="397"/>
      <c r="G42" s="125">
        <v>2.5000000000000001E-3</v>
      </c>
      <c r="H42" s="278">
        <v>2139.9</v>
      </c>
      <c r="I42" s="283">
        <v>2280</v>
      </c>
      <c r="J42" s="283">
        <v>2485</v>
      </c>
      <c r="K42" s="283">
        <v>2485</v>
      </c>
      <c r="L42" s="283">
        <v>2480</v>
      </c>
      <c r="M42" s="283">
        <v>2455</v>
      </c>
      <c r="N42" s="283">
        <v>2420</v>
      </c>
      <c r="O42" s="283">
        <v>2360</v>
      </c>
      <c r="P42" s="283">
        <v>2260</v>
      </c>
      <c r="Q42" s="283">
        <v>2140</v>
      </c>
      <c r="R42" s="283">
        <v>2025</v>
      </c>
      <c r="S42" s="283">
        <v>1915</v>
      </c>
      <c r="T42" s="283">
        <v>1810</v>
      </c>
      <c r="U42" s="283">
        <v>1690</v>
      </c>
      <c r="V42" s="284">
        <v>1580</v>
      </c>
      <c r="W42" s="284">
        <v>10345</v>
      </c>
      <c r="X42" s="126">
        <f t="shared" si="2"/>
        <v>42869.9</v>
      </c>
    </row>
    <row r="43" spans="1:24" s="184" customFormat="1" ht="12.75" customHeight="1" x14ac:dyDescent="0.2">
      <c r="A43" s="390">
        <v>19</v>
      </c>
      <c r="B43" s="302" t="s">
        <v>651</v>
      </c>
      <c r="C43" s="392" t="s">
        <v>706</v>
      </c>
      <c r="D43" s="392">
        <v>645</v>
      </c>
      <c r="E43" s="394">
        <v>785535</v>
      </c>
      <c r="F43" s="396" t="s">
        <v>707</v>
      </c>
      <c r="G43" s="304" t="s">
        <v>654</v>
      </c>
      <c r="H43" s="280"/>
      <c r="I43" s="280">
        <v>375</v>
      </c>
      <c r="J43" s="280">
        <v>2000</v>
      </c>
      <c r="K43" s="280">
        <v>4000</v>
      </c>
      <c r="L43" s="280">
        <v>6000</v>
      </c>
      <c r="M43" s="280">
        <v>10000</v>
      </c>
      <c r="N43" s="280">
        <v>20000</v>
      </c>
      <c r="O43" s="280">
        <v>66200</v>
      </c>
      <c r="P43" s="280">
        <v>66200</v>
      </c>
      <c r="Q43" s="280">
        <v>66200</v>
      </c>
      <c r="R43" s="280">
        <v>66200</v>
      </c>
      <c r="S43" s="280">
        <v>66200</v>
      </c>
      <c r="T43" s="280">
        <v>66200</v>
      </c>
      <c r="U43" s="280">
        <v>66200</v>
      </c>
      <c r="V43" s="281">
        <v>66200</v>
      </c>
      <c r="W43" s="281">
        <v>213560</v>
      </c>
      <c r="X43" s="123">
        <f t="shared" si="2"/>
        <v>785535</v>
      </c>
    </row>
    <row r="44" spans="1:24" s="184" customFormat="1" x14ac:dyDescent="0.2">
      <c r="A44" s="391"/>
      <c r="B44" s="124" t="s">
        <v>708</v>
      </c>
      <c r="C44" s="393"/>
      <c r="D44" s="393"/>
      <c r="E44" s="395"/>
      <c r="F44" s="397"/>
      <c r="G44" s="125">
        <v>2.5000000000000001E-3</v>
      </c>
      <c r="H44" s="278">
        <v>1996.56</v>
      </c>
      <c r="I44" s="283">
        <v>2095</v>
      </c>
      <c r="J44" s="283">
        <v>2390</v>
      </c>
      <c r="K44" s="283">
        <v>2380</v>
      </c>
      <c r="L44" s="283">
        <v>2375</v>
      </c>
      <c r="M44" s="283">
        <v>2350</v>
      </c>
      <c r="N44" s="283">
        <v>2315</v>
      </c>
      <c r="O44" s="283">
        <v>2225</v>
      </c>
      <c r="P44" s="283">
        <v>2035</v>
      </c>
      <c r="Q44" s="283">
        <v>1830</v>
      </c>
      <c r="R44" s="283">
        <v>1630</v>
      </c>
      <c r="S44" s="283">
        <v>1425</v>
      </c>
      <c r="T44" s="283">
        <v>1230</v>
      </c>
      <c r="U44" s="283">
        <v>1025</v>
      </c>
      <c r="V44" s="284">
        <v>820</v>
      </c>
      <c r="W44" s="284">
        <v>1290</v>
      </c>
      <c r="X44" s="126">
        <f t="shared" si="2"/>
        <v>29411.559999999998</v>
      </c>
    </row>
    <row r="45" spans="1:24" s="184" customFormat="1" ht="22.5" customHeight="1" x14ac:dyDescent="0.2">
      <c r="A45" s="419">
        <v>20</v>
      </c>
      <c r="B45" s="301" t="s">
        <v>651</v>
      </c>
      <c r="C45" s="413" t="s">
        <v>709</v>
      </c>
      <c r="D45" s="413">
        <v>646</v>
      </c>
      <c r="E45" s="437">
        <f>2223157+31089</f>
        <v>2254246</v>
      </c>
      <c r="F45" s="417" t="s">
        <v>710</v>
      </c>
      <c r="G45" s="304" t="s">
        <v>654</v>
      </c>
      <c r="H45" s="280"/>
      <c r="I45" s="280">
        <v>1500</v>
      </c>
      <c r="J45" s="280">
        <v>4000</v>
      </c>
      <c r="K45" s="280">
        <v>6000</v>
      </c>
      <c r="L45" s="280">
        <v>10000</v>
      </c>
      <c r="M45" s="280">
        <v>20000</v>
      </c>
      <c r="N45" s="280">
        <v>40000</v>
      </c>
      <c r="O45" s="280">
        <v>102248</v>
      </c>
      <c r="P45" s="280">
        <v>102248</v>
      </c>
      <c r="Q45" s="280">
        <v>102248</v>
      </c>
      <c r="R45" s="280">
        <v>102248</v>
      </c>
      <c r="S45" s="280">
        <v>102248</v>
      </c>
      <c r="T45" s="280">
        <v>102248</v>
      </c>
      <c r="U45" s="280">
        <v>102248</v>
      </c>
      <c r="V45" s="281">
        <v>102248</v>
      </c>
      <c r="W45" s="281">
        <v>1354762</v>
      </c>
      <c r="X45" s="123">
        <f t="shared" si="2"/>
        <v>2254246</v>
      </c>
    </row>
    <row r="46" spans="1:24" s="184" customFormat="1" ht="21" customHeight="1" x14ac:dyDescent="0.2">
      <c r="A46" s="420"/>
      <c r="B46" s="124" t="s">
        <v>711</v>
      </c>
      <c r="C46" s="414"/>
      <c r="D46" s="414"/>
      <c r="E46" s="438"/>
      <c r="F46" s="418"/>
      <c r="G46" s="125">
        <v>2.5000000000000001E-3</v>
      </c>
      <c r="H46" s="278">
        <v>5081.24</v>
      </c>
      <c r="I46" s="283">
        <v>6005</v>
      </c>
      <c r="J46" s="283">
        <v>6850</v>
      </c>
      <c r="K46" s="283">
        <v>6840</v>
      </c>
      <c r="L46" s="283">
        <v>6840</v>
      </c>
      <c r="M46" s="283">
        <v>6785</v>
      </c>
      <c r="N46" s="283">
        <v>6710</v>
      </c>
      <c r="O46" s="283">
        <v>6555</v>
      </c>
      <c r="P46" s="283">
        <v>6270</v>
      </c>
      <c r="Q46" s="283">
        <v>5940</v>
      </c>
      <c r="R46" s="283">
        <v>5630</v>
      </c>
      <c r="S46" s="283">
        <v>5320</v>
      </c>
      <c r="T46" s="283">
        <v>5020</v>
      </c>
      <c r="U46" s="283">
        <v>4695</v>
      </c>
      <c r="V46" s="284">
        <v>4385</v>
      </c>
      <c r="W46" s="284">
        <v>28765</v>
      </c>
      <c r="X46" s="126">
        <f t="shared" si="2"/>
        <v>117691.23999999999</v>
      </c>
    </row>
    <row r="47" spans="1:24" s="184" customFormat="1" ht="18" customHeight="1" x14ac:dyDescent="0.2">
      <c r="A47" s="411">
        <v>21</v>
      </c>
      <c r="B47" s="301" t="s">
        <v>651</v>
      </c>
      <c r="C47" s="413" t="s">
        <v>402</v>
      </c>
      <c r="D47" s="413">
        <v>647</v>
      </c>
      <c r="E47" s="415">
        <v>1632032</v>
      </c>
      <c r="F47" s="417" t="s">
        <v>710</v>
      </c>
      <c r="G47" s="304" t="s">
        <v>654</v>
      </c>
      <c r="H47" s="277">
        <v>28759.48</v>
      </c>
      <c r="I47" s="285">
        <v>375.82</v>
      </c>
      <c r="J47" s="280">
        <v>2000</v>
      </c>
      <c r="K47" s="280">
        <v>6000</v>
      </c>
      <c r="L47" s="280">
        <v>20000</v>
      </c>
      <c r="M47" s="280">
        <v>40000</v>
      </c>
      <c r="N47" s="280">
        <v>60000</v>
      </c>
      <c r="O47" s="281">
        <v>65168</v>
      </c>
      <c r="P47" s="281">
        <v>65168</v>
      </c>
      <c r="Q47" s="281">
        <v>65168</v>
      </c>
      <c r="R47" s="281">
        <v>65168</v>
      </c>
      <c r="S47" s="281">
        <v>65168</v>
      </c>
      <c r="T47" s="281">
        <v>65168</v>
      </c>
      <c r="U47" s="281">
        <v>65168</v>
      </c>
      <c r="V47" s="281">
        <v>65168</v>
      </c>
      <c r="W47" s="281">
        <v>863457</v>
      </c>
      <c r="X47" s="123">
        <f t="shared" si="2"/>
        <v>1541936.3</v>
      </c>
    </row>
    <row r="48" spans="1:24" s="184" customFormat="1" ht="15.75" customHeight="1" x14ac:dyDescent="0.2">
      <c r="A48" s="412"/>
      <c r="B48" s="124" t="s">
        <v>712</v>
      </c>
      <c r="C48" s="414"/>
      <c r="D48" s="414"/>
      <c r="E48" s="416"/>
      <c r="F48" s="418"/>
      <c r="G48" s="125">
        <v>2.5000000000000001E-3</v>
      </c>
      <c r="H48" s="278">
        <v>3580.77</v>
      </c>
      <c r="I48" s="283">
        <v>4030</v>
      </c>
      <c r="J48" s="283">
        <v>4605</v>
      </c>
      <c r="K48" s="283">
        <v>4595</v>
      </c>
      <c r="L48" s="283">
        <v>4580</v>
      </c>
      <c r="M48" s="283">
        <v>4495</v>
      </c>
      <c r="N48" s="283">
        <v>4365</v>
      </c>
      <c r="O48" s="283">
        <v>4185</v>
      </c>
      <c r="P48" s="283">
        <v>3995</v>
      </c>
      <c r="Q48" s="283">
        <v>3790</v>
      </c>
      <c r="R48" s="283">
        <v>3590</v>
      </c>
      <c r="S48" s="283">
        <v>3390</v>
      </c>
      <c r="T48" s="283">
        <v>3200</v>
      </c>
      <c r="U48" s="283">
        <v>2995</v>
      </c>
      <c r="V48" s="284">
        <v>2795</v>
      </c>
      <c r="W48" s="284">
        <v>18335</v>
      </c>
      <c r="X48" s="126">
        <f t="shared" si="2"/>
        <v>76525.77</v>
      </c>
    </row>
    <row r="49" spans="1:24" s="184" customFormat="1" ht="18.75" customHeight="1" x14ac:dyDescent="0.2">
      <c r="A49" s="419">
        <v>22</v>
      </c>
      <c r="B49" s="301" t="s">
        <v>651</v>
      </c>
      <c r="C49" s="392" t="s">
        <v>713</v>
      </c>
      <c r="D49" s="392">
        <v>649</v>
      </c>
      <c r="E49" s="431">
        <f>1181972+164205</f>
        <v>1346177</v>
      </c>
      <c r="F49" s="396" t="s">
        <v>714</v>
      </c>
      <c r="G49" s="304" t="s">
        <v>654</v>
      </c>
      <c r="H49" s="280"/>
      <c r="I49" s="280">
        <v>500</v>
      </c>
      <c r="J49" s="280">
        <v>2000</v>
      </c>
      <c r="K49" s="280">
        <v>6000</v>
      </c>
      <c r="L49" s="280">
        <v>10000</v>
      </c>
      <c r="M49" s="280">
        <v>20000</v>
      </c>
      <c r="N49" s="280">
        <v>40000</v>
      </c>
      <c r="O49" s="280">
        <v>51324</v>
      </c>
      <c r="P49" s="280">
        <v>59336</v>
      </c>
      <c r="Q49" s="280">
        <v>59336</v>
      </c>
      <c r="R49" s="280">
        <v>59336</v>
      </c>
      <c r="S49" s="280">
        <v>59336</v>
      </c>
      <c r="T49" s="280">
        <v>59336</v>
      </c>
      <c r="U49" s="280">
        <v>59336</v>
      </c>
      <c r="V49" s="281">
        <v>59336</v>
      </c>
      <c r="W49" s="281">
        <v>801001</v>
      </c>
      <c r="X49" s="123">
        <f t="shared" si="2"/>
        <v>1346177</v>
      </c>
    </row>
    <row r="50" spans="1:24" s="184" customFormat="1" ht="15" customHeight="1" x14ac:dyDescent="0.2">
      <c r="A50" s="420"/>
      <c r="B50" s="124" t="s">
        <v>715</v>
      </c>
      <c r="C50" s="393"/>
      <c r="D50" s="393"/>
      <c r="E50" s="432"/>
      <c r="F50" s="397"/>
      <c r="G50" s="125">
        <v>2.5000000000000001E-3</v>
      </c>
      <c r="H50" s="278">
        <v>3421.54</v>
      </c>
      <c r="I50" s="283">
        <v>3585</v>
      </c>
      <c r="J50" s="283">
        <v>4095</v>
      </c>
      <c r="K50" s="283">
        <v>4085</v>
      </c>
      <c r="L50" s="283">
        <v>4075</v>
      </c>
      <c r="M50" s="283">
        <v>4030</v>
      </c>
      <c r="N50" s="283">
        <v>3960</v>
      </c>
      <c r="O50" s="283">
        <v>3830</v>
      </c>
      <c r="P50" s="283">
        <v>3685</v>
      </c>
      <c r="Q50" s="283">
        <v>3495</v>
      </c>
      <c r="R50" s="283">
        <v>3315</v>
      </c>
      <c r="S50" s="283">
        <v>3135</v>
      </c>
      <c r="T50" s="283">
        <v>2960</v>
      </c>
      <c r="U50" s="283">
        <v>2770</v>
      </c>
      <c r="V50" s="284">
        <v>2590</v>
      </c>
      <c r="W50" s="284">
        <f>17315-5</f>
        <v>17310</v>
      </c>
      <c r="X50" s="126">
        <f t="shared" si="2"/>
        <v>70341.540000000008</v>
      </c>
    </row>
    <row r="51" spans="1:24" s="184" customFormat="1" ht="12.75" customHeight="1" x14ac:dyDescent="0.2">
      <c r="A51" s="390">
        <v>23</v>
      </c>
      <c r="B51" s="301" t="s">
        <v>651</v>
      </c>
      <c r="C51" s="392" t="s">
        <v>716</v>
      </c>
      <c r="D51" s="392">
        <v>650</v>
      </c>
      <c r="E51" s="394">
        <f>1108154-97425-61240.54</f>
        <v>949488.46</v>
      </c>
      <c r="F51" s="396" t="s">
        <v>717</v>
      </c>
      <c r="G51" s="304" t="s">
        <v>654</v>
      </c>
      <c r="H51" s="277">
        <f>35241.58+89706.67</f>
        <v>124948.25</v>
      </c>
      <c r="I51" s="285">
        <v>750.21</v>
      </c>
      <c r="J51" s="280">
        <v>2000</v>
      </c>
      <c r="K51" s="280">
        <v>4000</v>
      </c>
      <c r="L51" s="280">
        <v>10000</v>
      </c>
      <c r="M51" s="280">
        <v>16000</v>
      </c>
      <c r="N51" s="280">
        <v>28000</v>
      </c>
      <c r="O51" s="280">
        <v>35944</v>
      </c>
      <c r="P51" s="280">
        <v>35944</v>
      </c>
      <c r="Q51" s="280">
        <v>35944</v>
      </c>
      <c r="R51" s="280">
        <v>35944</v>
      </c>
      <c r="S51" s="280">
        <v>35944</v>
      </c>
      <c r="T51" s="280">
        <v>35944</v>
      </c>
      <c r="U51" s="280">
        <v>35944</v>
      </c>
      <c r="V51" s="280">
        <v>35944</v>
      </c>
      <c r="W51" s="281">
        <v>476238</v>
      </c>
      <c r="X51" s="123">
        <f t="shared" si="2"/>
        <v>949488.46</v>
      </c>
    </row>
    <row r="52" spans="1:24" s="184" customFormat="1" x14ac:dyDescent="0.2">
      <c r="A52" s="391"/>
      <c r="B52" s="124" t="s">
        <v>718</v>
      </c>
      <c r="C52" s="393"/>
      <c r="D52" s="393"/>
      <c r="E52" s="395"/>
      <c r="F52" s="397"/>
      <c r="G52" s="125">
        <v>2.5000000000000001E-3</v>
      </c>
      <c r="H52" s="278">
        <v>2098.5700000000002</v>
      </c>
      <c r="I52" s="283">
        <v>2200</v>
      </c>
      <c r="J52" s="283">
        <v>2505</v>
      </c>
      <c r="K52" s="283">
        <v>2500</v>
      </c>
      <c r="L52" s="283">
        <v>2490</v>
      </c>
      <c r="M52" s="283">
        <v>2450</v>
      </c>
      <c r="N52" s="283">
        <v>2395</v>
      </c>
      <c r="O52" s="283">
        <v>2310</v>
      </c>
      <c r="P52" s="283">
        <v>2205</v>
      </c>
      <c r="Q52" s="283">
        <v>2090</v>
      </c>
      <c r="R52" s="283">
        <v>1980</v>
      </c>
      <c r="S52" s="283">
        <v>1870</v>
      </c>
      <c r="T52" s="283">
        <v>1765</v>
      </c>
      <c r="U52" s="283">
        <v>1655</v>
      </c>
      <c r="V52" s="284">
        <v>1545</v>
      </c>
      <c r="W52" s="284">
        <v>10115</v>
      </c>
      <c r="X52" s="126">
        <f t="shared" si="2"/>
        <v>42173.57</v>
      </c>
    </row>
    <row r="53" spans="1:24" s="184" customFormat="1" ht="12.75" customHeight="1" x14ac:dyDescent="0.2">
      <c r="A53" s="419">
        <v>24</v>
      </c>
      <c r="B53" s="301" t="s">
        <v>651</v>
      </c>
      <c r="C53" s="392" t="s">
        <v>719</v>
      </c>
      <c r="D53" s="392">
        <v>651</v>
      </c>
      <c r="E53" s="394">
        <f>225000-4003.53</f>
        <v>220996.47</v>
      </c>
      <c r="F53" s="396" t="s">
        <v>720</v>
      </c>
      <c r="G53" s="304" t="s">
        <v>654</v>
      </c>
      <c r="H53" s="280"/>
      <c r="I53" s="280">
        <v>375</v>
      </c>
      <c r="J53" s="280">
        <v>2000</v>
      </c>
      <c r="K53" s="280">
        <v>4000</v>
      </c>
      <c r="L53" s="280">
        <v>6000</v>
      </c>
      <c r="M53" s="280">
        <v>8000</v>
      </c>
      <c r="N53" s="280">
        <v>16380</v>
      </c>
      <c r="O53" s="280">
        <v>16380</v>
      </c>
      <c r="P53" s="280">
        <v>16380</v>
      </c>
      <c r="Q53" s="280">
        <v>16380</v>
      </c>
      <c r="R53" s="280">
        <v>16380</v>
      </c>
      <c r="S53" s="280">
        <v>16380</v>
      </c>
      <c r="T53" s="280">
        <v>16380</v>
      </c>
      <c r="U53" s="280">
        <v>16380</v>
      </c>
      <c r="V53" s="281">
        <v>16380</v>
      </c>
      <c r="W53" s="281">
        <v>53201.47</v>
      </c>
      <c r="X53" s="123">
        <f t="shared" si="2"/>
        <v>220996.47</v>
      </c>
    </row>
    <row r="54" spans="1:24" s="184" customFormat="1" x14ac:dyDescent="0.2">
      <c r="A54" s="420"/>
      <c r="B54" s="124" t="s">
        <v>721</v>
      </c>
      <c r="C54" s="393"/>
      <c r="D54" s="393"/>
      <c r="E54" s="395"/>
      <c r="F54" s="397"/>
      <c r="G54" s="125">
        <v>2.5000000000000001E-3</v>
      </c>
      <c r="H54" s="278">
        <v>561.70000000000005</v>
      </c>
      <c r="I54" s="283">
        <v>590</v>
      </c>
      <c r="J54" s="283">
        <v>670</v>
      </c>
      <c r="K54" s="283">
        <v>665</v>
      </c>
      <c r="L54" s="283">
        <v>655</v>
      </c>
      <c r="M54" s="283">
        <v>635</v>
      </c>
      <c r="N54" s="283">
        <v>605</v>
      </c>
      <c r="O54" s="283">
        <v>555</v>
      </c>
      <c r="P54" s="283">
        <v>505</v>
      </c>
      <c r="Q54" s="283">
        <v>455</v>
      </c>
      <c r="R54" s="283">
        <v>405</v>
      </c>
      <c r="S54" s="283">
        <v>355</v>
      </c>
      <c r="T54" s="283">
        <v>305</v>
      </c>
      <c r="U54" s="283">
        <v>255</v>
      </c>
      <c r="V54" s="284">
        <v>205</v>
      </c>
      <c r="W54" s="284">
        <f>325-5</f>
        <v>320</v>
      </c>
      <c r="X54" s="196">
        <f t="shared" si="2"/>
        <v>7741.7</v>
      </c>
    </row>
    <row r="55" spans="1:24" s="148" customFormat="1" ht="12.75" customHeight="1" x14ac:dyDescent="0.2">
      <c r="A55" s="390">
        <v>25</v>
      </c>
      <c r="B55" s="301" t="s">
        <v>651</v>
      </c>
      <c r="C55" s="392" t="s">
        <v>722</v>
      </c>
      <c r="D55" s="392">
        <v>652</v>
      </c>
      <c r="E55" s="394">
        <f>888438-1.11</f>
        <v>888436.89</v>
      </c>
      <c r="F55" s="396" t="s">
        <v>723</v>
      </c>
      <c r="G55" s="304" t="s">
        <v>654</v>
      </c>
      <c r="H55" s="280"/>
      <c r="I55" s="280">
        <v>500</v>
      </c>
      <c r="J55" s="280">
        <v>2500</v>
      </c>
      <c r="K55" s="280">
        <v>6000</v>
      </c>
      <c r="L55" s="280">
        <v>10000</v>
      </c>
      <c r="M55" s="280">
        <v>20000</v>
      </c>
      <c r="N55" s="280">
        <v>40000</v>
      </c>
      <c r="O55" s="280">
        <v>70384</v>
      </c>
      <c r="P55" s="280">
        <v>70384</v>
      </c>
      <c r="Q55" s="280">
        <v>70384</v>
      </c>
      <c r="R55" s="280">
        <v>70384</v>
      </c>
      <c r="S55" s="280">
        <v>70384</v>
      </c>
      <c r="T55" s="280">
        <v>70384</v>
      </c>
      <c r="U55" s="280">
        <v>70384</v>
      </c>
      <c r="V55" s="281">
        <v>70384</v>
      </c>
      <c r="W55" s="282">
        <f>246366-1.11</f>
        <v>246364.89</v>
      </c>
      <c r="X55" s="197">
        <f t="shared" si="2"/>
        <v>888436.89</v>
      </c>
    </row>
    <row r="56" spans="1:24" s="148" customFormat="1" ht="12.75" customHeight="1" x14ac:dyDescent="0.2">
      <c r="A56" s="391"/>
      <c r="B56" s="124" t="s">
        <v>724</v>
      </c>
      <c r="C56" s="393"/>
      <c r="D56" s="393"/>
      <c r="E56" s="395"/>
      <c r="F56" s="397"/>
      <c r="G56" s="125">
        <v>2.5000000000000001E-3</v>
      </c>
      <c r="H56" s="278">
        <v>2258.1</v>
      </c>
      <c r="I56" s="283">
        <f>2705-335</f>
        <v>2370</v>
      </c>
      <c r="J56" s="283">
        <v>2700</v>
      </c>
      <c r="K56" s="283">
        <v>2690</v>
      </c>
      <c r="L56" s="283">
        <v>2680</v>
      </c>
      <c r="M56" s="283">
        <v>2635</v>
      </c>
      <c r="N56" s="283">
        <v>2565</v>
      </c>
      <c r="O56" s="283">
        <v>2425</v>
      </c>
      <c r="P56" s="283">
        <v>2225</v>
      </c>
      <c r="Q56" s="283">
        <v>2005</v>
      </c>
      <c r="R56" s="283">
        <v>1790</v>
      </c>
      <c r="S56" s="283">
        <v>1575</v>
      </c>
      <c r="T56" s="283">
        <v>1365</v>
      </c>
      <c r="U56" s="283">
        <v>1145</v>
      </c>
      <c r="V56" s="284">
        <v>935</v>
      </c>
      <c r="W56" s="284">
        <f>1585-5</f>
        <v>1580</v>
      </c>
      <c r="X56" s="198">
        <f t="shared" si="2"/>
        <v>32943.1</v>
      </c>
    </row>
    <row r="57" spans="1:24" s="184" customFormat="1" ht="18.75" customHeight="1" x14ac:dyDescent="0.2">
      <c r="A57" s="419">
        <v>26</v>
      </c>
      <c r="B57" s="301" t="s">
        <v>651</v>
      </c>
      <c r="C57" s="392" t="s">
        <v>725</v>
      </c>
      <c r="D57" s="392">
        <v>653</v>
      </c>
      <c r="E57" s="394">
        <f>74835+24822-0.26+294955-28536.73</f>
        <v>366075.01</v>
      </c>
      <c r="F57" s="396" t="s">
        <v>726</v>
      </c>
      <c r="G57" s="304" t="s">
        <v>654</v>
      </c>
      <c r="H57" s="277">
        <f>50000+25000+28377.19</f>
        <v>103377.19</v>
      </c>
      <c r="I57" s="285">
        <v>500.82</v>
      </c>
      <c r="J57" s="280">
        <v>3000</v>
      </c>
      <c r="K57" s="280">
        <v>47128</v>
      </c>
      <c r="L57" s="280">
        <v>47128</v>
      </c>
      <c r="M57" s="280">
        <v>47128</v>
      </c>
      <c r="N57" s="280">
        <v>47128</v>
      </c>
      <c r="O57" s="280">
        <v>47128</v>
      </c>
      <c r="P57" s="285">
        <v>23557</v>
      </c>
      <c r="Q57" s="280"/>
      <c r="R57" s="280"/>
      <c r="S57" s="280"/>
      <c r="T57" s="280"/>
      <c r="U57" s="280"/>
      <c r="V57" s="281"/>
      <c r="W57" s="281"/>
      <c r="X57" s="199">
        <f t="shared" si="2"/>
        <v>366075.01</v>
      </c>
    </row>
    <row r="58" spans="1:24" s="184" customFormat="1" ht="15.75" customHeight="1" x14ac:dyDescent="0.2">
      <c r="A58" s="420"/>
      <c r="B58" s="124" t="s">
        <v>727</v>
      </c>
      <c r="C58" s="393"/>
      <c r="D58" s="393"/>
      <c r="E58" s="395"/>
      <c r="F58" s="397"/>
      <c r="G58" s="125">
        <v>2.5000000000000001E-3</v>
      </c>
      <c r="H58" s="278">
        <v>792.78</v>
      </c>
      <c r="I58" s="283">
        <f>890-115-75</f>
        <v>700</v>
      </c>
      <c r="J58" s="283">
        <f>885-85</f>
        <v>800</v>
      </c>
      <c r="K58" s="283">
        <v>760</v>
      </c>
      <c r="L58" s="283">
        <v>625</v>
      </c>
      <c r="M58" s="283">
        <v>480</v>
      </c>
      <c r="N58" s="283">
        <v>340</v>
      </c>
      <c r="O58" s="283">
        <v>195</v>
      </c>
      <c r="P58" s="283">
        <v>55</v>
      </c>
      <c r="Q58" s="283"/>
      <c r="R58" s="283"/>
      <c r="S58" s="283"/>
      <c r="T58" s="283"/>
      <c r="U58" s="283"/>
      <c r="V58" s="284"/>
      <c r="W58" s="284"/>
      <c r="X58" s="126">
        <f t="shared" si="2"/>
        <v>4747.78</v>
      </c>
    </row>
    <row r="59" spans="1:24" s="184" customFormat="1" ht="12.75" customHeight="1" x14ac:dyDescent="0.2">
      <c r="A59" s="390">
        <v>27</v>
      </c>
      <c r="B59" s="302" t="s">
        <v>651</v>
      </c>
      <c r="C59" s="392" t="s">
        <v>728</v>
      </c>
      <c r="D59" s="392">
        <v>654</v>
      </c>
      <c r="E59" s="394">
        <v>74150</v>
      </c>
      <c r="F59" s="396" t="s">
        <v>729</v>
      </c>
      <c r="G59" s="304" t="s">
        <v>654</v>
      </c>
      <c r="H59" s="280"/>
      <c r="I59" s="280">
        <v>500</v>
      </c>
      <c r="J59" s="280">
        <v>2000</v>
      </c>
      <c r="K59" s="280">
        <v>3000</v>
      </c>
      <c r="L59" s="280">
        <v>4380</v>
      </c>
      <c r="M59" s="280">
        <v>4760</v>
      </c>
      <c r="N59" s="280">
        <v>4760</v>
      </c>
      <c r="O59" s="280">
        <v>4760</v>
      </c>
      <c r="P59" s="280">
        <v>4760</v>
      </c>
      <c r="Q59" s="280">
        <v>4760</v>
      </c>
      <c r="R59" s="280">
        <v>4760</v>
      </c>
      <c r="S59" s="280">
        <v>4760</v>
      </c>
      <c r="T59" s="280">
        <v>4760</v>
      </c>
      <c r="U59" s="280">
        <v>4760</v>
      </c>
      <c r="V59" s="281">
        <v>4760</v>
      </c>
      <c r="W59" s="281">
        <v>16670</v>
      </c>
      <c r="X59" s="123">
        <f t="shared" si="2"/>
        <v>74150</v>
      </c>
    </row>
    <row r="60" spans="1:24" s="184" customFormat="1" x14ac:dyDescent="0.2">
      <c r="A60" s="391"/>
      <c r="B60" s="124" t="s">
        <v>730</v>
      </c>
      <c r="C60" s="393"/>
      <c r="D60" s="393"/>
      <c r="E60" s="395"/>
      <c r="F60" s="397"/>
      <c r="G60" s="125">
        <v>2.5000000000000001E-3</v>
      </c>
      <c r="H60" s="278">
        <v>188.46</v>
      </c>
      <c r="I60" s="283">
        <f>230-30</f>
        <v>200</v>
      </c>
      <c r="J60" s="283">
        <v>225</v>
      </c>
      <c r="K60" s="283">
        <v>220</v>
      </c>
      <c r="L60" s="283">
        <v>210</v>
      </c>
      <c r="M60" s="283">
        <v>195</v>
      </c>
      <c r="N60" s="283">
        <v>180</v>
      </c>
      <c r="O60" s="283">
        <v>165</v>
      </c>
      <c r="P60" s="283">
        <v>155</v>
      </c>
      <c r="Q60" s="283">
        <v>140</v>
      </c>
      <c r="R60" s="283">
        <v>125</v>
      </c>
      <c r="S60" s="283">
        <v>110</v>
      </c>
      <c r="T60" s="283">
        <v>95</v>
      </c>
      <c r="U60" s="283">
        <v>80</v>
      </c>
      <c r="V60" s="284">
        <v>65</v>
      </c>
      <c r="W60" s="284">
        <v>110</v>
      </c>
      <c r="X60" s="126">
        <f t="shared" si="2"/>
        <v>2463.46</v>
      </c>
    </row>
    <row r="61" spans="1:24" s="184" customFormat="1" ht="18" customHeight="1" x14ac:dyDescent="0.2">
      <c r="A61" s="419">
        <v>28</v>
      </c>
      <c r="B61" s="302" t="s">
        <v>651</v>
      </c>
      <c r="C61" s="392" t="s">
        <v>731</v>
      </c>
      <c r="D61" s="392">
        <v>655</v>
      </c>
      <c r="E61" s="394">
        <v>250000</v>
      </c>
      <c r="F61" s="396" t="s">
        <v>732</v>
      </c>
      <c r="G61" s="304" t="s">
        <v>654</v>
      </c>
      <c r="H61" s="280"/>
      <c r="I61" s="280">
        <v>300</v>
      </c>
      <c r="J61" s="280">
        <v>1000</v>
      </c>
      <c r="K61" s="280">
        <v>2000</v>
      </c>
      <c r="L61" s="280">
        <v>3000</v>
      </c>
      <c r="M61" s="280">
        <v>6000</v>
      </c>
      <c r="N61" s="280">
        <v>18644</v>
      </c>
      <c r="O61" s="280">
        <v>18644</v>
      </c>
      <c r="P61" s="280">
        <v>18644</v>
      </c>
      <c r="Q61" s="280">
        <v>18644</v>
      </c>
      <c r="R61" s="280">
        <v>18644</v>
      </c>
      <c r="S61" s="280">
        <v>18644</v>
      </c>
      <c r="T61" s="280">
        <v>18644</v>
      </c>
      <c r="U61" s="280">
        <v>18644</v>
      </c>
      <c r="V61" s="281">
        <v>18644</v>
      </c>
      <c r="W61" s="281">
        <v>69904</v>
      </c>
      <c r="X61" s="123">
        <f t="shared" si="2"/>
        <v>250000</v>
      </c>
    </row>
    <row r="62" spans="1:24" s="184" customFormat="1" ht="17.25" customHeight="1" x14ac:dyDescent="0.2">
      <c r="A62" s="420"/>
      <c r="B62" s="124" t="s">
        <v>733</v>
      </c>
      <c r="C62" s="393"/>
      <c r="D62" s="393"/>
      <c r="E62" s="395"/>
      <c r="F62" s="397"/>
      <c r="G62" s="125">
        <v>2.5000000000000001E-3</v>
      </c>
      <c r="H62" s="278">
        <v>635.41999999999996</v>
      </c>
      <c r="I62" s="283">
        <v>635</v>
      </c>
      <c r="J62" s="283">
        <v>635</v>
      </c>
      <c r="K62" s="283">
        <v>630</v>
      </c>
      <c r="L62" s="283">
        <v>630</v>
      </c>
      <c r="M62" s="283">
        <v>620</v>
      </c>
      <c r="N62" s="283">
        <v>595</v>
      </c>
      <c r="O62" s="283">
        <v>550</v>
      </c>
      <c r="P62" s="283">
        <v>505</v>
      </c>
      <c r="Q62" s="283">
        <v>455</v>
      </c>
      <c r="R62" s="283">
        <v>410</v>
      </c>
      <c r="S62" s="283">
        <v>360</v>
      </c>
      <c r="T62" s="283">
        <v>315</v>
      </c>
      <c r="U62" s="283">
        <v>265</v>
      </c>
      <c r="V62" s="284">
        <v>220</v>
      </c>
      <c r="W62" s="284">
        <v>400</v>
      </c>
      <c r="X62" s="126">
        <f t="shared" si="2"/>
        <v>7860.42</v>
      </c>
    </row>
    <row r="63" spans="1:24" s="184" customFormat="1" ht="12.75" customHeight="1" x14ac:dyDescent="0.2">
      <c r="A63" s="390">
        <v>29</v>
      </c>
      <c r="B63" s="302" t="s">
        <v>651</v>
      </c>
      <c r="C63" s="392" t="s">
        <v>734</v>
      </c>
      <c r="D63" s="392">
        <v>656</v>
      </c>
      <c r="E63" s="394">
        <v>4203541</v>
      </c>
      <c r="F63" s="396" t="s">
        <v>735</v>
      </c>
      <c r="G63" s="304" t="s">
        <v>654</v>
      </c>
      <c r="H63" s="141">
        <v>750</v>
      </c>
      <c r="I63" s="141">
        <v>1000</v>
      </c>
      <c r="J63" s="141">
        <v>3000</v>
      </c>
      <c r="K63" s="141">
        <v>4000</v>
      </c>
      <c r="L63" s="141">
        <v>5000</v>
      </c>
      <c r="M63" s="141">
        <v>10000</v>
      </c>
      <c r="N63" s="141">
        <v>20000</v>
      </c>
      <c r="O63" s="141">
        <v>50000</v>
      </c>
      <c r="P63" s="141">
        <v>62000</v>
      </c>
      <c r="Q63" s="141">
        <v>80000</v>
      </c>
      <c r="R63" s="141">
        <v>223540</v>
      </c>
      <c r="S63" s="141">
        <v>223540</v>
      </c>
      <c r="T63" s="141">
        <v>223540</v>
      </c>
      <c r="U63" s="147">
        <v>223540</v>
      </c>
      <c r="V63" s="147">
        <v>223540</v>
      </c>
      <c r="W63" s="281">
        <v>2850091</v>
      </c>
      <c r="X63" s="123">
        <f t="shared" si="2"/>
        <v>4203541</v>
      </c>
    </row>
    <row r="64" spans="1:24" s="184" customFormat="1" x14ac:dyDescent="0.2">
      <c r="A64" s="391"/>
      <c r="B64" s="124" t="s">
        <v>736</v>
      </c>
      <c r="C64" s="393"/>
      <c r="D64" s="393"/>
      <c r="E64" s="395"/>
      <c r="F64" s="397"/>
      <c r="G64" s="125">
        <v>2.5000000000000001E-3</v>
      </c>
      <c r="H64" s="318">
        <v>10683.8</v>
      </c>
      <c r="I64" s="142">
        <v>12785</v>
      </c>
      <c r="J64" s="142">
        <v>12780</v>
      </c>
      <c r="K64" s="142">
        <v>12770</v>
      </c>
      <c r="L64" s="142">
        <v>12795</v>
      </c>
      <c r="M64" s="142">
        <v>12740</v>
      </c>
      <c r="N64" s="142">
        <v>12705</v>
      </c>
      <c r="O64" s="142">
        <v>12625</v>
      </c>
      <c r="P64" s="142">
        <v>12505</v>
      </c>
      <c r="Q64" s="142">
        <v>12275</v>
      </c>
      <c r="R64" s="142">
        <v>11940</v>
      </c>
      <c r="S64" s="142">
        <v>11285</v>
      </c>
      <c r="T64" s="142">
        <v>10635</v>
      </c>
      <c r="U64" s="144">
        <v>9925</v>
      </c>
      <c r="V64" s="144">
        <v>9245</v>
      </c>
      <c r="W64" s="284">
        <v>58345</v>
      </c>
      <c r="X64" s="126">
        <f t="shared" si="2"/>
        <v>236038.8</v>
      </c>
    </row>
    <row r="65" spans="1:24" s="184" customFormat="1" ht="16.5" customHeight="1" x14ac:dyDescent="0.2">
      <c r="A65" s="390">
        <v>30</v>
      </c>
      <c r="B65" s="301" t="s">
        <v>651</v>
      </c>
      <c r="C65" s="392" t="s">
        <v>737</v>
      </c>
      <c r="D65" s="392">
        <v>657</v>
      </c>
      <c r="E65" s="431">
        <v>546548</v>
      </c>
      <c r="F65" s="396" t="s">
        <v>738</v>
      </c>
      <c r="G65" s="304" t="s">
        <v>654</v>
      </c>
      <c r="H65" s="279">
        <f>25690.95+81396.09+34394.03</f>
        <v>141481.07</v>
      </c>
      <c r="I65" s="285">
        <v>250.15</v>
      </c>
      <c r="J65" s="280">
        <v>2250</v>
      </c>
      <c r="K65" s="280">
        <v>8000</v>
      </c>
      <c r="L65" s="280">
        <v>70472</v>
      </c>
      <c r="M65" s="280">
        <v>70472</v>
      </c>
      <c r="N65" s="280">
        <v>70472</v>
      </c>
      <c r="O65" s="280">
        <v>70472</v>
      </c>
      <c r="P65" s="285">
        <v>52844</v>
      </c>
      <c r="Q65" s="280"/>
      <c r="R65" s="280"/>
      <c r="S65" s="280"/>
      <c r="T65" s="280"/>
      <c r="U65" s="141"/>
      <c r="V65" s="143"/>
      <c r="W65" s="147"/>
      <c r="X65" s="123">
        <f t="shared" si="2"/>
        <v>486713.22</v>
      </c>
    </row>
    <row r="66" spans="1:24" s="184" customFormat="1" ht="15" customHeight="1" x14ac:dyDescent="0.2">
      <c r="A66" s="391"/>
      <c r="B66" s="124" t="s">
        <v>739</v>
      </c>
      <c r="C66" s="393"/>
      <c r="D66" s="393"/>
      <c r="E66" s="432"/>
      <c r="F66" s="397"/>
      <c r="G66" s="125">
        <v>2.5000000000000001E-3</v>
      </c>
      <c r="H66" s="278">
        <v>1069.44</v>
      </c>
      <c r="I66" s="283">
        <v>1055</v>
      </c>
      <c r="J66" s="283">
        <v>1050</v>
      </c>
      <c r="K66" s="283">
        <v>1040</v>
      </c>
      <c r="L66" s="283">
        <v>980</v>
      </c>
      <c r="M66" s="283">
        <v>775</v>
      </c>
      <c r="N66" s="283">
        <v>560</v>
      </c>
      <c r="O66" s="283">
        <v>345</v>
      </c>
      <c r="P66" s="283">
        <v>130</v>
      </c>
      <c r="Q66" s="283"/>
      <c r="R66" s="283"/>
      <c r="S66" s="283"/>
      <c r="T66" s="283"/>
      <c r="U66" s="142"/>
      <c r="V66" s="144"/>
      <c r="W66" s="144"/>
      <c r="X66" s="126">
        <f t="shared" si="2"/>
        <v>7004.4400000000005</v>
      </c>
    </row>
    <row r="67" spans="1:24" s="184" customFormat="1" ht="17.25" customHeight="1" x14ac:dyDescent="0.2">
      <c r="A67" s="419">
        <v>31</v>
      </c>
      <c r="B67" s="301" t="s">
        <v>651</v>
      </c>
      <c r="C67" s="392" t="s">
        <v>740</v>
      </c>
      <c r="D67" s="392">
        <v>658</v>
      </c>
      <c r="E67" s="394">
        <f>149917-0.42</f>
        <v>149916.57999999999</v>
      </c>
      <c r="F67" s="396" t="s">
        <v>741</v>
      </c>
      <c r="G67" s="304" t="s">
        <v>654</v>
      </c>
      <c r="H67" s="280"/>
      <c r="I67" s="280">
        <v>200</v>
      </c>
      <c r="J67" s="280">
        <v>1000</v>
      </c>
      <c r="K67" s="280">
        <v>1000</v>
      </c>
      <c r="L67" s="280">
        <v>2000</v>
      </c>
      <c r="M67" s="280">
        <v>2000</v>
      </c>
      <c r="N67" s="280">
        <v>11272</v>
      </c>
      <c r="O67" s="280">
        <v>11272</v>
      </c>
      <c r="P67" s="280">
        <v>11272</v>
      </c>
      <c r="Q67" s="280">
        <v>11272</v>
      </c>
      <c r="R67" s="280">
        <v>11272</v>
      </c>
      <c r="S67" s="280">
        <v>11272</v>
      </c>
      <c r="T67" s="280">
        <v>11272</v>
      </c>
      <c r="U67" s="280">
        <v>11272</v>
      </c>
      <c r="V67" s="280">
        <f>11272</f>
        <v>11272</v>
      </c>
      <c r="W67" s="285">
        <v>42268.58</v>
      </c>
      <c r="X67" s="123">
        <f t="shared" si="2"/>
        <v>149916.58000000002</v>
      </c>
    </row>
    <row r="68" spans="1:24" s="184" customFormat="1" ht="17.25" customHeight="1" x14ac:dyDescent="0.2">
      <c r="A68" s="420"/>
      <c r="B68" s="124" t="s">
        <v>739</v>
      </c>
      <c r="C68" s="393"/>
      <c r="D68" s="393"/>
      <c r="E68" s="395"/>
      <c r="F68" s="397"/>
      <c r="G68" s="125">
        <v>2.5000000000000001E-3</v>
      </c>
      <c r="H68" s="278">
        <v>381.04</v>
      </c>
      <c r="I68" s="283">
        <v>380</v>
      </c>
      <c r="J68" s="283">
        <v>380</v>
      </c>
      <c r="K68" s="283">
        <v>380</v>
      </c>
      <c r="L68" s="283">
        <v>375</v>
      </c>
      <c r="M68" s="283">
        <v>370</v>
      </c>
      <c r="N68" s="283">
        <v>360</v>
      </c>
      <c r="O68" s="283">
        <v>335</v>
      </c>
      <c r="P68" s="283">
        <v>305</v>
      </c>
      <c r="Q68" s="283">
        <v>275</v>
      </c>
      <c r="R68" s="283">
        <v>250</v>
      </c>
      <c r="S68" s="283">
        <v>220</v>
      </c>
      <c r="T68" s="283">
        <v>190</v>
      </c>
      <c r="U68" s="283">
        <v>160</v>
      </c>
      <c r="V68" s="283">
        <v>135</v>
      </c>
      <c r="W68" s="283">
        <v>240</v>
      </c>
      <c r="X68" s="126">
        <f t="shared" si="2"/>
        <v>4736.04</v>
      </c>
    </row>
    <row r="69" spans="1:24" s="184" customFormat="1" ht="17.25" customHeight="1" x14ac:dyDescent="0.2">
      <c r="A69" s="390">
        <v>32</v>
      </c>
      <c r="B69" s="302" t="s">
        <v>651</v>
      </c>
      <c r="C69" s="392" t="s">
        <v>742</v>
      </c>
      <c r="D69" s="392">
        <v>659</v>
      </c>
      <c r="E69" s="431">
        <f>138216-0.12</f>
        <v>138215.88</v>
      </c>
      <c r="F69" s="396" t="s">
        <v>743</v>
      </c>
      <c r="G69" s="304" t="s">
        <v>654</v>
      </c>
      <c r="H69" s="277">
        <f>138215.88</f>
        <v>138215.88</v>
      </c>
      <c r="I69" s="321"/>
      <c r="J69" s="322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2"/>
      <c r="X69" s="123">
        <f t="shared" si="2"/>
        <v>138215.88</v>
      </c>
    </row>
    <row r="70" spans="1:24" s="184" customFormat="1" ht="15.75" customHeight="1" x14ac:dyDescent="0.2">
      <c r="A70" s="391"/>
      <c r="B70" s="149" t="s">
        <v>744</v>
      </c>
      <c r="C70" s="393"/>
      <c r="D70" s="393"/>
      <c r="E70" s="432"/>
      <c r="F70" s="397"/>
      <c r="G70" s="125">
        <v>2.5000000000000001E-3</v>
      </c>
      <c r="H70" s="278">
        <f>148.9</f>
        <v>148.9</v>
      </c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126">
        <f t="shared" si="2"/>
        <v>148.9</v>
      </c>
    </row>
    <row r="71" spans="1:24" s="184" customFormat="1" ht="12.75" customHeight="1" x14ac:dyDescent="0.2">
      <c r="A71" s="390">
        <v>33</v>
      </c>
      <c r="B71" s="302" t="s">
        <v>651</v>
      </c>
      <c r="C71" s="392" t="s">
        <v>389</v>
      </c>
      <c r="D71" s="392">
        <v>660</v>
      </c>
      <c r="E71" s="394">
        <f>2825528-170000-458838.25</f>
        <v>2196689.75</v>
      </c>
      <c r="F71" s="396" t="s">
        <v>745</v>
      </c>
      <c r="G71" s="304" t="s">
        <v>654</v>
      </c>
      <c r="H71" s="317">
        <f>189481.25</f>
        <v>189481.25</v>
      </c>
      <c r="I71" s="141">
        <v>0</v>
      </c>
      <c r="J71" s="146">
        <v>3000.5</v>
      </c>
      <c r="K71" s="141">
        <v>5000</v>
      </c>
      <c r="L71" s="141">
        <v>5000</v>
      </c>
      <c r="M71" s="141">
        <v>5000</v>
      </c>
      <c r="N71" s="141">
        <v>10000</v>
      </c>
      <c r="O71" s="141">
        <v>15000</v>
      </c>
      <c r="P71" s="147">
        <v>92432</v>
      </c>
      <c r="Q71" s="147">
        <v>92432</v>
      </c>
      <c r="R71" s="147">
        <v>92432</v>
      </c>
      <c r="S71" s="147">
        <v>92432</v>
      </c>
      <c r="T71" s="147">
        <v>92432</v>
      </c>
      <c r="U71" s="147">
        <v>92432</v>
      </c>
      <c r="V71" s="147">
        <v>92432</v>
      </c>
      <c r="W71" s="147">
        <v>1317184</v>
      </c>
      <c r="X71" s="123">
        <f t="shared" ref="X71:X103" si="3">SUM(H71:W71)</f>
        <v>2196689.75</v>
      </c>
    </row>
    <row r="72" spans="1:24" s="184" customFormat="1" x14ac:dyDescent="0.2">
      <c r="A72" s="391"/>
      <c r="B72" s="124" t="s">
        <v>746</v>
      </c>
      <c r="C72" s="393"/>
      <c r="D72" s="393"/>
      <c r="E72" s="395"/>
      <c r="F72" s="397"/>
      <c r="G72" s="294">
        <v>3.5899999999999999E-3</v>
      </c>
      <c r="H72" s="318">
        <v>6066.5</v>
      </c>
      <c r="I72" s="142">
        <v>9765</v>
      </c>
      <c r="J72" s="142">
        <v>12210</v>
      </c>
      <c r="K72" s="142">
        <v>12190</v>
      </c>
      <c r="L72" s="142">
        <v>12195</v>
      </c>
      <c r="M72" s="142">
        <v>12130</v>
      </c>
      <c r="N72" s="142">
        <v>12090</v>
      </c>
      <c r="O72" s="142">
        <v>12025</v>
      </c>
      <c r="P72" s="142">
        <v>11870</v>
      </c>
      <c r="Q72" s="142">
        <v>11300</v>
      </c>
      <c r="R72" s="142">
        <v>10740</v>
      </c>
      <c r="S72" s="142">
        <v>10180</v>
      </c>
      <c r="T72" s="142">
        <v>9640</v>
      </c>
      <c r="U72" s="144">
        <v>9055</v>
      </c>
      <c r="V72" s="144">
        <v>8490</v>
      </c>
      <c r="W72" s="144">
        <v>59940</v>
      </c>
      <c r="X72" s="126">
        <f t="shared" si="3"/>
        <v>219886.5</v>
      </c>
    </row>
    <row r="73" spans="1:24" s="184" customFormat="1" ht="12.75" customHeight="1" x14ac:dyDescent="0.2">
      <c r="A73" s="419">
        <v>34</v>
      </c>
      <c r="B73" s="302" t="s">
        <v>651</v>
      </c>
      <c r="C73" s="392" t="s">
        <v>428</v>
      </c>
      <c r="D73" s="392">
        <v>661</v>
      </c>
      <c r="E73" s="394">
        <v>1946578</v>
      </c>
      <c r="F73" s="396" t="s">
        <v>747</v>
      </c>
      <c r="G73" s="304" t="s">
        <v>654</v>
      </c>
      <c r="H73" s="279">
        <f>165208.32+5582.61</f>
        <v>170790.93</v>
      </c>
      <c r="I73" s="280"/>
      <c r="J73" s="285">
        <v>3000.68</v>
      </c>
      <c r="K73" s="280">
        <v>5000</v>
      </c>
      <c r="L73" s="280">
        <v>5000</v>
      </c>
      <c r="M73" s="280">
        <v>5000</v>
      </c>
      <c r="N73" s="280">
        <v>10000</v>
      </c>
      <c r="O73" s="280">
        <v>15000</v>
      </c>
      <c r="P73" s="280">
        <v>81804</v>
      </c>
      <c r="Q73" s="280">
        <v>81804</v>
      </c>
      <c r="R73" s="280">
        <v>81804</v>
      </c>
      <c r="S73" s="280">
        <v>81804</v>
      </c>
      <c r="T73" s="280">
        <v>81804</v>
      </c>
      <c r="U73" s="280">
        <v>81804</v>
      </c>
      <c r="V73" s="280">
        <v>81804</v>
      </c>
      <c r="W73" s="285">
        <v>1160158.3899999999</v>
      </c>
      <c r="X73" s="123">
        <f t="shared" si="3"/>
        <v>1946578</v>
      </c>
    </row>
    <row r="74" spans="1:24" s="184" customFormat="1" x14ac:dyDescent="0.2">
      <c r="A74" s="420"/>
      <c r="B74" s="149" t="s">
        <v>748</v>
      </c>
      <c r="C74" s="393"/>
      <c r="D74" s="393"/>
      <c r="E74" s="395"/>
      <c r="F74" s="397"/>
      <c r="G74" s="294">
        <v>6.3099999999999996E-3</v>
      </c>
      <c r="H74" s="278">
        <v>7118.79</v>
      </c>
      <c r="I74" s="283">
        <f>12025-40</f>
        <v>11985</v>
      </c>
      <c r="J74" s="283">
        <f>12645-40</f>
        <v>12605</v>
      </c>
      <c r="K74" s="283">
        <v>12580</v>
      </c>
      <c r="L74" s="283">
        <v>12580</v>
      </c>
      <c r="M74" s="283">
        <v>12510</v>
      </c>
      <c r="N74" s="283">
        <v>12465</v>
      </c>
      <c r="O74" s="283">
        <v>12390</v>
      </c>
      <c r="P74" s="283">
        <v>12220</v>
      </c>
      <c r="Q74" s="283">
        <v>11630</v>
      </c>
      <c r="R74" s="283">
        <v>11050</v>
      </c>
      <c r="S74" s="283">
        <v>10470</v>
      </c>
      <c r="T74" s="283">
        <v>9915</v>
      </c>
      <c r="U74" s="283">
        <v>9310</v>
      </c>
      <c r="V74" s="283">
        <v>8730</v>
      </c>
      <c r="W74" s="283">
        <v>61320</v>
      </c>
      <c r="X74" s="126">
        <f t="shared" si="3"/>
        <v>228878.79</v>
      </c>
    </row>
    <row r="75" spans="1:24" s="184" customFormat="1" ht="15.75" customHeight="1" x14ac:dyDescent="0.2">
      <c r="A75" s="390">
        <v>35</v>
      </c>
      <c r="B75" s="302" t="s">
        <v>651</v>
      </c>
      <c r="C75" s="392" t="s">
        <v>387</v>
      </c>
      <c r="D75" s="392">
        <v>662</v>
      </c>
      <c r="E75" s="394">
        <f>2100900-400000-20542</f>
        <v>1680358</v>
      </c>
      <c r="F75" s="396" t="s">
        <v>771</v>
      </c>
      <c r="G75" s="304" t="s">
        <v>654</v>
      </c>
      <c r="H75" s="279">
        <f>373892+245505.68</f>
        <v>619397.67999999993</v>
      </c>
      <c r="I75" s="280"/>
      <c r="J75" s="285">
        <v>3000.32</v>
      </c>
      <c r="K75" s="280">
        <v>6000</v>
      </c>
      <c r="L75" s="280">
        <v>10000</v>
      </c>
      <c r="M75" s="280">
        <v>20000</v>
      </c>
      <c r="N75" s="280">
        <v>43956</v>
      </c>
      <c r="O75" s="280">
        <v>43956</v>
      </c>
      <c r="P75" s="280">
        <v>43956</v>
      </c>
      <c r="Q75" s="280">
        <v>43956</v>
      </c>
      <c r="R75" s="280">
        <v>43956</v>
      </c>
      <c r="S75" s="280">
        <v>43956</v>
      </c>
      <c r="T75" s="280">
        <v>43956</v>
      </c>
      <c r="U75" s="280">
        <v>43956</v>
      </c>
      <c r="V75" s="280">
        <v>43956</v>
      </c>
      <c r="W75" s="280">
        <v>626356</v>
      </c>
      <c r="X75" s="123">
        <f t="shared" si="3"/>
        <v>1680358</v>
      </c>
    </row>
    <row r="76" spans="1:24" s="184" customFormat="1" ht="18.75" customHeight="1" x14ac:dyDescent="0.2">
      <c r="A76" s="391"/>
      <c r="B76" s="149" t="s">
        <v>770</v>
      </c>
      <c r="C76" s="393"/>
      <c r="D76" s="393"/>
      <c r="E76" s="395"/>
      <c r="F76" s="397"/>
      <c r="G76" s="125">
        <v>2.5000000000000001E-3</v>
      </c>
      <c r="H76" s="278">
        <v>3506.69</v>
      </c>
      <c r="I76" s="283">
        <v>3100</v>
      </c>
      <c r="J76" s="283">
        <v>3230</v>
      </c>
      <c r="K76" s="283">
        <v>3215</v>
      </c>
      <c r="L76" s="283">
        <v>3205</v>
      </c>
      <c r="M76" s="283">
        <v>3160</v>
      </c>
      <c r="N76" s="283">
        <v>3085</v>
      </c>
      <c r="O76" s="283">
        <v>2955</v>
      </c>
      <c r="P76" s="283">
        <v>2830</v>
      </c>
      <c r="Q76" s="283">
        <v>2690</v>
      </c>
      <c r="R76" s="283">
        <v>2555</v>
      </c>
      <c r="S76" s="283">
        <v>2420</v>
      </c>
      <c r="T76" s="283">
        <v>2295</v>
      </c>
      <c r="U76" s="283">
        <v>2155</v>
      </c>
      <c r="V76" s="283">
        <v>2020</v>
      </c>
      <c r="W76" s="283">
        <v>14255</v>
      </c>
      <c r="X76" s="126">
        <f t="shared" si="3"/>
        <v>56676.69</v>
      </c>
    </row>
    <row r="77" spans="1:24" s="184" customFormat="1" ht="12.75" customHeight="1" x14ac:dyDescent="0.2">
      <c r="A77" s="439">
        <v>36</v>
      </c>
      <c r="B77" s="302" t="s">
        <v>651</v>
      </c>
      <c r="C77" s="392" t="s">
        <v>772</v>
      </c>
      <c r="D77" s="392">
        <v>663</v>
      </c>
      <c r="E77" s="394">
        <f>10367403-84075.7</f>
        <v>10283327.300000001</v>
      </c>
      <c r="F77" s="396" t="s">
        <v>773</v>
      </c>
      <c r="G77" s="304" t="s">
        <v>654</v>
      </c>
      <c r="H77" s="280"/>
      <c r="I77" s="280"/>
      <c r="J77" s="285">
        <v>3000.3</v>
      </c>
      <c r="K77" s="280">
        <v>6000</v>
      </c>
      <c r="L77" s="280">
        <v>10000</v>
      </c>
      <c r="M77" s="280">
        <v>20000</v>
      </c>
      <c r="N77" s="280">
        <v>28000</v>
      </c>
      <c r="O77" s="280">
        <v>40000</v>
      </c>
      <c r="P77" s="280">
        <v>80000</v>
      </c>
      <c r="Q77" s="280">
        <v>200000</v>
      </c>
      <c r="R77" s="280">
        <v>400000</v>
      </c>
      <c r="S77" s="280">
        <v>520348</v>
      </c>
      <c r="T77" s="280">
        <v>520348</v>
      </c>
      <c r="U77" s="280">
        <v>520348</v>
      </c>
      <c r="V77" s="280">
        <v>520348</v>
      </c>
      <c r="W77" s="281">
        <v>7414935</v>
      </c>
      <c r="X77" s="123">
        <f t="shared" si="3"/>
        <v>10283327.300000001</v>
      </c>
    </row>
    <row r="78" spans="1:24" s="184" customFormat="1" x14ac:dyDescent="0.2">
      <c r="A78" s="440"/>
      <c r="B78" s="124" t="s">
        <v>774</v>
      </c>
      <c r="C78" s="393"/>
      <c r="D78" s="393"/>
      <c r="E78" s="395"/>
      <c r="F78" s="397"/>
      <c r="G78" s="125">
        <v>2.5000000000000001E-3</v>
      </c>
      <c r="H78" s="278">
        <v>12553.06</v>
      </c>
      <c r="I78" s="283">
        <v>27380</v>
      </c>
      <c r="J78" s="283">
        <v>31280</v>
      </c>
      <c r="K78" s="283">
        <v>31270</v>
      </c>
      <c r="L78" s="283">
        <v>31335</v>
      </c>
      <c r="M78" s="283">
        <v>31210</v>
      </c>
      <c r="N78" s="283">
        <v>31150</v>
      </c>
      <c r="O78" s="283">
        <v>31055</v>
      </c>
      <c r="P78" s="283">
        <v>30995</v>
      </c>
      <c r="Q78" s="283">
        <v>30600</v>
      </c>
      <c r="R78" s="283">
        <v>29885</v>
      </c>
      <c r="S78" s="283">
        <v>28625</v>
      </c>
      <c r="T78" s="283">
        <v>27135</v>
      </c>
      <c r="U78" s="283">
        <v>25480</v>
      </c>
      <c r="V78" s="284">
        <v>23895</v>
      </c>
      <c r="W78" s="284">
        <v>168710</v>
      </c>
      <c r="X78" s="126">
        <f>SUM(H78:W78)</f>
        <v>592558.06000000006</v>
      </c>
    </row>
    <row r="79" spans="1:24" s="184" customFormat="1" ht="15.75" customHeight="1" x14ac:dyDescent="0.2">
      <c r="A79" s="439">
        <v>37</v>
      </c>
      <c r="B79" s="302" t="s">
        <v>651</v>
      </c>
      <c r="C79" s="392" t="s">
        <v>775</v>
      </c>
      <c r="D79" s="392">
        <v>664</v>
      </c>
      <c r="E79" s="394">
        <f>91751.46</f>
        <v>91751.46</v>
      </c>
      <c r="F79" s="396" t="s">
        <v>773</v>
      </c>
      <c r="G79" s="304" t="s">
        <v>654</v>
      </c>
      <c r="H79" s="277">
        <v>91751.46</v>
      </c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4"/>
      <c r="W79" s="325"/>
      <c r="X79" s="123">
        <f t="shared" si="3"/>
        <v>91751.46</v>
      </c>
    </row>
    <row r="80" spans="1:24" s="184" customFormat="1" ht="16.5" customHeight="1" x14ac:dyDescent="0.2">
      <c r="A80" s="440"/>
      <c r="B80" s="164" t="s">
        <v>776</v>
      </c>
      <c r="C80" s="393"/>
      <c r="D80" s="393"/>
      <c r="E80" s="395"/>
      <c r="F80" s="397"/>
      <c r="G80" s="125">
        <f>0.25%+0.6%</f>
        <v>8.5000000000000006E-3</v>
      </c>
      <c r="H80" s="278">
        <v>337.96</v>
      </c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6"/>
      <c r="W80" s="326"/>
      <c r="X80" s="126">
        <f t="shared" si="3"/>
        <v>337.96</v>
      </c>
    </row>
    <row r="81" spans="1:24" s="184" customFormat="1" ht="12.75" customHeight="1" x14ac:dyDescent="0.2">
      <c r="A81" s="439">
        <v>38</v>
      </c>
      <c r="B81" s="343" t="s">
        <v>651</v>
      </c>
      <c r="C81" s="392" t="s">
        <v>426</v>
      </c>
      <c r="D81" s="392">
        <v>665</v>
      </c>
      <c r="E81" s="394">
        <f>158248.54+2664102</f>
        <v>2822350.54</v>
      </c>
      <c r="F81" s="396" t="s">
        <v>773</v>
      </c>
      <c r="G81" s="304" t="s">
        <v>654</v>
      </c>
      <c r="H81" s="279">
        <f>158248.54</f>
        <v>158248.54</v>
      </c>
      <c r="I81" s="280"/>
      <c r="J81" s="280">
        <v>3000</v>
      </c>
      <c r="K81" s="280">
        <v>6000</v>
      </c>
      <c r="L81" s="280">
        <v>8000</v>
      </c>
      <c r="M81" s="280">
        <v>16000</v>
      </c>
      <c r="N81" s="280">
        <v>32000</v>
      </c>
      <c r="O81" s="280">
        <v>60000</v>
      </c>
      <c r="P81" s="280">
        <v>80000</v>
      </c>
      <c r="Q81" s="281">
        <v>121436</v>
      </c>
      <c r="R81" s="281">
        <v>121436</v>
      </c>
      <c r="S81" s="281">
        <v>121436</v>
      </c>
      <c r="T81" s="281">
        <v>121436</v>
      </c>
      <c r="U81" s="281">
        <v>121436</v>
      </c>
      <c r="V81" s="281">
        <v>121436</v>
      </c>
      <c r="W81" s="282">
        <v>1730486</v>
      </c>
      <c r="X81" s="123">
        <f t="shared" si="3"/>
        <v>2822350.54</v>
      </c>
    </row>
    <row r="82" spans="1:24" s="184" customFormat="1" x14ac:dyDescent="0.2">
      <c r="A82" s="440"/>
      <c r="B82" s="164" t="s">
        <v>777</v>
      </c>
      <c r="C82" s="393"/>
      <c r="D82" s="393"/>
      <c r="E82" s="395"/>
      <c r="F82" s="397"/>
      <c r="G82" s="125">
        <v>2.5000000000000001E-3</v>
      </c>
      <c r="H82" s="278">
        <v>2385.3200000000002</v>
      </c>
      <c r="I82" s="283">
        <v>7095</v>
      </c>
      <c r="J82" s="283">
        <f>8105</f>
        <v>8105</v>
      </c>
      <c r="K82" s="283">
        <v>8095</v>
      </c>
      <c r="L82" s="283">
        <v>8095</v>
      </c>
      <c r="M82" s="283">
        <v>8045</v>
      </c>
      <c r="N82" s="283">
        <v>7990</v>
      </c>
      <c r="O82" s="283">
        <v>7875</v>
      </c>
      <c r="P82" s="283">
        <v>7705</v>
      </c>
      <c r="Q82" s="283">
        <v>7420</v>
      </c>
      <c r="R82" s="283">
        <v>7055</v>
      </c>
      <c r="S82" s="283">
        <v>6685</v>
      </c>
      <c r="T82" s="283">
        <v>6335</v>
      </c>
      <c r="U82" s="283">
        <v>5950</v>
      </c>
      <c r="V82" s="284">
        <v>5580</v>
      </c>
      <c r="W82" s="284">
        <v>39375</v>
      </c>
      <c r="X82" s="126">
        <f t="shared" si="3"/>
        <v>143790.32</v>
      </c>
    </row>
    <row r="83" spans="1:24" s="184" customFormat="1" ht="12.75" customHeight="1" x14ac:dyDescent="0.2">
      <c r="A83" s="441">
        <v>39</v>
      </c>
      <c r="B83" s="302" t="s">
        <v>651</v>
      </c>
      <c r="C83" s="392" t="s">
        <v>778</v>
      </c>
      <c r="D83" s="392">
        <v>666</v>
      </c>
      <c r="E83" s="394">
        <f>663930-19547.23</f>
        <v>644382.77</v>
      </c>
      <c r="F83" s="396" t="s">
        <v>773</v>
      </c>
      <c r="G83" s="304" t="s">
        <v>654</v>
      </c>
      <c r="H83" s="280"/>
      <c r="I83" s="280"/>
      <c r="J83" s="285">
        <v>3000.77</v>
      </c>
      <c r="K83" s="280">
        <v>6000</v>
      </c>
      <c r="L83" s="280">
        <v>10000</v>
      </c>
      <c r="M83" s="280">
        <v>20000</v>
      </c>
      <c r="N83" s="280">
        <v>26040</v>
      </c>
      <c r="O83" s="280">
        <v>26040</v>
      </c>
      <c r="P83" s="280">
        <v>26040</v>
      </c>
      <c r="Q83" s="281">
        <v>26040</v>
      </c>
      <c r="R83" s="281">
        <v>26040</v>
      </c>
      <c r="S83" s="281">
        <v>26040</v>
      </c>
      <c r="T83" s="281">
        <v>26040</v>
      </c>
      <c r="U83" s="281">
        <v>26040</v>
      </c>
      <c r="V83" s="281">
        <v>26040</v>
      </c>
      <c r="W83" s="281">
        <v>371022</v>
      </c>
      <c r="X83" s="123">
        <f t="shared" si="3"/>
        <v>644382.77</v>
      </c>
    </row>
    <row r="84" spans="1:24" s="184" customFormat="1" x14ac:dyDescent="0.2">
      <c r="A84" s="442"/>
      <c r="B84" s="164" t="s">
        <v>779</v>
      </c>
      <c r="C84" s="393"/>
      <c r="D84" s="393"/>
      <c r="E84" s="395"/>
      <c r="F84" s="397"/>
      <c r="G84" s="125">
        <v>2.5000000000000001E-3</v>
      </c>
      <c r="H84" s="278">
        <v>1415.08</v>
      </c>
      <c r="I84" s="283">
        <v>1720</v>
      </c>
      <c r="J84" s="283">
        <v>1960</v>
      </c>
      <c r="K84" s="283">
        <v>1950</v>
      </c>
      <c r="L84" s="283">
        <v>1935</v>
      </c>
      <c r="M84" s="283">
        <v>1895</v>
      </c>
      <c r="N84" s="283">
        <v>1830</v>
      </c>
      <c r="O84" s="283">
        <v>1750</v>
      </c>
      <c r="P84" s="283">
        <v>1680</v>
      </c>
      <c r="Q84" s="283">
        <v>1595</v>
      </c>
      <c r="R84" s="283">
        <v>1515</v>
      </c>
      <c r="S84" s="283">
        <v>1435</v>
      </c>
      <c r="T84" s="283">
        <v>1360</v>
      </c>
      <c r="U84" s="283">
        <v>1275</v>
      </c>
      <c r="V84" s="284">
        <v>1200</v>
      </c>
      <c r="W84" s="284">
        <v>8445</v>
      </c>
      <c r="X84" s="126">
        <f t="shared" si="3"/>
        <v>32960.080000000002</v>
      </c>
    </row>
    <row r="85" spans="1:24" s="184" customFormat="1" ht="12.75" customHeight="1" x14ac:dyDescent="0.2">
      <c r="A85" s="390">
        <v>40</v>
      </c>
      <c r="B85" s="302" t="s">
        <v>651</v>
      </c>
      <c r="C85" s="392" t="s">
        <v>428</v>
      </c>
      <c r="D85" s="392">
        <v>667</v>
      </c>
      <c r="E85" s="394">
        <v>158028</v>
      </c>
      <c r="F85" s="396" t="s">
        <v>847</v>
      </c>
      <c r="G85" s="304" t="s">
        <v>654</v>
      </c>
      <c r="H85" s="280"/>
      <c r="I85" s="280"/>
      <c r="J85" s="280">
        <v>4071</v>
      </c>
      <c r="K85" s="280">
        <v>5548</v>
      </c>
      <c r="L85" s="280">
        <v>5548</v>
      </c>
      <c r="M85" s="280">
        <v>5548</v>
      </c>
      <c r="N85" s="280">
        <v>5548</v>
      </c>
      <c r="O85" s="280">
        <v>5548</v>
      </c>
      <c r="P85" s="280">
        <v>5548</v>
      </c>
      <c r="Q85" s="280">
        <v>5548</v>
      </c>
      <c r="R85" s="280">
        <v>5548</v>
      </c>
      <c r="S85" s="280">
        <v>5548</v>
      </c>
      <c r="T85" s="280">
        <v>5548</v>
      </c>
      <c r="U85" s="280">
        <v>5548</v>
      </c>
      <c r="V85" s="280">
        <v>5548</v>
      </c>
      <c r="W85" s="281">
        <v>87381</v>
      </c>
      <c r="X85" s="123">
        <f t="shared" si="3"/>
        <v>158028</v>
      </c>
    </row>
    <row r="86" spans="1:24" s="184" customFormat="1" x14ac:dyDescent="0.2">
      <c r="A86" s="391"/>
      <c r="B86" s="164" t="s">
        <v>848</v>
      </c>
      <c r="C86" s="393"/>
      <c r="D86" s="393"/>
      <c r="E86" s="395"/>
      <c r="F86" s="397"/>
      <c r="G86" s="294">
        <f>0.892%-0.328%</f>
        <v>5.6400000000000009E-3</v>
      </c>
      <c r="H86" s="278">
        <v>82.79</v>
      </c>
      <c r="I86" s="283">
        <v>1080</v>
      </c>
      <c r="J86" s="283">
        <v>1600</v>
      </c>
      <c r="K86" s="283">
        <v>1555</v>
      </c>
      <c r="L86" s="283">
        <v>1505</v>
      </c>
      <c r="M86" s="283">
        <v>1440</v>
      </c>
      <c r="N86" s="283">
        <v>1385</v>
      </c>
      <c r="O86" s="283">
        <v>1330</v>
      </c>
      <c r="P86" s="283">
        <v>1275</v>
      </c>
      <c r="Q86" s="283">
        <v>1215</v>
      </c>
      <c r="R86" s="283">
        <v>1160</v>
      </c>
      <c r="S86" s="283">
        <v>1105</v>
      </c>
      <c r="T86" s="283">
        <v>1050</v>
      </c>
      <c r="U86" s="283">
        <v>990</v>
      </c>
      <c r="V86" s="284">
        <v>935</v>
      </c>
      <c r="W86" s="284">
        <v>7295</v>
      </c>
      <c r="X86" s="126">
        <f t="shared" si="3"/>
        <v>25002.79</v>
      </c>
    </row>
    <row r="87" spans="1:24" s="184" customFormat="1" ht="12.75" customHeight="1" x14ac:dyDescent="0.2">
      <c r="A87" s="390">
        <v>41</v>
      </c>
      <c r="B87" s="302" t="s">
        <v>651</v>
      </c>
      <c r="C87" s="392" t="s">
        <v>849</v>
      </c>
      <c r="D87" s="392">
        <v>668</v>
      </c>
      <c r="E87" s="394">
        <v>352110</v>
      </c>
      <c r="F87" s="396" t="s">
        <v>850</v>
      </c>
      <c r="G87" s="327" t="s">
        <v>654</v>
      </c>
      <c r="H87" s="280"/>
      <c r="I87" s="280"/>
      <c r="J87" s="280"/>
      <c r="K87" s="281">
        <v>10142</v>
      </c>
      <c r="L87" s="281">
        <v>20416</v>
      </c>
      <c r="M87" s="281">
        <v>20416</v>
      </c>
      <c r="N87" s="281">
        <v>20416</v>
      </c>
      <c r="O87" s="281">
        <v>20416</v>
      </c>
      <c r="P87" s="281">
        <v>20416</v>
      </c>
      <c r="Q87" s="281">
        <v>20416</v>
      </c>
      <c r="R87" s="281">
        <v>20416</v>
      </c>
      <c r="S87" s="281">
        <v>20416</v>
      </c>
      <c r="T87" s="281">
        <v>20416</v>
      </c>
      <c r="U87" s="281">
        <v>20416</v>
      </c>
      <c r="V87" s="281">
        <v>20416</v>
      </c>
      <c r="W87" s="281">
        <v>117392</v>
      </c>
      <c r="X87" s="123">
        <f t="shared" si="3"/>
        <v>352110</v>
      </c>
    </row>
    <row r="88" spans="1:24" s="184" customFormat="1" x14ac:dyDescent="0.2">
      <c r="A88" s="391"/>
      <c r="B88" s="164" t="s">
        <v>851</v>
      </c>
      <c r="C88" s="393"/>
      <c r="D88" s="393"/>
      <c r="E88" s="395"/>
      <c r="F88" s="397"/>
      <c r="G88" s="294">
        <f>0.362%</f>
        <v>3.62E-3</v>
      </c>
      <c r="H88" s="278">
        <v>96.83</v>
      </c>
      <c r="I88" s="283">
        <v>1870</v>
      </c>
      <c r="J88" s="283">
        <v>3575</v>
      </c>
      <c r="K88" s="283">
        <v>3570</v>
      </c>
      <c r="L88" s="283">
        <v>3445</v>
      </c>
      <c r="M88" s="283">
        <v>3230</v>
      </c>
      <c r="N88" s="283">
        <v>3025</v>
      </c>
      <c r="O88" s="283">
        <v>2815</v>
      </c>
      <c r="P88" s="283">
        <v>2615</v>
      </c>
      <c r="Q88" s="283">
        <v>2405</v>
      </c>
      <c r="R88" s="283">
        <v>2195</v>
      </c>
      <c r="S88" s="283">
        <v>1990</v>
      </c>
      <c r="T88" s="283">
        <v>1785</v>
      </c>
      <c r="U88" s="283">
        <v>1575</v>
      </c>
      <c r="V88" s="284">
        <v>1370</v>
      </c>
      <c r="W88" s="284">
        <v>3850</v>
      </c>
      <c r="X88" s="126">
        <f t="shared" si="3"/>
        <v>39411.83</v>
      </c>
    </row>
    <row r="89" spans="1:24" s="184" customFormat="1" ht="12.75" customHeight="1" x14ac:dyDescent="0.2">
      <c r="A89" s="390">
        <v>42</v>
      </c>
      <c r="B89" s="302" t="s">
        <v>651</v>
      </c>
      <c r="C89" s="392" t="s">
        <v>852</v>
      </c>
      <c r="D89" s="392">
        <v>669</v>
      </c>
      <c r="E89" s="394">
        <v>403410</v>
      </c>
      <c r="F89" s="396" t="s">
        <v>850</v>
      </c>
      <c r="G89" s="304" t="s">
        <v>654</v>
      </c>
      <c r="H89" s="285"/>
      <c r="I89" s="280"/>
      <c r="J89" s="280"/>
      <c r="K89" s="281">
        <v>11661</v>
      </c>
      <c r="L89" s="281">
        <v>23388</v>
      </c>
      <c r="M89" s="281">
        <v>23388</v>
      </c>
      <c r="N89" s="281">
        <v>23388</v>
      </c>
      <c r="O89" s="281">
        <v>23388</v>
      </c>
      <c r="P89" s="281">
        <v>23388</v>
      </c>
      <c r="Q89" s="281">
        <v>23388</v>
      </c>
      <c r="R89" s="281">
        <v>23388</v>
      </c>
      <c r="S89" s="281">
        <v>23388</v>
      </c>
      <c r="T89" s="281">
        <v>23388</v>
      </c>
      <c r="U89" s="281">
        <v>23388</v>
      </c>
      <c r="V89" s="281">
        <v>23388</v>
      </c>
      <c r="W89" s="281">
        <v>134481</v>
      </c>
      <c r="X89" s="123">
        <f t="shared" si="3"/>
        <v>403410</v>
      </c>
    </row>
    <row r="90" spans="1:24" s="184" customFormat="1" x14ac:dyDescent="0.2">
      <c r="A90" s="391"/>
      <c r="B90" s="164" t="s">
        <v>853</v>
      </c>
      <c r="C90" s="393"/>
      <c r="D90" s="393"/>
      <c r="E90" s="395"/>
      <c r="F90" s="397"/>
      <c r="G90" s="294">
        <f>0.362%</f>
        <v>3.62E-3</v>
      </c>
      <c r="H90" s="278">
        <v>50.71</v>
      </c>
      <c r="I90" s="283">
        <v>2140</v>
      </c>
      <c r="J90" s="283">
        <v>4095</v>
      </c>
      <c r="K90" s="283">
        <v>4090</v>
      </c>
      <c r="L90" s="283">
        <v>3950</v>
      </c>
      <c r="M90" s="283">
        <v>3700</v>
      </c>
      <c r="N90" s="283">
        <v>3465</v>
      </c>
      <c r="O90" s="283">
        <v>3225</v>
      </c>
      <c r="P90" s="283">
        <v>3000</v>
      </c>
      <c r="Q90" s="283">
        <v>2750</v>
      </c>
      <c r="R90" s="283">
        <v>2515</v>
      </c>
      <c r="S90" s="283">
        <v>2280</v>
      </c>
      <c r="T90" s="283">
        <v>2045</v>
      </c>
      <c r="U90" s="283">
        <v>1805</v>
      </c>
      <c r="V90" s="284">
        <v>1565</v>
      </c>
      <c r="W90" s="284">
        <v>4410</v>
      </c>
      <c r="X90" s="126">
        <f t="shared" si="3"/>
        <v>45085.71</v>
      </c>
    </row>
    <row r="91" spans="1:24" s="184" customFormat="1" ht="12.75" customHeight="1" x14ac:dyDescent="0.2">
      <c r="A91" s="390">
        <v>43</v>
      </c>
      <c r="B91" s="302" t="s">
        <v>651</v>
      </c>
      <c r="C91" s="392" t="s">
        <v>854</v>
      </c>
      <c r="D91" s="392">
        <v>670</v>
      </c>
      <c r="E91" s="394">
        <v>848543</v>
      </c>
      <c r="F91" s="396" t="s">
        <v>855</v>
      </c>
      <c r="G91" s="304" t="s">
        <v>654</v>
      </c>
      <c r="H91" s="285"/>
      <c r="I91" s="280"/>
      <c r="J91" s="280"/>
      <c r="K91" s="280">
        <v>500</v>
      </c>
      <c r="L91" s="280">
        <v>2000</v>
      </c>
      <c r="M91" s="280">
        <v>4000</v>
      </c>
      <c r="N91" s="280">
        <v>8000</v>
      </c>
      <c r="O91" s="281">
        <v>20000</v>
      </c>
      <c r="P91" s="281">
        <v>36180</v>
      </c>
      <c r="Q91" s="281">
        <v>36180</v>
      </c>
      <c r="R91" s="281">
        <v>36180</v>
      </c>
      <c r="S91" s="281">
        <v>36180</v>
      </c>
      <c r="T91" s="281">
        <v>36180</v>
      </c>
      <c r="U91" s="281">
        <v>36180</v>
      </c>
      <c r="V91" s="281">
        <v>36180</v>
      </c>
      <c r="W91" s="281">
        <v>560783</v>
      </c>
      <c r="X91" s="123">
        <f t="shared" si="3"/>
        <v>848543</v>
      </c>
    </row>
    <row r="92" spans="1:24" s="184" customFormat="1" x14ac:dyDescent="0.2">
      <c r="A92" s="391"/>
      <c r="B92" s="164" t="s">
        <v>856</v>
      </c>
      <c r="C92" s="393"/>
      <c r="D92" s="393"/>
      <c r="E92" s="395"/>
      <c r="F92" s="397"/>
      <c r="G92" s="294">
        <f>0.933%-0.366%</f>
        <v>5.6699999999999997E-3</v>
      </c>
      <c r="H92" s="278">
        <v>123.54</v>
      </c>
      <c r="I92" s="283">
        <v>5820</v>
      </c>
      <c r="J92" s="283">
        <v>8605</v>
      </c>
      <c r="K92" s="283">
        <v>8605</v>
      </c>
      <c r="L92" s="283">
        <v>8620</v>
      </c>
      <c r="M92" s="283">
        <v>8575</v>
      </c>
      <c r="N92" s="283">
        <v>8525</v>
      </c>
      <c r="O92" s="283">
        <v>8420</v>
      </c>
      <c r="P92" s="283">
        <v>8215</v>
      </c>
      <c r="Q92" s="283">
        <v>7835</v>
      </c>
      <c r="R92" s="283">
        <v>7465</v>
      </c>
      <c r="S92" s="283">
        <v>7100</v>
      </c>
      <c r="T92" s="283">
        <v>6750</v>
      </c>
      <c r="U92" s="283">
        <v>6365</v>
      </c>
      <c r="V92" s="284">
        <v>6000</v>
      </c>
      <c r="W92" s="284">
        <v>46085</v>
      </c>
      <c r="X92" s="126">
        <f>SUM(H92:W92)</f>
        <v>153108.54</v>
      </c>
    </row>
    <row r="93" spans="1:24" s="184" customFormat="1" x14ac:dyDescent="0.2">
      <c r="A93" s="390">
        <v>44</v>
      </c>
      <c r="B93" s="302" t="s">
        <v>651</v>
      </c>
      <c r="C93" s="392" t="s">
        <v>857</v>
      </c>
      <c r="D93" s="392">
        <v>671</v>
      </c>
      <c r="E93" s="394">
        <v>1698600</v>
      </c>
      <c r="F93" s="396" t="s">
        <v>858</v>
      </c>
      <c r="G93" s="304" t="s">
        <v>654</v>
      </c>
      <c r="H93" s="280"/>
      <c r="I93" s="280"/>
      <c r="J93" s="280"/>
      <c r="K93" s="280">
        <v>2000</v>
      </c>
      <c r="L93" s="281">
        <v>6000</v>
      </c>
      <c r="M93" s="281">
        <v>10000</v>
      </c>
      <c r="N93" s="281">
        <v>20000</v>
      </c>
      <c r="O93" s="281">
        <v>40000</v>
      </c>
      <c r="P93" s="281">
        <v>60000</v>
      </c>
      <c r="Q93" s="281">
        <v>72588</v>
      </c>
      <c r="R93" s="281">
        <v>72588</v>
      </c>
      <c r="S93" s="281">
        <v>72588</v>
      </c>
      <c r="T93" s="281">
        <v>72588</v>
      </c>
      <c r="U93" s="281">
        <v>72588</v>
      </c>
      <c r="V93" s="281">
        <v>72588</v>
      </c>
      <c r="W93" s="281">
        <v>1125072</v>
      </c>
      <c r="X93" s="123">
        <f t="shared" si="3"/>
        <v>1698600</v>
      </c>
    </row>
    <row r="94" spans="1:24" s="184" customFormat="1" x14ac:dyDescent="0.2">
      <c r="A94" s="391"/>
      <c r="B94" s="164" t="s">
        <v>859</v>
      </c>
      <c r="C94" s="393"/>
      <c r="D94" s="393"/>
      <c r="E94" s="395"/>
      <c r="F94" s="397"/>
      <c r="G94" s="294">
        <f>0.915%-0.442%</f>
        <v>4.7299999999999998E-3</v>
      </c>
      <c r="H94" s="283">
        <v>0</v>
      </c>
      <c r="I94" s="283">
        <f>9065-1765</f>
        <v>7300</v>
      </c>
      <c r="J94" s="283">
        <f>17335-110</f>
        <v>17225</v>
      </c>
      <c r="K94" s="283">
        <f>17335-110</f>
        <v>17225</v>
      </c>
      <c r="L94" s="283">
        <f>17350-110</f>
        <v>17240</v>
      </c>
      <c r="M94" s="283">
        <f>17235-110</f>
        <v>17125</v>
      </c>
      <c r="N94" s="283">
        <f>17115-110</f>
        <v>17005</v>
      </c>
      <c r="O94" s="283">
        <f>16875-110</f>
        <v>16765</v>
      </c>
      <c r="P94" s="283">
        <f>16485-110</f>
        <v>16375</v>
      </c>
      <c r="Q94" s="283">
        <f>15815-110</f>
        <v>15705</v>
      </c>
      <c r="R94" s="283">
        <f>15080-105</f>
        <v>14975</v>
      </c>
      <c r="S94" s="283">
        <f>14340-100</f>
        <v>14240</v>
      </c>
      <c r="T94" s="283">
        <f>13635-95</f>
        <v>13540</v>
      </c>
      <c r="U94" s="283">
        <f>12860-90</f>
        <v>12770</v>
      </c>
      <c r="V94" s="284">
        <f>12115-85</f>
        <v>12030</v>
      </c>
      <c r="W94" s="284">
        <f>93095-640</f>
        <v>92455</v>
      </c>
      <c r="X94" s="126">
        <f>SUM(H94:W94)</f>
        <v>301975</v>
      </c>
    </row>
    <row r="95" spans="1:24" s="184" customFormat="1" x14ac:dyDescent="0.2">
      <c r="A95" s="390">
        <v>45</v>
      </c>
      <c r="B95" s="302" t="s">
        <v>651</v>
      </c>
      <c r="C95" s="392" t="s">
        <v>860</v>
      </c>
      <c r="D95" s="392">
        <v>672</v>
      </c>
      <c r="E95" s="394">
        <f>142175-5157.95</f>
        <v>137017.04999999999</v>
      </c>
      <c r="F95" s="396" t="s">
        <v>861</v>
      </c>
      <c r="G95" s="304" t="s">
        <v>654</v>
      </c>
      <c r="H95" s="280"/>
      <c r="I95" s="280"/>
      <c r="J95" s="280"/>
      <c r="K95" s="280">
        <v>3955.05</v>
      </c>
      <c r="L95" s="281">
        <v>7944</v>
      </c>
      <c r="M95" s="281">
        <v>7944</v>
      </c>
      <c r="N95" s="281">
        <v>7944</v>
      </c>
      <c r="O95" s="281">
        <v>7944</v>
      </c>
      <c r="P95" s="281">
        <v>7944</v>
      </c>
      <c r="Q95" s="281">
        <v>7944</v>
      </c>
      <c r="R95" s="281">
        <v>7944</v>
      </c>
      <c r="S95" s="281">
        <v>7944</v>
      </c>
      <c r="T95" s="281">
        <v>7944</v>
      </c>
      <c r="U95" s="281">
        <v>7944</v>
      </c>
      <c r="V95" s="281">
        <v>7944</v>
      </c>
      <c r="W95" s="281">
        <v>45678</v>
      </c>
      <c r="X95" s="123">
        <f t="shared" si="3"/>
        <v>137017.04999999999</v>
      </c>
    </row>
    <row r="96" spans="1:24" s="184" customFormat="1" x14ac:dyDescent="0.2">
      <c r="A96" s="391"/>
      <c r="B96" s="164" t="s">
        <v>862</v>
      </c>
      <c r="C96" s="393"/>
      <c r="D96" s="393"/>
      <c r="E96" s="395"/>
      <c r="F96" s="397"/>
      <c r="G96" s="125">
        <f>0.687%-0.442%</f>
        <v>2.4499999999999999E-3</v>
      </c>
      <c r="H96" s="283">
        <v>0</v>
      </c>
      <c r="I96" s="283">
        <v>350</v>
      </c>
      <c r="J96" s="283">
        <v>695</v>
      </c>
      <c r="K96" s="283">
        <v>695</v>
      </c>
      <c r="L96" s="283">
        <v>675</v>
      </c>
      <c r="M96" s="283">
        <v>630</v>
      </c>
      <c r="N96" s="283">
        <v>590</v>
      </c>
      <c r="O96" s="283">
        <v>550</v>
      </c>
      <c r="P96" s="283">
        <v>510</v>
      </c>
      <c r="Q96" s="283">
        <v>470</v>
      </c>
      <c r="R96" s="283">
        <v>430</v>
      </c>
      <c r="S96" s="283">
        <v>390</v>
      </c>
      <c r="T96" s="283">
        <v>350</v>
      </c>
      <c r="U96" s="283">
        <v>310</v>
      </c>
      <c r="V96" s="284">
        <v>270</v>
      </c>
      <c r="W96" s="284">
        <v>750</v>
      </c>
      <c r="X96" s="126">
        <f>SUM(H96:W96)</f>
        <v>7665</v>
      </c>
    </row>
    <row r="97" spans="1:24" s="184" customFormat="1" x14ac:dyDescent="0.2">
      <c r="A97" s="390">
        <v>46</v>
      </c>
      <c r="B97" s="302" t="s">
        <v>651</v>
      </c>
      <c r="C97" s="392" t="s">
        <v>863</v>
      </c>
      <c r="D97" s="392">
        <v>673</v>
      </c>
      <c r="E97" s="394">
        <f>625075-48519.44</f>
        <v>576555.56000000006</v>
      </c>
      <c r="F97" s="396" t="s">
        <v>864</v>
      </c>
      <c r="G97" s="304" t="s">
        <v>654</v>
      </c>
      <c r="H97" s="280"/>
      <c r="I97" s="280"/>
      <c r="J97" s="280"/>
      <c r="K97" s="285">
        <v>2000.56</v>
      </c>
      <c r="L97" s="281">
        <v>6000</v>
      </c>
      <c r="M97" s="281">
        <v>10000</v>
      </c>
      <c r="N97" s="281">
        <v>20000</v>
      </c>
      <c r="O97" s="281">
        <v>39892</v>
      </c>
      <c r="P97" s="281">
        <v>39892</v>
      </c>
      <c r="Q97" s="281">
        <v>39892</v>
      </c>
      <c r="R97" s="281">
        <v>39892</v>
      </c>
      <c r="S97" s="281">
        <v>39892</v>
      </c>
      <c r="T97" s="281">
        <v>39892</v>
      </c>
      <c r="U97" s="281">
        <v>39892</v>
      </c>
      <c r="V97" s="281">
        <v>39892</v>
      </c>
      <c r="W97" s="281">
        <v>219419</v>
      </c>
      <c r="X97" s="123">
        <f t="shared" si="3"/>
        <v>576555.56000000006</v>
      </c>
    </row>
    <row r="98" spans="1:24" s="184" customFormat="1" x14ac:dyDescent="0.2">
      <c r="A98" s="391"/>
      <c r="B98" s="164" t="s">
        <v>865</v>
      </c>
      <c r="C98" s="393"/>
      <c r="D98" s="393"/>
      <c r="E98" s="395"/>
      <c r="F98" s="397"/>
      <c r="G98" s="125">
        <f>0.687%-0.442%</f>
        <v>2.4499999999999999E-3</v>
      </c>
      <c r="H98" s="283">
        <v>0</v>
      </c>
      <c r="I98" s="283">
        <v>1465</v>
      </c>
      <c r="J98" s="283">
        <v>2925</v>
      </c>
      <c r="K98" s="283">
        <v>2925</v>
      </c>
      <c r="L98" s="283">
        <v>2920</v>
      </c>
      <c r="M98" s="283">
        <v>2875</v>
      </c>
      <c r="N98" s="283">
        <v>2815</v>
      </c>
      <c r="O98" s="283">
        <v>2695</v>
      </c>
      <c r="P98" s="283">
        <v>2505</v>
      </c>
      <c r="Q98" s="283">
        <v>2295</v>
      </c>
      <c r="R98" s="283">
        <v>2095</v>
      </c>
      <c r="S98" s="283">
        <v>1895</v>
      </c>
      <c r="T98" s="283">
        <v>1695</v>
      </c>
      <c r="U98" s="283">
        <v>1490</v>
      </c>
      <c r="V98" s="284">
        <v>1285</v>
      </c>
      <c r="W98" s="284">
        <v>3460</v>
      </c>
      <c r="X98" s="126">
        <f>SUM(H98:W98)</f>
        <v>35340</v>
      </c>
    </row>
    <row r="99" spans="1:24" s="184" customFormat="1" ht="12.75" customHeight="1" x14ac:dyDescent="0.2">
      <c r="A99" s="390">
        <v>47</v>
      </c>
      <c r="B99" s="355" t="s">
        <v>651</v>
      </c>
      <c r="C99" s="392" t="s">
        <v>426</v>
      </c>
      <c r="D99" s="392">
        <v>674</v>
      </c>
      <c r="E99" s="394">
        <v>231777</v>
      </c>
      <c r="F99" s="396" t="s">
        <v>879</v>
      </c>
      <c r="G99" s="304" t="s">
        <v>654</v>
      </c>
      <c r="H99" s="280"/>
      <c r="I99" s="280"/>
      <c r="J99" s="280">
        <v>5985</v>
      </c>
      <c r="K99" s="281">
        <v>8064</v>
      </c>
      <c r="L99" s="281">
        <v>8064</v>
      </c>
      <c r="M99" s="281">
        <v>8064</v>
      </c>
      <c r="N99" s="281">
        <v>8064</v>
      </c>
      <c r="O99" s="281">
        <v>8064</v>
      </c>
      <c r="P99" s="281">
        <v>8064</v>
      </c>
      <c r="Q99" s="281">
        <v>8064</v>
      </c>
      <c r="R99" s="281">
        <v>8064</v>
      </c>
      <c r="S99" s="281">
        <v>8064</v>
      </c>
      <c r="T99" s="281">
        <v>8064</v>
      </c>
      <c r="U99" s="281">
        <v>8064</v>
      </c>
      <c r="V99" s="281">
        <v>8064</v>
      </c>
      <c r="W99" s="281">
        <v>129024</v>
      </c>
      <c r="X99" s="123">
        <f>SUM(H99:W99)</f>
        <v>231777</v>
      </c>
    </row>
    <row r="100" spans="1:24" s="184" customFormat="1" x14ac:dyDescent="0.2">
      <c r="A100" s="391"/>
      <c r="B100" s="164" t="s">
        <v>880</v>
      </c>
      <c r="C100" s="393"/>
      <c r="D100" s="393"/>
      <c r="E100" s="395"/>
      <c r="F100" s="397"/>
      <c r="G100" s="125">
        <v>2.5000000000000001E-3</v>
      </c>
      <c r="H100" s="283">
        <v>0</v>
      </c>
      <c r="I100" s="283">
        <v>840</v>
      </c>
      <c r="J100" s="283">
        <v>1175</v>
      </c>
      <c r="K100" s="283">
        <v>1140</v>
      </c>
      <c r="L100" s="283">
        <v>1105</v>
      </c>
      <c r="M100" s="283">
        <v>1060</v>
      </c>
      <c r="N100" s="283">
        <v>1020</v>
      </c>
      <c r="O100" s="283">
        <v>975</v>
      </c>
      <c r="P100" s="283">
        <v>940</v>
      </c>
      <c r="Q100" s="283">
        <v>895</v>
      </c>
      <c r="R100" s="283">
        <v>855</v>
      </c>
      <c r="S100" s="283">
        <v>815</v>
      </c>
      <c r="T100" s="283">
        <v>775</v>
      </c>
      <c r="U100" s="283">
        <v>730</v>
      </c>
      <c r="V100" s="284">
        <v>690</v>
      </c>
      <c r="W100" s="284">
        <v>5465</v>
      </c>
      <c r="X100" s="126">
        <f t="shared" si="3"/>
        <v>18480</v>
      </c>
    </row>
    <row r="101" spans="1:24" s="184" customFormat="1" x14ac:dyDescent="0.2">
      <c r="A101" s="390">
        <v>48</v>
      </c>
      <c r="B101" s="355" t="s">
        <v>651</v>
      </c>
      <c r="C101" s="392" t="s">
        <v>838</v>
      </c>
      <c r="D101" s="392">
        <v>675</v>
      </c>
      <c r="E101" s="394">
        <v>222912</v>
      </c>
      <c r="F101" s="396" t="s">
        <v>878</v>
      </c>
      <c r="G101" s="304" t="s">
        <v>654</v>
      </c>
      <c r="H101" s="280"/>
      <c r="I101" s="280"/>
      <c r="J101" s="280"/>
      <c r="K101" s="281">
        <v>3204</v>
      </c>
      <c r="L101" s="281">
        <v>12924</v>
      </c>
      <c r="M101" s="281">
        <v>12924</v>
      </c>
      <c r="N101" s="281">
        <v>12924</v>
      </c>
      <c r="O101" s="281">
        <v>12924</v>
      </c>
      <c r="P101" s="281">
        <v>12924</v>
      </c>
      <c r="Q101" s="281">
        <v>12924</v>
      </c>
      <c r="R101" s="281">
        <v>12924</v>
      </c>
      <c r="S101" s="281">
        <v>12924</v>
      </c>
      <c r="T101" s="281">
        <v>12924</v>
      </c>
      <c r="U101" s="281">
        <v>12924</v>
      </c>
      <c r="V101" s="281">
        <v>12924</v>
      </c>
      <c r="W101" s="281">
        <v>77544</v>
      </c>
      <c r="X101" s="123">
        <f t="shared" si="3"/>
        <v>222912</v>
      </c>
    </row>
    <row r="102" spans="1:24" s="184" customFormat="1" x14ac:dyDescent="0.2">
      <c r="A102" s="391"/>
      <c r="B102" s="164" t="s">
        <v>881</v>
      </c>
      <c r="C102" s="393"/>
      <c r="D102" s="393"/>
      <c r="E102" s="395"/>
      <c r="F102" s="397"/>
      <c r="G102" s="125">
        <v>2.5000000000000001E-3</v>
      </c>
      <c r="H102" s="283">
        <v>0</v>
      </c>
      <c r="I102" s="283">
        <v>570</v>
      </c>
      <c r="J102" s="283">
        <v>1135</v>
      </c>
      <c r="K102" s="283">
        <v>1135</v>
      </c>
      <c r="L102" s="283">
        <v>1110</v>
      </c>
      <c r="M102" s="283">
        <v>1040</v>
      </c>
      <c r="N102" s="283">
        <v>975</v>
      </c>
      <c r="O102" s="283">
        <v>910</v>
      </c>
      <c r="P102" s="283">
        <v>845</v>
      </c>
      <c r="Q102" s="283">
        <v>780</v>
      </c>
      <c r="R102" s="283">
        <v>715</v>
      </c>
      <c r="S102" s="283">
        <v>650</v>
      </c>
      <c r="T102" s="283">
        <v>585</v>
      </c>
      <c r="U102" s="283">
        <v>515</v>
      </c>
      <c r="V102" s="284">
        <v>450</v>
      </c>
      <c r="W102" s="284">
        <v>1325</v>
      </c>
      <c r="X102" s="126">
        <f>SUM(H102:W102)</f>
        <v>12740</v>
      </c>
    </row>
    <row r="103" spans="1:24" s="184" customFormat="1" hidden="1" x14ac:dyDescent="0.2">
      <c r="A103" s="390"/>
      <c r="B103" s="302"/>
      <c r="C103" s="398"/>
      <c r="D103" s="398"/>
      <c r="E103" s="400"/>
      <c r="F103" s="402"/>
      <c r="G103" s="328"/>
      <c r="H103" s="329"/>
      <c r="I103" s="329"/>
      <c r="J103" s="329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123">
        <f t="shared" si="3"/>
        <v>0</v>
      </c>
    </row>
    <row r="104" spans="1:24" s="184" customFormat="1" hidden="1" x14ac:dyDescent="0.2">
      <c r="A104" s="391"/>
      <c r="B104" s="331"/>
      <c r="C104" s="399"/>
      <c r="D104" s="399"/>
      <c r="E104" s="401"/>
      <c r="F104" s="403"/>
      <c r="G104" s="332"/>
      <c r="H104" s="333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4"/>
      <c r="W104" s="334"/>
      <c r="X104" s="126">
        <f>SUM(H104:W104)</f>
        <v>0</v>
      </c>
    </row>
    <row r="105" spans="1:24" x14ac:dyDescent="0.2">
      <c r="A105" s="200"/>
      <c r="B105" s="201"/>
      <c r="C105" s="202"/>
      <c r="D105" s="202"/>
      <c r="E105" s="203">
        <f>SUM(E7:E104)</f>
        <v>96571229.969999999</v>
      </c>
      <c r="F105" s="204"/>
      <c r="G105" s="205"/>
      <c r="H105" s="206">
        <f>H9+H11+H13+H15+H17+H23+H19+H21+H25+H27+H33+H31+H29+H35+H37+H39+H41+H43+H45+H47+H7+H49+H51+H53+H55+H57+H59+H63+H61+H65+H67+H69+H71+H91+H73+H75+H77+H79+H81+H83+H85+H87+H89+H93+H95+H97+H99+H101+H103</f>
        <v>7830519.1600000001</v>
      </c>
      <c r="I105" s="206">
        <f t="shared" ref="I105:V105" si="4">I9+I11+I13+I15+I17+I23+I19+I21+I25+I27+I33+I31+I29+I35+I37+I39+I41+I43+I45+I47+I7+I49+I51+I53+I55+I57+I59+I63+I61+I65+I67+I69+I71+I91+I73+I75+I77+I79+I81+I83+I85+I87+I89+I93+I95+I97+I99+I101+I103</f>
        <v>5416745.6900000004</v>
      </c>
      <c r="J105" s="206">
        <f>J9+J11+J13+J15+J17+J23+J19+J21+J25+J27+J33+J31+J29+J35+J37+J39+J41+J43+J45+J47+J7+J49+J51+J53+J55+J57+J59+J63+J61+J65+J67+J69+J71+J91+J73+J75+J77+J79+J81+J83+J85+J87+J89+J93+J95+J97+J99+J101+J103</f>
        <v>4760291.8599999994</v>
      </c>
      <c r="K105" s="206">
        <f t="shared" si="4"/>
        <v>4480190.6099999994</v>
      </c>
      <c r="L105" s="206">
        <f t="shared" si="4"/>
        <v>4390216</v>
      </c>
      <c r="M105" s="206">
        <f t="shared" si="4"/>
        <v>4453120</v>
      </c>
      <c r="N105" s="206">
        <f t="shared" si="4"/>
        <v>4457816</v>
      </c>
      <c r="O105" s="206">
        <f t="shared" si="4"/>
        <v>3268831</v>
      </c>
      <c r="P105" s="206">
        <f t="shared" si="4"/>
        <v>2947121</v>
      </c>
      <c r="Q105" s="206">
        <f t="shared" si="4"/>
        <v>2931296</v>
      </c>
      <c r="R105" s="206">
        <f t="shared" si="4"/>
        <v>3105366</v>
      </c>
      <c r="S105" s="206">
        <f t="shared" si="4"/>
        <v>3232200</v>
      </c>
      <c r="T105" s="206">
        <f t="shared" si="4"/>
        <v>3232200</v>
      </c>
      <c r="U105" s="206">
        <f t="shared" si="4"/>
        <v>3210148</v>
      </c>
      <c r="V105" s="206">
        <f t="shared" si="4"/>
        <v>2753748</v>
      </c>
      <c r="W105" s="206">
        <f>W9+W11+W13+W15+W17+W23+W19+W21+W25+W27+W33+W31+W29+W35+W37+W39+W41+W43+W45+W47+W7+W49+W51+W53+W55+W57+W59+W63+W61+W65+W67+W69+W71+W91+W73+W75+W77+W79+W81+W83+W85+W87+W89+W93+W95+W97+W99+W101+W103</f>
        <v>27732936.870000001</v>
      </c>
      <c r="X105" s="207">
        <f>X9+X11+X13+X15+X17+X23+X19+X21+X25+X27+X33+X31+X29+X35+X37+X39+X41+X43+X45+X47+X7+X49+X51+X53+X55+X57+X59+X63+X61+X65+X67+X69+X71+X91+X73+X75+X77+X79+X81+X83+X85+X87+X89+X93+X95+X97+X99+X101+X103</f>
        <v>88202746.189999983</v>
      </c>
    </row>
    <row r="106" spans="1:24" x14ac:dyDescent="0.2">
      <c r="A106" s="208"/>
      <c r="B106" s="443" t="s">
        <v>749</v>
      </c>
      <c r="C106" s="444"/>
      <c r="D106" s="444"/>
      <c r="E106" s="444"/>
      <c r="F106" s="445"/>
      <c r="G106" s="209"/>
      <c r="H106" s="210">
        <f>SUM(H10+H12+H14+H16+H18+H24+H20+H22+H26+H28+H34+H32+H30+H36+H38+H40+H42)+H44+H46+H48+H8+H50+H52+H54+H56+H58+H60+H64+H62+H66+H68+H70+H72+H92+H74+H76+H78+H80+H82+H84+H86+H88+H90+H94+H96+H98+H100+H102+H104+78995.72</f>
        <v>270000</v>
      </c>
      <c r="I106" s="210">
        <f t="shared" ref="I106:V106" si="5">SUM(I10+I12+I14+I16+I18+I24+I20+I22+I26+I28+I34+I32+I30+I36+I38+I40+I42)+I44+I46+I48+I8+I50+I52+I54+I56+I58+I60+I64+I62+I66+I68+I70+I72+I92+I74+I76+I78+I80+I82+I84+I86+I88+I90+I94+I96+I98+I100+I102+I104</f>
        <v>239420</v>
      </c>
      <c r="J106" s="210">
        <f>SUM(J10+J12+J14+J16+J18+J24+J20+J22+J26+J28+J34+J32+J30+J36+J38+J40+J42)+J44+J46+J48+J8+J50+J52+J54+J56+J58+J60+J64+J62+J66+J68+J70+J72+J92+J74+J76+J78+J80+J82+J84+J86+J88+J90+J94+J96+J98+J100+J102+J104</f>
        <v>266025</v>
      </c>
      <c r="K106" s="210">
        <f t="shared" si="5"/>
        <v>251530</v>
      </c>
      <c r="L106" s="210">
        <f t="shared" si="5"/>
        <v>238240</v>
      </c>
      <c r="M106" s="210">
        <f t="shared" si="5"/>
        <v>223645</v>
      </c>
      <c r="N106" s="210">
        <f t="shared" si="5"/>
        <v>209530</v>
      </c>
      <c r="O106" s="210">
        <f t="shared" si="5"/>
        <v>195940</v>
      </c>
      <c r="P106" s="210">
        <f t="shared" si="5"/>
        <v>185355</v>
      </c>
      <c r="Q106" s="210">
        <f t="shared" si="5"/>
        <v>174095</v>
      </c>
      <c r="R106" s="210">
        <f t="shared" si="5"/>
        <v>163210</v>
      </c>
      <c r="S106" s="210">
        <f t="shared" si="5"/>
        <v>151860</v>
      </c>
      <c r="T106" s="210">
        <f t="shared" si="5"/>
        <v>140565</v>
      </c>
      <c r="U106" s="210">
        <f t="shared" si="5"/>
        <v>128510</v>
      </c>
      <c r="V106" s="210">
        <f t="shared" si="5"/>
        <v>117175</v>
      </c>
      <c r="W106" s="210">
        <f>SUM(W10+W12+W14+W16+W18+W24+W20+W22+W26+W28+W34+W32+W30+W36+W38+W40+W42)+W44+W46+W48+W8+W50+W52+W54+W56+W58+W60+W64+W62+W66+W68+W70+W72+W92+W74+W76+W78+W80+W82+W84+W86+W88+W90+W94+W96+W98+W100+W102+W104</f>
        <v>758435</v>
      </c>
      <c r="X106" s="211">
        <f>SUM(X10+X12+X14+X16+X18+X24+X20+X22+X26+X28+X34+X32+X30+X36+X38+X40+X42)+X44+X46+X48+X8+X50+X52+X54+X56+X58+X60+X64+X62+X66+X68+X70+X72+X92+X74+X76+X78+X80+X82+X84+X86+X88+X90+X94+X96+X98+X100+X102+X104</f>
        <v>3634539.28</v>
      </c>
    </row>
    <row r="107" spans="1:24" x14ac:dyDescent="0.2">
      <c r="A107" s="212"/>
      <c r="B107" s="446" t="s">
        <v>750</v>
      </c>
      <c r="C107" s="447"/>
      <c r="D107" s="447"/>
      <c r="E107" s="447"/>
      <c r="F107" s="447"/>
      <c r="G107" s="213"/>
      <c r="H107" s="214">
        <f>SUM(H105:H106)</f>
        <v>8100519.1600000001</v>
      </c>
      <c r="I107" s="214">
        <f t="shared" ref="I107:V107" si="6">SUM(I105:I106)</f>
        <v>5656165.6900000004</v>
      </c>
      <c r="J107" s="214">
        <f t="shared" si="6"/>
        <v>5026316.8599999994</v>
      </c>
      <c r="K107" s="214">
        <f t="shared" si="6"/>
        <v>4731720.6099999994</v>
      </c>
      <c r="L107" s="214">
        <f t="shared" si="6"/>
        <v>4628456</v>
      </c>
      <c r="M107" s="214">
        <f t="shared" si="6"/>
        <v>4676765</v>
      </c>
      <c r="N107" s="214">
        <f t="shared" si="6"/>
        <v>4667346</v>
      </c>
      <c r="O107" s="214">
        <f t="shared" si="6"/>
        <v>3464771</v>
      </c>
      <c r="P107" s="214">
        <f t="shared" si="6"/>
        <v>3132476</v>
      </c>
      <c r="Q107" s="214">
        <f t="shared" si="6"/>
        <v>3105391</v>
      </c>
      <c r="R107" s="214">
        <f t="shared" si="6"/>
        <v>3268576</v>
      </c>
      <c r="S107" s="214">
        <f t="shared" si="6"/>
        <v>3384060</v>
      </c>
      <c r="T107" s="214">
        <f t="shared" si="6"/>
        <v>3372765</v>
      </c>
      <c r="U107" s="214">
        <f t="shared" si="6"/>
        <v>3338658</v>
      </c>
      <c r="V107" s="214">
        <f t="shared" si="6"/>
        <v>2870923</v>
      </c>
      <c r="W107" s="214">
        <f>SUM(W105:W106)</f>
        <v>28491371.870000001</v>
      </c>
      <c r="X107" s="215">
        <f>SUM(X105:X106)</f>
        <v>91837285.469999984</v>
      </c>
    </row>
    <row r="108" spans="1:24" x14ac:dyDescent="0.2">
      <c r="A108" s="216"/>
      <c r="B108" s="448" t="s">
        <v>751</v>
      </c>
      <c r="C108" s="449"/>
      <c r="D108" s="217"/>
      <c r="E108" s="218" t="s">
        <v>752</v>
      </c>
      <c r="F108" s="295">
        <v>65238304</v>
      </c>
      <c r="G108" s="219" t="s">
        <v>753</v>
      </c>
      <c r="H108" s="150">
        <f>SUM(H107/$F$108)</f>
        <v>0.12416814453055064</v>
      </c>
      <c r="I108" s="150">
        <f t="shared" ref="I108:S108" si="7">SUM(I107/$F$108)</f>
        <v>8.6700072552468574E-2</v>
      </c>
      <c r="J108" s="150">
        <f t="shared" si="7"/>
        <v>7.7045486344954631E-2</v>
      </c>
      <c r="K108" s="150">
        <f t="shared" si="7"/>
        <v>7.2529791853571168E-2</v>
      </c>
      <c r="L108" s="150">
        <f>SUM(L107/$F$108)</f>
        <v>7.0946908736315401E-2</v>
      </c>
      <c r="M108" s="150">
        <f t="shared" si="7"/>
        <v>7.1687409286421672E-2</v>
      </c>
      <c r="N108" s="150">
        <f t="shared" si="7"/>
        <v>7.154303091631567E-2</v>
      </c>
      <c r="O108" s="150">
        <f t="shared" si="7"/>
        <v>5.3109458516886032E-2</v>
      </c>
      <c r="P108" s="151">
        <f t="shared" si="7"/>
        <v>4.8015901823566721E-2</v>
      </c>
      <c r="Q108" s="151">
        <f t="shared" si="7"/>
        <v>4.7600731619264661E-2</v>
      </c>
      <c r="R108" s="151">
        <f t="shared" si="7"/>
        <v>5.0102099527296114E-2</v>
      </c>
      <c r="S108" s="151">
        <f t="shared" si="7"/>
        <v>5.1872286563427523E-2</v>
      </c>
      <c r="T108" s="151">
        <f>SUM(T107/$F$108)</f>
        <v>5.1699152080961513E-2</v>
      </c>
      <c r="U108" s="151">
        <f t="shared" ref="U108:W108" si="8">SUM(U107/$F$108)</f>
        <v>5.1176345724744776E-2</v>
      </c>
      <c r="V108" s="151">
        <f t="shared" si="8"/>
        <v>4.4006708083643618E-2</v>
      </c>
      <c r="W108" s="151">
        <f t="shared" si="8"/>
        <v>0.4367276603328008</v>
      </c>
      <c r="X108" s="152"/>
    </row>
    <row r="109" spans="1:24" x14ac:dyDescent="0.2">
      <c r="A109" s="220"/>
      <c r="B109" s="448" t="s">
        <v>781</v>
      </c>
      <c r="C109" s="449"/>
      <c r="D109" s="217"/>
      <c r="E109" s="218"/>
      <c r="F109" s="165"/>
      <c r="G109" s="221" t="s">
        <v>753</v>
      </c>
      <c r="H109" s="222">
        <f t="shared" ref="H109:W109" si="9">SUM((H107-H111)/$F$108)</f>
        <v>8.9712090001603961E-2</v>
      </c>
      <c r="I109" s="223">
        <f t="shared" si="9"/>
        <v>8.6700072552468574E-2</v>
      </c>
      <c r="J109" s="223">
        <f t="shared" si="9"/>
        <v>7.7045486344954631E-2</v>
      </c>
      <c r="K109" s="223">
        <f t="shared" si="9"/>
        <v>7.2529791853571168E-2</v>
      </c>
      <c r="L109" s="223">
        <f t="shared" si="9"/>
        <v>7.0946908736315401E-2</v>
      </c>
      <c r="M109" s="223">
        <f t="shared" si="9"/>
        <v>7.1687409286421672E-2</v>
      </c>
      <c r="N109" s="223">
        <f t="shared" si="9"/>
        <v>7.154303091631567E-2</v>
      </c>
      <c r="O109" s="223">
        <f t="shared" si="9"/>
        <v>5.3109458516886032E-2</v>
      </c>
      <c r="P109" s="223">
        <f t="shared" si="9"/>
        <v>4.8015901823566721E-2</v>
      </c>
      <c r="Q109" s="223">
        <f t="shared" si="9"/>
        <v>4.7600731619264661E-2</v>
      </c>
      <c r="R109" s="223">
        <f t="shared" si="9"/>
        <v>5.0102099527296114E-2</v>
      </c>
      <c r="S109" s="223">
        <f t="shared" si="9"/>
        <v>5.1872286563427523E-2</v>
      </c>
      <c r="T109" s="223">
        <f t="shared" si="9"/>
        <v>5.1699152080961513E-2</v>
      </c>
      <c r="U109" s="223">
        <f t="shared" si="9"/>
        <v>5.1176345724744776E-2</v>
      </c>
      <c r="V109" s="223">
        <f t="shared" si="9"/>
        <v>4.4006708083643618E-2</v>
      </c>
      <c r="W109" s="223">
        <f t="shared" si="9"/>
        <v>0.4367276603328008</v>
      </c>
      <c r="X109" s="224"/>
    </row>
    <row r="110" spans="1:24" ht="15" customHeight="1" x14ac:dyDescent="0.2">
      <c r="C110" s="225"/>
      <c r="D110" s="225"/>
      <c r="E110" s="225"/>
      <c r="F110" s="225"/>
      <c r="G110" s="225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X110" s="226"/>
    </row>
    <row r="111" spans="1:24" ht="15" customHeight="1" x14ac:dyDescent="0.2">
      <c r="C111" s="225"/>
      <c r="D111" s="225"/>
      <c r="E111" s="450" t="s">
        <v>882</v>
      </c>
      <c r="F111" s="450"/>
      <c r="G111" s="450"/>
      <c r="H111" s="275">
        <f>H19-750.21+H39+H41+H47+H51+H57+H65+H69+H73+H75+H79+H81+H359+H71+H35-38592</f>
        <v>2247854.56</v>
      </c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6"/>
    </row>
    <row r="112" spans="1:24" ht="15" customHeight="1" x14ac:dyDescent="0.2">
      <c r="C112" s="225"/>
      <c r="D112" s="225"/>
      <c r="E112" s="450" t="s">
        <v>780</v>
      </c>
      <c r="F112" s="450"/>
      <c r="G112" s="450"/>
      <c r="H112" s="226">
        <f>5582664.39+0.21</f>
        <v>5582664.5999999996</v>
      </c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6"/>
    </row>
    <row r="113" spans="1:24" ht="15" customHeight="1" x14ac:dyDescent="0.2">
      <c r="C113" s="225"/>
      <c r="D113" s="225"/>
      <c r="E113" s="459"/>
      <c r="F113" s="459"/>
      <c r="G113" s="459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6"/>
    </row>
    <row r="114" spans="1:24" x14ac:dyDescent="0.2">
      <c r="D114" s="181"/>
      <c r="E114" s="228"/>
      <c r="F114" s="229"/>
      <c r="G114" s="229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X114" s="231"/>
    </row>
    <row r="115" spans="1:24" s="234" customFormat="1" ht="15" hidden="1" customHeight="1" x14ac:dyDescent="0.2">
      <c r="A115" s="179"/>
      <c r="B115" s="184"/>
      <c r="C115" s="460" t="s">
        <v>754</v>
      </c>
      <c r="D115" s="460"/>
      <c r="E115" s="460"/>
      <c r="F115" s="460"/>
      <c r="G115" s="460"/>
      <c r="H115" s="232"/>
      <c r="I115" s="232">
        <f>I105-H105+H111+1000000</f>
        <v>834081.09000000032</v>
      </c>
      <c r="J115" s="232">
        <f t="shared" ref="J115:V115" si="10">J105-I105</f>
        <v>-656453.83000000101</v>
      </c>
      <c r="K115" s="232">
        <f t="shared" si="10"/>
        <v>-280101.25</v>
      </c>
      <c r="L115" s="232">
        <f t="shared" si="10"/>
        <v>-89974.609999999404</v>
      </c>
      <c r="M115" s="232">
        <f t="shared" si="10"/>
        <v>62904</v>
      </c>
      <c r="N115" s="232">
        <f t="shared" si="10"/>
        <v>4696</v>
      </c>
      <c r="O115" s="232">
        <f t="shared" si="10"/>
        <v>-1188985</v>
      </c>
      <c r="P115" s="232">
        <f t="shared" si="10"/>
        <v>-321710</v>
      </c>
      <c r="Q115" s="232">
        <f t="shared" si="10"/>
        <v>-15825</v>
      </c>
      <c r="R115" s="232">
        <f t="shared" si="10"/>
        <v>174070</v>
      </c>
      <c r="S115" s="232">
        <f t="shared" si="10"/>
        <v>126834</v>
      </c>
      <c r="T115" s="232">
        <f t="shared" si="10"/>
        <v>0</v>
      </c>
      <c r="U115" s="232">
        <f t="shared" si="10"/>
        <v>-22052</v>
      </c>
      <c r="V115" s="232">
        <f t="shared" si="10"/>
        <v>-456400</v>
      </c>
      <c r="W115" s="232"/>
      <c r="X115" s="233"/>
    </row>
    <row r="116" spans="1:24" s="234" customFormat="1" ht="15" hidden="1" customHeight="1" x14ac:dyDescent="0.2">
      <c r="A116" s="179"/>
      <c r="B116" s="184"/>
      <c r="C116" s="460" t="s">
        <v>755</v>
      </c>
      <c r="D116" s="460"/>
      <c r="E116" s="460"/>
      <c r="F116" s="460"/>
      <c r="G116" s="460"/>
      <c r="H116" s="232"/>
      <c r="I116" s="232">
        <f>I107-H107</f>
        <v>-2444353.4699999997</v>
      </c>
      <c r="J116" s="232">
        <f>J107-I107</f>
        <v>-629848.83000000101</v>
      </c>
      <c r="K116" s="232">
        <f t="shared" ref="K116:V116" si="11">K107-J107</f>
        <v>-294596.25</v>
      </c>
      <c r="L116" s="232">
        <f t="shared" si="11"/>
        <v>-103264.6099999994</v>
      </c>
      <c r="M116" s="232">
        <f t="shared" si="11"/>
        <v>48309</v>
      </c>
      <c r="N116" s="232">
        <f t="shared" si="11"/>
        <v>-9419</v>
      </c>
      <c r="O116" s="232">
        <f t="shared" si="11"/>
        <v>-1202575</v>
      </c>
      <c r="P116" s="232">
        <f t="shared" si="11"/>
        <v>-332295</v>
      </c>
      <c r="Q116" s="232">
        <f t="shared" si="11"/>
        <v>-27085</v>
      </c>
      <c r="R116" s="232">
        <f t="shared" si="11"/>
        <v>163185</v>
      </c>
      <c r="S116" s="232">
        <f t="shared" si="11"/>
        <v>115484</v>
      </c>
      <c r="T116" s="232">
        <f t="shared" si="11"/>
        <v>-11295</v>
      </c>
      <c r="U116" s="232">
        <f t="shared" si="11"/>
        <v>-34107</v>
      </c>
      <c r="V116" s="232">
        <f t="shared" si="11"/>
        <v>-467735</v>
      </c>
      <c r="W116" s="232"/>
      <c r="X116" s="233"/>
    </row>
    <row r="117" spans="1:24" s="234" customFormat="1" hidden="1" x14ac:dyDescent="0.2">
      <c r="A117" s="235"/>
      <c r="B117" s="236"/>
      <c r="C117" s="235"/>
      <c r="D117" s="235"/>
      <c r="E117" s="185"/>
      <c r="F117" s="237"/>
      <c r="G117" s="237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234" customFormat="1" x14ac:dyDescent="0.2">
      <c r="A118" s="235"/>
      <c r="B118" s="236"/>
      <c r="C118" s="235"/>
      <c r="D118" s="235"/>
      <c r="E118" s="185"/>
      <c r="F118" s="237"/>
      <c r="G118" s="237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8"/>
      <c r="V118" s="238"/>
      <c r="W118" s="238"/>
      <c r="X118" s="238"/>
    </row>
    <row r="119" spans="1:24" s="234" customFormat="1" x14ac:dyDescent="0.2">
      <c r="A119" s="235"/>
      <c r="B119" s="236"/>
      <c r="C119" s="235"/>
      <c r="D119" s="235"/>
      <c r="E119" s="185"/>
      <c r="F119" s="237"/>
      <c r="G119" s="237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</row>
    <row r="120" spans="1:24" s="234" customFormat="1" x14ac:dyDescent="0.2">
      <c r="A120" s="235"/>
      <c r="B120" s="239" t="s">
        <v>756</v>
      </c>
      <c r="C120" s="235"/>
      <c r="D120" s="235"/>
      <c r="E120" s="185"/>
      <c r="F120" s="237"/>
      <c r="G120" s="237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234" customFormat="1" x14ac:dyDescent="0.2">
      <c r="A121" s="451">
        <v>1</v>
      </c>
      <c r="B121" s="169" t="s">
        <v>651</v>
      </c>
      <c r="C121" s="396" t="s">
        <v>757</v>
      </c>
      <c r="D121" s="171"/>
      <c r="E121" s="453">
        <v>5122338.5199999996</v>
      </c>
      <c r="F121" s="455" t="s">
        <v>758</v>
      </c>
      <c r="G121" s="240" t="s">
        <v>654</v>
      </c>
      <c r="H121" s="131">
        <v>216000</v>
      </c>
      <c r="I121" s="131">
        <v>216000</v>
      </c>
      <c r="J121" s="131">
        <v>216000</v>
      </c>
      <c r="K121" s="131">
        <v>216000</v>
      </c>
      <c r="L121" s="131">
        <v>216000</v>
      </c>
      <c r="M121" s="131">
        <v>216000</v>
      </c>
      <c r="N121" s="131">
        <v>216000</v>
      </c>
      <c r="O121" s="131">
        <v>216000</v>
      </c>
      <c r="P121" s="131">
        <v>216000</v>
      </c>
      <c r="Q121" s="131">
        <v>216000</v>
      </c>
      <c r="R121" s="131">
        <v>216000</v>
      </c>
      <c r="S121" s="131">
        <v>0</v>
      </c>
      <c r="T121" s="131">
        <v>0</v>
      </c>
      <c r="U121" s="166">
        <v>0</v>
      </c>
      <c r="V121" s="166">
        <v>0</v>
      </c>
      <c r="W121" s="166">
        <v>0</v>
      </c>
      <c r="X121" s="123">
        <f t="shared" ref="X121:X128" si="12">SUM(H121:W121)</f>
        <v>2376000</v>
      </c>
    </row>
    <row r="122" spans="1:24" s="234" customFormat="1" x14ac:dyDescent="0.2">
      <c r="A122" s="452"/>
      <c r="B122" s="170" t="s">
        <v>759</v>
      </c>
      <c r="C122" s="397"/>
      <c r="D122" s="172"/>
      <c r="E122" s="454"/>
      <c r="F122" s="456"/>
      <c r="G122" s="241">
        <v>5.0000000000000001E-3</v>
      </c>
      <c r="H122" s="157">
        <v>11850</v>
      </c>
      <c r="I122" s="157">
        <v>10785</v>
      </c>
      <c r="J122" s="157">
        <v>9690</v>
      </c>
      <c r="K122" s="157">
        <v>8595</v>
      </c>
      <c r="L122" s="157">
        <v>7520</v>
      </c>
      <c r="M122" s="157">
        <v>6405</v>
      </c>
      <c r="N122" s="157">
        <v>5310</v>
      </c>
      <c r="O122" s="157">
        <v>4215</v>
      </c>
      <c r="P122" s="157">
        <v>3130</v>
      </c>
      <c r="Q122" s="157">
        <v>2025</v>
      </c>
      <c r="R122" s="157">
        <v>930</v>
      </c>
      <c r="S122" s="157">
        <v>65</v>
      </c>
      <c r="T122" s="157">
        <v>0</v>
      </c>
      <c r="U122" s="167">
        <v>0</v>
      </c>
      <c r="V122" s="167">
        <v>0</v>
      </c>
      <c r="W122" s="167">
        <v>0</v>
      </c>
      <c r="X122" s="126">
        <f t="shared" si="12"/>
        <v>70520</v>
      </c>
    </row>
    <row r="123" spans="1:24" s="234" customFormat="1" x14ac:dyDescent="0.2">
      <c r="A123" s="451">
        <v>2</v>
      </c>
      <c r="B123" s="169" t="s">
        <v>651</v>
      </c>
      <c r="C123" s="396" t="s">
        <v>760</v>
      </c>
      <c r="D123" s="171"/>
      <c r="E123" s="453">
        <v>522193.95</v>
      </c>
      <c r="F123" s="455" t="s">
        <v>761</v>
      </c>
      <c r="G123" s="240" t="s">
        <v>654</v>
      </c>
      <c r="H123" s="131"/>
      <c r="I123" s="131"/>
      <c r="J123" s="131">
        <v>0</v>
      </c>
      <c r="K123" s="131">
        <v>10699.57</v>
      </c>
      <c r="L123" s="131">
        <v>32139.84</v>
      </c>
      <c r="M123" s="131">
        <v>32139.84</v>
      </c>
      <c r="N123" s="131">
        <v>32139.84</v>
      </c>
      <c r="O123" s="131">
        <v>32139.84</v>
      </c>
      <c r="P123" s="131">
        <v>32139.84</v>
      </c>
      <c r="Q123" s="131">
        <v>32139.84</v>
      </c>
      <c r="R123" s="131">
        <v>32061.39</v>
      </c>
      <c r="S123" s="131">
        <v>0</v>
      </c>
      <c r="T123" s="131">
        <v>0</v>
      </c>
      <c r="U123" s="166">
        <v>0</v>
      </c>
      <c r="V123" s="166">
        <v>0</v>
      </c>
      <c r="W123" s="166">
        <v>0</v>
      </c>
      <c r="X123" s="123">
        <f>SUM(H123:W123)</f>
        <v>235600</v>
      </c>
    </row>
    <row r="124" spans="1:24" s="234" customFormat="1" x14ac:dyDescent="0.2">
      <c r="A124" s="452"/>
      <c r="B124" s="170" t="s">
        <v>762</v>
      </c>
      <c r="C124" s="397"/>
      <c r="D124" s="172"/>
      <c r="E124" s="454"/>
      <c r="F124" s="456"/>
      <c r="G124" s="241">
        <v>5.0000000000000001E-3</v>
      </c>
      <c r="H124" s="157">
        <v>1200</v>
      </c>
      <c r="I124" s="157">
        <v>1195</v>
      </c>
      <c r="J124" s="157">
        <v>1195</v>
      </c>
      <c r="K124" s="157">
        <v>1195</v>
      </c>
      <c r="L124" s="157">
        <v>1120</v>
      </c>
      <c r="M124" s="157">
        <v>955</v>
      </c>
      <c r="N124" s="157">
        <v>790</v>
      </c>
      <c r="O124" s="157">
        <v>630</v>
      </c>
      <c r="P124" s="157">
        <v>465</v>
      </c>
      <c r="Q124" s="157">
        <v>305</v>
      </c>
      <c r="R124" s="157">
        <v>140</v>
      </c>
      <c r="S124" s="157">
        <v>10</v>
      </c>
      <c r="T124" s="157">
        <v>0</v>
      </c>
      <c r="U124" s="167">
        <v>0</v>
      </c>
      <c r="V124" s="167">
        <v>0</v>
      </c>
      <c r="W124" s="167">
        <v>0</v>
      </c>
      <c r="X124" s="126">
        <f t="shared" si="12"/>
        <v>9200</v>
      </c>
    </row>
    <row r="125" spans="1:24" s="234" customFormat="1" ht="12.75" customHeight="1" x14ac:dyDescent="0.2">
      <c r="A125" s="457">
        <v>3</v>
      </c>
      <c r="B125" s="288" t="s">
        <v>651</v>
      </c>
      <c r="C125" s="428" t="s">
        <v>814</v>
      </c>
      <c r="D125" s="289"/>
      <c r="E125" s="453">
        <v>6033386</v>
      </c>
      <c r="F125" s="428" t="s">
        <v>821</v>
      </c>
      <c r="G125" s="290" t="s">
        <v>654</v>
      </c>
      <c r="H125" s="131"/>
      <c r="I125" s="131"/>
      <c r="J125" s="131"/>
      <c r="K125" s="166">
        <v>221321</v>
      </c>
      <c r="L125" s="166">
        <v>221412</v>
      </c>
      <c r="M125" s="166">
        <v>221412</v>
      </c>
      <c r="N125" s="166">
        <v>221412</v>
      </c>
      <c r="O125" s="166">
        <v>221412</v>
      </c>
      <c r="P125" s="166">
        <v>221412</v>
      </c>
      <c r="Q125" s="166">
        <v>221412</v>
      </c>
      <c r="R125" s="166">
        <v>221412</v>
      </c>
      <c r="S125" s="166">
        <v>221412</v>
      </c>
      <c r="T125" s="166">
        <v>221412</v>
      </c>
      <c r="U125" s="166">
        <v>221412</v>
      </c>
      <c r="V125" s="166">
        <v>221412</v>
      </c>
      <c r="W125" s="166">
        <v>3376533</v>
      </c>
      <c r="X125" s="123">
        <f t="shared" si="12"/>
        <v>6033386</v>
      </c>
    </row>
    <row r="126" spans="1:24" s="234" customFormat="1" x14ac:dyDescent="0.2">
      <c r="A126" s="458"/>
      <c r="B126" s="291" t="s">
        <v>822</v>
      </c>
      <c r="C126" s="429"/>
      <c r="D126" s="292"/>
      <c r="E126" s="454"/>
      <c r="F126" s="429"/>
      <c r="G126" s="293">
        <v>1.477E-2</v>
      </c>
      <c r="H126" s="157">
        <f>25250</f>
        <v>25250</v>
      </c>
      <c r="I126" s="157">
        <v>90355</v>
      </c>
      <c r="J126" s="157">
        <v>90355</v>
      </c>
      <c r="K126" s="157">
        <v>89660</v>
      </c>
      <c r="L126" s="157">
        <v>86765</v>
      </c>
      <c r="M126" s="157">
        <v>83210</v>
      </c>
      <c r="N126" s="157">
        <v>79895</v>
      </c>
      <c r="O126" s="157">
        <v>76580</v>
      </c>
      <c r="P126" s="157">
        <v>73465</v>
      </c>
      <c r="Q126" s="157">
        <v>69950</v>
      </c>
      <c r="R126" s="157">
        <v>66635</v>
      </c>
      <c r="S126" s="157">
        <v>63320</v>
      </c>
      <c r="T126" s="157">
        <v>60170</v>
      </c>
      <c r="U126" s="167">
        <v>56685</v>
      </c>
      <c r="V126" s="167">
        <v>53370</v>
      </c>
      <c r="W126" s="167">
        <v>403525</v>
      </c>
      <c r="X126" s="126">
        <f t="shared" si="12"/>
        <v>1469190</v>
      </c>
    </row>
    <row r="127" spans="1:24" s="234" customFormat="1" hidden="1" x14ac:dyDescent="0.2">
      <c r="A127" s="411"/>
      <c r="B127" s="169"/>
      <c r="C127" s="469"/>
      <c r="D127" s="171"/>
      <c r="E127" s="453"/>
      <c r="F127" s="455"/>
      <c r="G127" s="240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4"/>
      <c r="V127" s="154"/>
      <c r="W127" s="154"/>
      <c r="X127" s="123">
        <f t="shared" si="12"/>
        <v>0</v>
      </c>
    </row>
    <row r="128" spans="1:24" s="234" customFormat="1" hidden="1" x14ac:dyDescent="0.2">
      <c r="A128" s="412"/>
      <c r="B128" s="170"/>
      <c r="C128" s="397"/>
      <c r="D128" s="172"/>
      <c r="E128" s="454"/>
      <c r="F128" s="456"/>
      <c r="G128" s="241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6"/>
      <c r="V128" s="156"/>
      <c r="W128" s="156"/>
      <c r="X128" s="126">
        <f t="shared" si="12"/>
        <v>0</v>
      </c>
    </row>
    <row r="129" spans="1:24" s="234" customFormat="1" x14ac:dyDescent="0.2">
      <c r="A129" s="242"/>
      <c r="B129" s="470" t="s">
        <v>763</v>
      </c>
      <c r="C129" s="471"/>
      <c r="D129" s="471"/>
      <c r="E129" s="471"/>
      <c r="F129" s="472"/>
      <c r="G129" s="243"/>
      <c r="H129" s="244">
        <f>H121+H123+H125+H127</f>
        <v>216000</v>
      </c>
      <c r="I129" s="244">
        <f t="shared" ref="I129:W130" si="13">I121+I123+I125+I127</f>
        <v>216000</v>
      </c>
      <c r="J129" s="244">
        <f t="shared" si="13"/>
        <v>216000</v>
      </c>
      <c r="K129" s="244">
        <f t="shared" si="13"/>
        <v>448020.57</v>
      </c>
      <c r="L129" s="244">
        <f t="shared" si="13"/>
        <v>469551.83999999997</v>
      </c>
      <c r="M129" s="244">
        <f t="shared" si="13"/>
        <v>469551.83999999997</v>
      </c>
      <c r="N129" s="244">
        <f t="shared" si="13"/>
        <v>469551.83999999997</v>
      </c>
      <c r="O129" s="244">
        <f t="shared" si="13"/>
        <v>469551.83999999997</v>
      </c>
      <c r="P129" s="244">
        <f t="shared" si="13"/>
        <v>469551.83999999997</v>
      </c>
      <c r="Q129" s="244">
        <f t="shared" si="13"/>
        <v>469551.83999999997</v>
      </c>
      <c r="R129" s="244">
        <f t="shared" si="13"/>
        <v>469473.39</v>
      </c>
      <c r="S129" s="244">
        <f t="shared" si="13"/>
        <v>221412</v>
      </c>
      <c r="T129" s="244">
        <f t="shared" si="13"/>
        <v>221412</v>
      </c>
      <c r="U129" s="244">
        <f t="shared" si="13"/>
        <v>221412</v>
      </c>
      <c r="V129" s="244">
        <f t="shared" si="13"/>
        <v>221412</v>
      </c>
      <c r="W129" s="244">
        <f t="shared" si="13"/>
        <v>3376533</v>
      </c>
      <c r="X129" s="245">
        <f>+X121+X123+X125+X127</f>
        <v>8644986</v>
      </c>
    </row>
    <row r="130" spans="1:24" s="234" customFormat="1" ht="13.5" thickBot="1" x14ac:dyDescent="0.25">
      <c r="A130" s="246"/>
      <c r="B130" s="466" t="s">
        <v>749</v>
      </c>
      <c r="C130" s="466"/>
      <c r="D130" s="466"/>
      <c r="E130" s="466"/>
      <c r="F130" s="466"/>
      <c r="G130" s="247"/>
      <c r="H130" s="248">
        <f>H122+H124+H126+H128</f>
        <v>38300</v>
      </c>
      <c r="I130" s="248">
        <f t="shared" si="13"/>
        <v>102335</v>
      </c>
      <c r="J130" s="248">
        <f t="shared" si="13"/>
        <v>101240</v>
      </c>
      <c r="K130" s="248">
        <f t="shared" si="13"/>
        <v>99450</v>
      </c>
      <c r="L130" s="248">
        <f t="shared" si="13"/>
        <v>95405</v>
      </c>
      <c r="M130" s="248">
        <f t="shared" si="13"/>
        <v>90570</v>
      </c>
      <c r="N130" s="248">
        <f t="shared" si="13"/>
        <v>85995</v>
      </c>
      <c r="O130" s="248">
        <f t="shared" si="13"/>
        <v>81425</v>
      </c>
      <c r="P130" s="248">
        <f t="shared" si="13"/>
        <v>77060</v>
      </c>
      <c r="Q130" s="248">
        <f t="shared" si="13"/>
        <v>72280</v>
      </c>
      <c r="R130" s="248">
        <f t="shared" si="13"/>
        <v>67705</v>
      </c>
      <c r="S130" s="248">
        <f t="shared" si="13"/>
        <v>63395</v>
      </c>
      <c r="T130" s="248">
        <f t="shared" si="13"/>
        <v>60170</v>
      </c>
      <c r="U130" s="248">
        <f t="shared" si="13"/>
        <v>56685</v>
      </c>
      <c r="V130" s="248">
        <f t="shared" si="13"/>
        <v>53370</v>
      </c>
      <c r="W130" s="248">
        <f t="shared" si="13"/>
        <v>403525</v>
      </c>
      <c r="X130" s="249">
        <f>+X122+X124+X126+X128</f>
        <v>1548910</v>
      </c>
    </row>
    <row r="131" spans="1:24" s="234" customFormat="1" ht="13.5" thickTop="1" x14ac:dyDescent="0.2">
      <c r="A131" s="250"/>
      <c r="B131" s="461" t="s">
        <v>764</v>
      </c>
      <c r="C131" s="462"/>
      <c r="D131" s="462"/>
      <c r="E131" s="462"/>
      <c r="F131" s="462"/>
      <c r="G131" s="251"/>
      <c r="H131" s="252">
        <f t="shared" ref="H131:W131" si="14">SUM(H129:H130)</f>
        <v>254300</v>
      </c>
      <c r="I131" s="252">
        <f t="shared" si="14"/>
        <v>318335</v>
      </c>
      <c r="J131" s="252">
        <f t="shared" si="14"/>
        <v>317240</v>
      </c>
      <c r="K131" s="252">
        <f t="shared" si="14"/>
        <v>547470.57000000007</v>
      </c>
      <c r="L131" s="252">
        <f t="shared" si="14"/>
        <v>564956.84</v>
      </c>
      <c r="M131" s="252">
        <f t="shared" si="14"/>
        <v>560121.84</v>
      </c>
      <c r="N131" s="252">
        <f t="shared" si="14"/>
        <v>555546.84</v>
      </c>
      <c r="O131" s="252">
        <f t="shared" si="14"/>
        <v>550976.84</v>
      </c>
      <c r="P131" s="252">
        <f t="shared" si="14"/>
        <v>546611.84</v>
      </c>
      <c r="Q131" s="252">
        <f t="shared" si="14"/>
        <v>541831.84</v>
      </c>
      <c r="R131" s="252">
        <f t="shared" si="14"/>
        <v>537178.39</v>
      </c>
      <c r="S131" s="252">
        <f t="shared" si="14"/>
        <v>284807</v>
      </c>
      <c r="T131" s="252">
        <f t="shared" si="14"/>
        <v>281582</v>
      </c>
      <c r="U131" s="252">
        <f t="shared" si="14"/>
        <v>278097</v>
      </c>
      <c r="V131" s="252">
        <f t="shared" si="14"/>
        <v>274782</v>
      </c>
      <c r="W131" s="252">
        <f t="shared" si="14"/>
        <v>3780058</v>
      </c>
      <c r="X131" s="253">
        <f>SUM(X129:X130)</f>
        <v>10193896</v>
      </c>
    </row>
    <row r="132" spans="1:24" s="234" customFormat="1" x14ac:dyDescent="0.2">
      <c r="A132" s="254"/>
      <c r="B132" s="255"/>
      <c r="C132" s="256"/>
      <c r="D132" s="256"/>
      <c r="E132" s="256"/>
      <c r="F132" s="256"/>
      <c r="G132" s="254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</row>
    <row r="133" spans="1:24" s="234" customFormat="1" hidden="1" x14ac:dyDescent="0.2">
      <c r="A133" s="254"/>
      <c r="B133" s="255"/>
      <c r="C133" s="256"/>
      <c r="D133" s="256"/>
      <c r="E133" s="450" t="s">
        <v>815</v>
      </c>
      <c r="F133" s="450"/>
      <c r="G133" s="450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</row>
    <row r="134" spans="1:24" s="234" customFormat="1" hidden="1" x14ac:dyDescent="0.2">
      <c r="A134" s="254"/>
      <c r="B134" s="255"/>
      <c r="C134" s="256"/>
      <c r="D134" s="256"/>
      <c r="E134" s="450" t="s">
        <v>780</v>
      </c>
      <c r="F134" s="450"/>
      <c r="G134" s="450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</row>
    <row r="135" spans="1:24" s="234" customFormat="1" hidden="1" x14ac:dyDescent="0.2">
      <c r="A135" s="254"/>
      <c r="B135" s="255"/>
      <c r="C135" s="256"/>
      <c r="D135" s="256"/>
      <c r="E135" s="258"/>
      <c r="F135" s="258"/>
      <c r="G135" s="258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</row>
    <row r="136" spans="1:24" x14ac:dyDescent="0.2"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</row>
    <row r="137" spans="1:24" s="234" customFormat="1" ht="12" customHeight="1" x14ac:dyDescent="0.2">
      <c r="A137" s="179"/>
      <c r="B137" s="184"/>
      <c r="C137" s="260" t="s">
        <v>638</v>
      </c>
      <c r="D137" s="260"/>
      <c r="E137" s="185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</row>
    <row r="138" spans="1:24" s="234" customFormat="1" x14ac:dyDescent="0.2">
      <c r="A138" s="200"/>
      <c r="B138" s="463" t="s">
        <v>765</v>
      </c>
      <c r="C138" s="464"/>
      <c r="D138" s="464"/>
      <c r="E138" s="464"/>
      <c r="F138" s="465"/>
      <c r="G138" s="205"/>
      <c r="H138" s="261">
        <f t="shared" ref="H138:W139" si="15">H105+H129</f>
        <v>8046519.1600000001</v>
      </c>
      <c r="I138" s="261">
        <f t="shared" si="15"/>
        <v>5632745.6900000004</v>
      </c>
      <c r="J138" s="261">
        <f t="shared" si="15"/>
        <v>4976291.8599999994</v>
      </c>
      <c r="K138" s="261">
        <f t="shared" si="15"/>
        <v>4928211.18</v>
      </c>
      <c r="L138" s="261">
        <f t="shared" si="15"/>
        <v>4859767.84</v>
      </c>
      <c r="M138" s="261">
        <f t="shared" si="15"/>
        <v>4922671.84</v>
      </c>
      <c r="N138" s="261">
        <f t="shared" si="15"/>
        <v>4927367.84</v>
      </c>
      <c r="O138" s="261">
        <f t="shared" si="15"/>
        <v>3738382.84</v>
      </c>
      <c r="P138" s="261">
        <f t="shared" si="15"/>
        <v>3416672.84</v>
      </c>
      <c r="Q138" s="261">
        <f t="shared" si="15"/>
        <v>3400847.84</v>
      </c>
      <c r="R138" s="261">
        <f t="shared" si="15"/>
        <v>3574839.39</v>
      </c>
      <c r="S138" s="261">
        <f t="shared" si="15"/>
        <v>3453612</v>
      </c>
      <c r="T138" s="261">
        <f t="shared" si="15"/>
        <v>3453612</v>
      </c>
      <c r="U138" s="261">
        <f t="shared" si="15"/>
        <v>3431560</v>
      </c>
      <c r="V138" s="261">
        <f t="shared" si="15"/>
        <v>2975160</v>
      </c>
      <c r="W138" s="261">
        <f t="shared" si="15"/>
        <v>31109469.870000001</v>
      </c>
      <c r="X138" s="262">
        <f>SUM(H138:W138)</f>
        <v>96847732.190000013</v>
      </c>
    </row>
    <row r="139" spans="1:24" s="234" customFormat="1" ht="13.5" thickBot="1" x14ac:dyDescent="0.25">
      <c r="A139" s="246"/>
      <c r="B139" s="466" t="s">
        <v>749</v>
      </c>
      <c r="C139" s="466"/>
      <c r="D139" s="466"/>
      <c r="E139" s="466"/>
      <c r="F139" s="466"/>
      <c r="G139" s="263"/>
      <c r="H139" s="248">
        <f t="shared" si="15"/>
        <v>308300</v>
      </c>
      <c r="I139" s="248">
        <f t="shared" si="15"/>
        <v>341755</v>
      </c>
      <c r="J139" s="248">
        <f t="shared" si="15"/>
        <v>367265</v>
      </c>
      <c r="K139" s="248">
        <f t="shared" si="15"/>
        <v>350980</v>
      </c>
      <c r="L139" s="248">
        <f t="shared" si="15"/>
        <v>333645</v>
      </c>
      <c r="M139" s="248">
        <f t="shared" si="15"/>
        <v>314215</v>
      </c>
      <c r="N139" s="248">
        <f t="shared" si="15"/>
        <v>295525</v>
      </c>
      <c r="O139" s="248">
        <f t="shared" si="15"/>
        <v>277365</v>
      </c>
      <c r="P139" s="248">
        <f t="shared" si="15"/>
        <v>262415</v>
      </c>
      <c r="Q139" s="248">
        <f t="shared" si="15"/>
        <v>246375</v>
      </c>
      <c r="R139" s="248">
        <f t="shared" si="15"/>
        <v>230915</v>
      </c>
      <c r="S139" s="248">
        <f t="shared" si="15"/>
        <v>215255</v>
      </c>
      <c r="T139" s="248">
        <f t="shared" si="15"/>
        <v>200735</v>
      </c>
      <c r="U139" s="248">
        <f t="shared" si="15"/>
        <v>185195</v>
      </c>
      <c r="V139" s="248">
        <f t="shared" si="15"/>
        <v>170545</v>
      </c>
      <c r="W139" s="248">
        <f t="shared" si="15"/>
        <v>1161960</v>
      </c>
      <c r="X139" s="249">
        <f>SUM(H139:W139)</f>
        <v>5262445</v>
      </c>
    </row>
    <row r="140" spans="1:24" s="234" customFormat="1" ht="13.5" thickTop="1" x14ac:dyDescent="0.2">
      <c r="A140" s="264"/>
      <c r="B140" s="467" t="s">
        <v>650</v>
      </c>
      <c r="C140" s="468"/>
      <c r="D140" s="468"/>
      <c r="E140" s="468"/>
      <c r="F140" s="468"/>
      <c r="G140" s="213"/>
      <c r="H140" s="214">
        <f t="shared" ref="H140:W140" si="16">SUM(H138:H139)</f>
        <v>8354819.1600000001</v>
      </c>
      <c r="I140" s="214">
        <f t="shared" si="16"/>
        <v>5974500.6900000004</v>
      </c>
      <c r="J140" s="214">
        <f t="shared" si="16"/>
        <v>5343556.8599999994</v>
      </c>
      <c r="K140" s="214">
        <f t="shared" si="16"/>
        <v>5279191.18</v>
      </c>
      <c r="L140" s="214">
        <f t="shared" si="16"/>
        <v>5193412.84</v>
      </c>
      <c r="M140" s="214">
        <f t="shared" si="16"/>
        <v>5236886.84</v>
      </c>
      <c r="N140" s="214">
        <f t="shared" si="16"/>
        <v>5222892.84</v>
      </c>
      <c r="O140" s="214">
        <f t="shared" si="16"/>
        <v>4015747.84</v>
      </c>
      <c r="P140" s="214">
        <f t="shared" si="16"/>
        <v>3679087.84</v>
      </c>
      <c r="Q140" s="214">
        <f t="shared" si="16"/>
        <v>3647222.84</v>
      </c>
      <c r="R140" s="214">
        <f t="shared" si="16"/>
        <v>3805754.39</v>
      </c>
      <c r="S140" s="214">
        <f t="shared" si="16"/>
        <v>3668867</v>
      </c>
      <c r="T140" s="214">
        <f t="shared" si="16"/>
        <v>3654347</v>
      </c>
      <c r="U140" s="214">
        <f t="shared" si="16"/>
        <v>3616755</v>
      </c>
      <c r="V140" s="214">
        <f>SUM(V138:V139)</f>
        <v>3145705</v>
      </c>
      <c r="W140" s="214">
        <f t="shared" si="16"/>
        <v>32271429.870000001</v>
      </c>
      <c r="X140" s="215">
        <f>SUM(X138:X139)</f>
        <v>102110177.19000001</v>
      </c>
    </row>
    <row r="141" spans="1:24" s="234" customFormat="1" x14ac:dyDescent="0.2">
      <c r="A141" s="216"/>
      <c r="B141" s="448" t="s">
        <v>751</v>
      </c>
      <c r="C141" s="449"/>
      <c r="D141" s="217"/>
      <c r="E141" s="217" t="s">
        <v>752</v>
      </c>
      <c r="F141" s="163">
        <f>F108</f>
        <v>65238304</v>
      </c>
      <c r="G141" s="219" t="s">
        <v>753</v>
      </c>
      <c r="H141" s="150">
        <f t="shared" ref="H141:W141" si="17">SUM(H140/$F$141)</f>
        <v>0.12806616125397741</v>
      </c>
      <c r="I141" s="150">
        <f t="shared" si="17"/>
        <v>9.1579644529079116E-2</v>
      </c>
      <c r="J141" s="150">
        <f t="shared" si="17"/>
        <v>8.1908273703743123E-2</v>
      </c>
      <c r="K141" s="150">
        <f t="shared" si="17"/>
        <v>8.0921649649261268E-2</v>
      </c>
      <c r="L141" s="150">
        <f t="shared" si="17"/>
        <v>7.960680338961601E-2</v>
      </c>
      <c r="M141" s="150">
        <f t="shared" si="17"/>
        <v>8.0273191038197439E-2</v>
      </c>
      <c r="N141" s="150">
        <f t="shared" si="17"/>
        <v>8.0058685155273188E-2</v>
      </c>
      <c r="O141" s="150">
        <f t="shared" si="17"/>
        <v>6.1555061885115836E-2</v>
      </c>
      <c r="P141" s="151">
        <f t="shared" si="17"/>
        <v>5.6394596646779781E-2</v>
      </c>
      <c r="Q141" s="151">
        <f t="shared" si="17"/>
        <v>5.5906156603948501E-2</v>
      </c>
      <c r="R141" s="151">
        <f t="shared" si="17"/>
        <v>5.8336194484761593E-2</v>
      </c>
      <c r="S141" s="151">
        <f t="shared" si="17"/>
        <v>5.6237927337902595E-2</v>
      </c>
      <c r="T141" s="151">
        <f t="shared" si="17"/>
        <v>5.6015358707056519E-2</v>
      </c>
      <c r="U141" s="151">
        <f t="shared" si="17"/>
        <v>5.5439132813753095E-2</v>
      </c>
      <c r="V141" s="151">
        <f t="shared" si="17"/>
        <v>4.8218681466642661E-2</v>
      </c>
      <c r="W141" s="151">
        <f t="shared" si="17"/>
        <v>0.49466996980792144</v>
      </c>
      <c r="X141" s="265"/>
    </row>
    <row r="142" spans="1:24" s="234" customFormat="1" x14ac:dyDescent="0.2">
      <c r="A142" s="220"/>
      <c r="B142" s="448" t="s">
        <v>781</v>
      </c>
      <c r="C142" s="449"/>
      <c r="D142" s="217"/>
      <c r="E142" s="218"/>
      <c r="F142" s="165"/>
      <c r="G142" s="221" t="s">
        <v>753</v>
      </c>
      <c r="H142" s="266">
        <f t="shared" ref="H142:W142" si="18">SUM((H140-H111-H133)/$F$141)</f>
        <v>9.3610106725030742E-2</v>
      </c>
      <c r="I142" s="267">
        <f t="shared" si="18"/>
        <v>9.1579644529079116E-2</v>
      </c>
      <c r="J142" s="267">
        <f t="shared" si="18"/>
        <v>8.1908273703743123E-2</v>
      </c>
      <c r="K142" s="267">
        <f t="shared" si="18"/>
        <v>8.0921649649261268E-2</v>
      </c>
      <c r="L142" s="267">
        <f t="shared" si="18"/>
        <v>7.960680338961601E-2</v>
      </c>
      <c r="M142" s="267">
        <f t="shared" si="18"/>
        <v>8.0273191038197439E-2</v>
      </c>
      <c r="N142" s="267">
        <f t="shared" si="18"/>
        <v>8.0058685155273188E-2</v>
      </c>
      <c r="O142" s="267">
        <f t="shared" si="18"/>
        <v>6.1555061885115836E-2</v>
      </c>
      <c r="P142" s="267">
        <f t="shared" si="18"/>
        <v>5.6394596646779781E-2</v>
      </c>
      <c r="Q142" s="267">
        <f t="shared" si="18"/>
        <v>5.5906156603948501E-2</v>
      </c>
      <c r="R142" s="267">
        <f t="shared" si="18"/>
        <v>5.8336194484761593E-2</v>
      </c>
      <c r="S142" s="267">
        <f t="shared" si="18"/>
        <v>5.6237927337902595E-2</v>
      </c>
      <c r="T142" s="267">
        <f t="shared" si="18"/>
        <v>5.6015358707056519E-2</v>
      </c>
      <c r="U142" s="267">
        <f t="shared" si="18"/>
        <v>5.5439132813753095E-2</v>
      </c>
      <c r="V142" s="267">
        <f t="shared" si="18"/>
        <v>4.8218681466642661E-2</v>
      </c>
      <c r="W142" s="267">
        <f t="shared" si="18"/>
        <v>0.49466996980792144</v>
      </c>
      <c r="X142" s="268"/>
    </row>
    <row r="143" spans="1:24" s="234" customFormat="1" ht="15.75" x14ac:dyDescent="0.25">
      <c r="A143" s="179"/>
      <c r="B143" s="184"/>
      <c r="C143" s="185"/>
      <c r="D143" s="185"/>
      <c r="E143" s="185"/>
      <c r="F143" s="179"/>
      <c r="G143" s="179"/>
      <c r="H143" s="158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269"/>
      <c r="U143" s="269"/>
      <c r="V143" s="269"/>
      <c r="W143" s="269"/>
      <c r="X143" s="259"/>
    </row>
    <row r="144" spans="1:24" s="234" customFormat="1" ht="18.75" x14ac:dyDescent="0.3">
      <c r="A144" s="179"/>
      <c r="B144" s="184"/>
      <c r="C144" s="185"/>
      <c r="D144" s="185"/>
      <c r="E144" s="185"/>
      <c r="F144" s="179"/>
      <c r="G144" s="179"/>
      <c r="H144" s="179"/>
      <c r="I144" s="179"/>
      <c r="J144" s="179"/>
      <c r="K144" s="179"/>
      <c r="M144" s="270" t="s">
        <v>102</v>
      </c>
      <c r="N144" s="179"/>
      <c r="O144" s="179"/>
      <c r="P144" s="179"/>
      <c r="Q144" s="179"/>
      <c r="R144" s="179"/>
      <c r="S144" s="179"/>
      <c r="T144" s="271" t="s">
        <v>103</v>
      </c>
      <c r="U144" s="269"/>
      <c r="V144" s="269"/>
      <c r="W144" s="269"/>
      <c r="X144" s="259"/>
    </row>
    <row r="145" spans="1:24" s="234" customFormat="1" x14ac:dyDescent="0.2">
      <c r="A145" s="179"/>
      <c r="B145" s="184"/>
      <c r="C145" s="185"/>
      <c r="D145" s="185"/>
      <c r="E145" s="185"/>
      <c r="F145" s="179"/>
      <c r="G145" s="179"/>
      <c r="H145" s="185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</row>
    <row r="146" spans="1:24" s="234" customFormat="1" ht="18.75" x14ac:dyDescent="0.3">
      <c r="A146" s="179"/>
      <c r="B146" s="184"/>
      <c r="C146" s="185"/>
      <c r="D146" s="185"/>
      <c r="E146" s="185"/>
      <c r="F146" s="179"/>
      <c r="G146" s="179"/>
      <c r="H146" s="159"/>
      <c r="I146" s="179"/>
      <c r="M146" s="179"/>
      <c r="N146" s="179"/>
      <c r="O146" s="179"/>
      <c r="P146" s="179"/>
      <c r="Q146" s="179"/>
      <c r="R146" s="179"/>
      <c r="S146" s="179"/>
      <c r="U146" s="271"/>
      <c r="V146" s="271"/>
      <c r="W146" s="271"/>
      <c r="X146" s="179"/>
    </row>
    <row r="147" spans="1:24" s="234" customFormat="1" ht="15.75" x14ac:dyDescent="0.25">
      <c r="A147" s="179"/>
      <c r="B147" s="184"/>
      <c r="C147" s="185"/>
      <c r="D147" s="185"/>
      <c r="E147" s="185"/>
      <c r="F147" s="179"/>
      <c r="G147" s="179"/>
      <c r="H147" s="272"/>
      <c r="I147" s="273"/>
      <c r="J147" s="159"/>
      <c r="K147" s="160"/>
      <c r="L147" s="160"/>
      <c r="M147" s="160"/>
      <c r="N147" s="160"/>
      <c r="O147" s="160"/>
      <c r="P147" s="160"/>
      <c r="Q147" s="160"/>
      <c r="R147" s="160"/>
      <c r="S147" s="160"/>
      <c r="T147" s="274"/>
      <c r="U147" s="274"/>
      <c r="V147" s="274"/>
      <c r="W147" s="274"/>
      <c r="X147" s="179"/>
    </row>
    <row r="148" spans="1:24" s="234" customFormat="1" ht="15" x14ac:dyDescent="0.25">
      <c r="A148" s="179"/>
      <c r="B148" s="184"/>
      <c r="C148" s="272"/>
      <c r="D148" s="272"/>
      <c r="E148" s="182"/>
      <c r="F148" s="182"/>
      <c r="G148" s="274"/>
      <c r="H148" s="179"/>
      <c r="I148" s="179"/>
      <c r="J148" s="182"/>
      <c r="K148" s="274"/>
      <c r="L148" s="274"/>
      <c r="M148" s="274"/>
      <c r="N148" s="274"/>
      <c r="O148" s="274"/>
      <c r="P148" s="274"/>
      <c r="Q148" s="274"/>
      <c r="R148" s="274"/>
      <c r="S148" s="274"/>
      <c r="T148" s="179"/>
      <c r="U148" s="179"/>
      <c r="V148" s="179"/>
      <c r="W148" s="179"/>
      <c r="X148" s="179"/>
    </row>
    <row r="149" spans="1:24" s="234" customFormat="1" ht="15" x14ac:dyDescent="0.25">
      <c r="A149" s="179"/>
      <c r="B149" s="272"/>
      <c r="C149" s="272"/>
      <c r="D149" s="272"/>
      <c r="E149" s="182"/>
      <c r="F149" s="182"/>
      <c r="G149" s="274"/>
      <c r="H149" s="179"/>
      <c r="I149" s="161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</row>
    <row r="150" spans="1:24" ht="15" x14ac:dyDescent="0.25">
      <c r="B150" s="272"/>
      <c r="C150" s="272"/>
      <c r="D150" s="272"/>
      <c r="E150" s="182"/>
      <c r="F150" s="182"/>
      <c r="G150" s="274"/>
    </row>
    <row r="151" spans="1:24" ht="15" x14ac:dyDescent="0.25">
      <c r="B151" s="272"/>
      <c r="C151" s="272"/>
      <c r="D151" s="272"/>
      <c r="E151" s="182"/>
      <c r="F151" s="182"/>
      <c r="G151" s="274"/>
    </row>
    <row r="152" spans="1:24" ht="15" x14ac:dyDescent="0.25">
      <c r="C152" s="272"/>
      <c r="D152" s="272"/>
      <c r="E152" s="182"/>
      <c r="F152" s="182"/>
      <c r="G152" s="274"/>
    </row>
    <row r="153" spans="1:24" ht="15" x14ac:dyDescent="0.25">
      <c r="C153" s="272"/>
      <c r="D153" s="272"/>
      <c r="E153" s="182"/>
      <c r="F153" s="182"/>
      <c r="G153" s="274"/>
    </row>
  </sheetData>
  <mergeCells count="284">
    <mergeCell ref="B141:C141"/>
    <mergeCell ref="B142:C142"/>
    <mergeCell ref="B131:F131"/>
    <mergeCell ref="E133:G133"/>
    <mergeCell ref="E134:G134"/>
    <mergeCell ref="B138:F138"/>
    <mergeCell ref="B139:F139"/>
    <mergeCell ref="B140:F140"/>
    <mergeCell ref="A127:A128"/>
    <mergeCell ref="C127:C128"/>
    <mergeCell ref="E127:E128"/>
    <mergeCell ref="F127:F128"/>
    <mergeCell ref="B129:F129"/>
    <mergeCell ref="B130:F130"/>
    <mergeCell ref="A123:A124"/>
    <mergeCell ref="C123:C124"/>
    <mergeCell ref="E123:E124"/>
    <mergeCell ref="F123:F124"/>
    <mergeCell ref="A125:A126"/>
    <mergeCell ref="C125:C126"/>
    <mergeCell ref="E125:E126"/>
    <mergeCell ref="F125:F126"/>
    <mergeCell ref="E113:G113"/>
    <mergeCell ref="C115:G115"/>
    <mergeCell ref="C116:G116"/>
    <mergeCell ref="A121:A122"/>
    <mergeCell ref="C121:C122"/>
    <mergeCell ref="E121:E122"/>
    <mergeCell ref="F121:F122"/>
    <mergeCell ref="B106:F106"/>
    <mergeCell ref="B107:F107"/>
    <mergeCell ref="B108:C108"/>
    <mergeCell ref="B109:C109"/>
    <mergeCell ref="E111:G111"/>
    <mergeCell ref="E112:G112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73:A74"/>
    <mergeCell ref="C73:C74"/>
    <mergeCell ref="D73:D74"/>
    <mergeCell ref="E73:E74"/>
    <mergeCell ref="F73:F74"/>
    <mergeCell ref="A75:A76"/>
    <mergeCell ref="C75:C76"/>
    <mergeCell ref="D75:D76"/>
    <mergeCell ref="E75:E76"/>
    <mergeCell ref="F75:F76"/>
    <mergeCell ref="A69:A70"/>
    <mergeCell ref="C69:C70"/>
    <mergeCell ref="D69:D70"/>
    <mergeCell ref="E69:E70"/>
    <mergeCell ref="F69:F70"/>
    <mergeCell ref="A71:A72"/>
    <mergeCell ref="C71:C72"/>
    <mergeCell ref="D71:D72"/>
    <mergeCell ref="E71:E72"/>
    <mergeCell ref="F71:F72"/>
    <mergeCell ref="A65:A66"/>
    <mergeCell ref="C65:C66"/>
    <mergeCell ref="D65:D66"/>
    <mergeCell ref="E65:E66"/>
    <mergeCell ref="F65:F66"/>
    <mergeCell ref="A67:A68"/>
    <mergeCell ref="C67:C68"/>
    <mergeCell ref="D67:D68"/>
    <mergeCell ref="E67:E68"/>
    <mergeCell ref="F67:F68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4:H4"/>
    <mergeCell ref="A5:A6"/>
    <mergeCell ref="B5:B6"/>
    <mergeCell ref="C5:C6"/>
    <mergeCell ref="A7:A8"/>
    <mergeCell ref="C7:C8"/>
    <mergeCell ref="D7:D8"/>
    <mergeCell ref="E7:E8"/>
    <mergeCell ref="F7:F8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3" manualBreakCount="3">
    <brk id="42" max="16383" man="1"/>
    <brk id="80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1.pielikums</vt:lpstr>
      <vt:lpstr>2.pielikums</vt:lpstr>
      <vt:lpstr>3.pielikums</vt:lpstr>
      <vt:lpstr>4.pielikums</vt:lpstr>
      <vt:lpstr>5.pielikums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Baiba Jēkabsone</cp:lastModifiedBy>
  <cp:lastPrinted>2020-12-17T13:22:02Z</cp:lastPrinted>
  <dcterms:created xsi:type="dcterms:W3CDTF">2016-06-01T06:50:59Z</dcterms:created>
  <dcterms:modified xsi:type="dcterms:W3CDTF">2020-12-17T13:25:32Z</dcterms:modified>
</cp:coreProperties>
</file>